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pignat1_jh_edu/Documents/courses/EEII/icer_project/"/>
    </mc:Choice>
  </mc:AlternateContent>
  <xr:revisionPtr revIDLastSave="189" documentId="14_{E9FC03E9-02DA-492B-BB36-1F0F04C7B527}" xr6:coauthVersionLast="47" xr6:coauthVersionMax="47" xr10:uidLastSave="{54ABFF45-C429-43D5-A6BE-1847685F364C}"/>
  <bookViews>
    <workbookView xWindow="-108" yWindow="-108" windowWidth="23256" windowHeight="13896" activeTab="7" xr2:uid="{00000000-000D-0000-FFFF-FFFF00000000}"/>
  </bookViews>
  <sheets>
    <sheet name="Input Parameters" sheetId="1" r:id="rId1"/>
    <sheet name="TRT_DISC" sheetId="2" r:id="rId2"/>
    <sheet name="LSM" sheetId="3" r:id="rId3"/>
    <sheet name="SEM" sheetId="4" r:id="rId4"/>
    <sheet name="LIR" sheetId="5" r:id="rId5"/>
    <sheet name="PT" sheetId="6" r:id="rId6"/>
    <sheet name="BN" sheetId="8" r:id="rId7"/>
    <sheet name="Base_Case" sheetId="7" r:id="rId8"/>
  </sheets>
  <definedNames>
    <definedName name="AGE_BL">'Input Parameters'!$C$6</definedName>
    <definedName name="BMI_BL">'Input Parameters'!$C$7</definedName>
    <definedName name="c_BN_1">'Input Parameters'!$C$64</definedName>
    <definedName name="c_BN_2">'Input Parameters'!$C$65</definedName>
    <definedName name="c_DM">'Input Parameters'!$C$56</definedName>
    <definedName name="c_HF1">'Input Parameters'!$C$54</definedName>
    <definedName name="c_HF2">'Input Parameters'!$C$55</definedName>
    <definedName name="c_LIR_1">'Input Parameters'!$C$60</definedName>
    <definedName name="c_LIR_2">'Input Parameters'!$C$61</definedName>
    <definedName name="c_MI1">'Input Parameters'!$C$52</definedName>
    <definedName name="c_MI2">'Input Parameters'!$C$53</definedName>
    <definedName name="c_Other">'Input Parameters'!$C$49</definedName>
    <definedName name="c_PT_1">'Input Parameters'!$C$62</definedName>
    <definedName name="c_PT_2">'Input Parameters'!$C$63</definedName>
    <definedName name="c_SEM">'Input Parameters'!$C$59</definedName>
    <definedName name="c_Stroke1">'Input Parameters'!$C$50</definedName>
    <definedName name="c_Stroke2">'Input Parameters'!$C$51</definedName>
    <definedName name="dis_BMI">'Input Parameters'!$C$11</definedName>
    <definedName name="disc_BN">'Input Parameters'!$C$86</definedName>
    <definedName name="disc_LIR">'Input Parameters'!$C$84</definedName>
    <definedName name="disc_LSM">'Input Parameters'!$C$82</definedName>
    <definedName name="disc_PT">'Input Parameters'!$C$85</definedName>
    <definedName name="disc_SEM">'Input Parameters'!$C$83</definedName>
    <definedName name="h_red_BN">'Input Parameters'!$C$79</definedName>
    <definedName name="h_red_LIR">'Input Parameters'!$C$77</definedName>
    <definedName name="h_red_LSM">'Input Parameters'!$C$75</definedName>
    <definedName name="h_red_PT">'Input Parameters'!$C$78</definedName>
    <definedName name="h_red_SEM">'Input Parameters'!$C$76</definedName>
    <definedName name="HbA1C_BL">'Input Parameters'!$C$9</definedName>
    <definedName name="HT_f_high">'Input Parameters'!$C$94</definedName>
    <definedName name="HT_f_low">'Input Parameters'!$C$92</definedName>
    <definedName name="HT_f_mod">'Input Parameters'!$C$93</definedName>
    <definedName name="HT_m_high">'Input Parameters'!$C$91</definedName>
    <definedName name="HT_m_low">'Input Parameters'!$C$89</definedName>
    <definedName name="HT_m_mod">'Input Parameters'!$C$90</definedName>
    <definedName name="p_MI">'Input Parameters'!$C$14</definedName>
    <definedName name="p_MI_HF_mid">'Input Parameters'!$C$21</definedName>
    <definedName name="p_MI_HF_old">'Input Parameters'!$C$22</definedName>
    <definedName name="p_MI_HF_young">'Input Parameters'!$C$20</definedName>
    <definedName name="p_MI_mort">'Input Parameters'!$C$19</definedName>
    <definedName name="p_MI_rec_mid">'Input Parameters'!$C$24</definedName>
    <definedName name="p_MI_rec_old">'Input Parameters'!$C$25</definedName>
    <definedName name="p_MI_rec_young">'Input Parameters'!$C$23</definedName>
    <definedName name="p_Other">'Input Parameters'!$C$16</definedName>
    <definedName name="p_recur_MI_F">'Input Parameters'!$C$40</definedName>
    <definedName name="p_recur_MI_M">'Input Parameters'!$C$41</definedName>
    <definedName name="p_recur_Stroke">'Input Parameters'!$C$39</definedName>
    <definedName name="p_Stroke">'Input Parameters'!$C$15</definedName>
    <definedName name="p_Stroke_mort">'Input Parameters'!$C$28</definedName>
    <definedName name="p_Stroke_rec">'Input Parameters'!$C$29</definedName>
    <definedName name="p_toHF_mid">'Input Parameters'!$C$45</definedName>
    <definedName name="p_toHF_old">'Input Parameters'!$C$46</definedName>
    <definedName name="p_toHF_young">'Input Parameters'!$C$44</definedName>
    <definedName name="PREV_FEMALE">'Input Parameters'!$C$3</definedName>
    <definedName name="PREV_HT">'Input Parameters'!$C$4</definedName>
    <definedName name="PREV_SMOKE">'Input Parameters'!$C$5</definedName>
    <definedName name="r_">'Input Parameters'!$C$10</definedName>
    <definedName name="rr_DM">'Input Parameters'!$C$36</definedName>
    <definedName name="rr_HF">'Input Parameters'!$C$35</definedName>
    <definedName name="rr_MI">'Input Parameters'!$C$32</definedName>
    <definedName name="rr_Other">'Input Parameters'!$C$34</definedName>
    <definedName name="rr_Stroke">'Input Parameters'!$C$33</definedName>
    <definedName name="SBP_BL">'Input Parameters'!$C$8</definedName>
    <definedName name="w_red_BN">'Input Parameters'!$C$72</definedName>
    <definedName name="w_red_LIR">'Input Parameters'!$C$70</definedName>
    <definedName name="w_red_LSM">'Input Parameters'!$C$68</definedName>
    <definedName name="w_red_PT">'Input Parameters'!$C$71</definedName>
    <definedName name="w_red_SEM">'Input Parameters'!$C$69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7" l="1"/>
  <c r="B40" i="7"/>
  <c r="C40" i="7"/>
  <c r="A45" i="7"/>
  <c r="A44" i="7"/>
  <c r="A43" i="7"/>
  <c r="A42" i="7"/>
  <c r="A41" i="7"/>
  <c r="CL70" i="8"/>
  <c r="CL69" i="8"/>
  <c r="CK69" i="8"/>
  <c r="CL68" i="8"/>
  <c r="CK68" i="8"/>
  <c r="CK70" i="8" s="1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D45" i="8"/>
  <c r="AE45" i="8"/>
  <c r="AF45" i="8"/>
  <c r="AG45" i="8"/>
  <c r="CP45" i="8" s="1"/>
  <c r="AH45" i="8"/>
  <c r="AI45" i="8"/>
  <c r="BM45" i="8" s="1"/>
  <c r="AJ45" i="8"/>
  <c r="AK45" i="8"/>
  <c r="AL45" i="8"/>
  <c r="AM45" i="8"/>
  <c r="AN45" i="8"/>
  <c r="AO45" i="8"/>
  <c r="AP45" i="8"/>
  <c r="BT45" i="8" s="1"/>
  <c r="AQ45" i="8"/>
  <c r="AR45" i="8"/>
  <c r="AS45" i="8"/>
  <c r="AT45" i="8"/>
  <c r="AU45" i="8"/>
  <c r="DD45" i="8" s="1"/>
  <c r="AV45" i="8"/>
  <c r="AW45" i="8"/>
  <c r="CA45" i="8" s="1"/>
  <c r="AX45" i="8"/>
  <c r="AY45" i="8"/>
  <c r="CC45" i="8" s="1"/>
  <c r="AZ45" i="8"/>
  <c r="BA45" i="8"/>
  <c r="BB45" i="8"/>
  <c r="DK45" i="8" s="1"/>
  <c r="BC45" i="8"/>
  <c r="BD45" i="8"/>
  <c r="BE45" i="8"/>
  <c r="BF45" i="8"/>
  <c r="CJ45" i="8" s="1"/>
  <c r="BJ45" i="8"/>
  <c r="BK45" i="8"/>
  <c r="BR45" i="8"/>
  <c r="BS45" i="8"/>
  <c r="BY45" i="8"/>
  <c r="BZ45" i="8"/>
  <c r="CH45" i="8"/>
  <c r="CI45" i="8"/>
  <c r="CO45" i="8"/>
  <c r="CR45" i="8"/>
  <c r="CW45" i="8"/>
  <c r="CX45" i="8"/>
  <c r="CY45" i="8"/>
  <c r="DE45" i="8"/>
  <c r="DF45" i="8"/>
  <c r="DM45" i="8"/>
  <c r="DN45" i="8"/>
  <c r="DO45" i="8"/>
  <c r="H46" i="8"/>
  <c r="I46" i="8"/>
  <c r="J46" i="8"/>
  <c r="K46" i="8"/>
  <c r="L46" i="8"/>
  <c r="M46" i="8"/>
  <c r="N46" i="8"/>
  <c r="O46" i="8"/>
  <c r="P46" i="8"/>
  <c r="Q46" i="8"/>
  <c r="R46" i="8"/>
  <c r="S46" i="8"/>
  <c r="U46" i="8"/>
  <c r="V46" i="8"/>
  <c r="W46" i="8"/>
  <c r="X46" i="8"/>
  <c r="Y46" i="8"/>
  <c r="Z46" i="8"/>
  <c r="AA46" i="8"/>
  <c r="AB46" i="8"/>
  <c r="AQ46" i="8"/>
  <c r="CZ46" i="8" s="1"/>
  <c r="BU46" i="8"/>
  <c r="H47" i="8"/>
  <c r="I47" i="8"/>
  <c r="J47" i="8"/>
  <c r="K47" i="8"/>
  <c r="L47" i="8"/>
  <c r="M47" i="8"/>
  <c r="N47" i="8"/>
  <c r="O47" i="8"/>
  <c r="P47" i="8"/>
  <c r="Q47" i="8"/>
  <c r="R47" i="8"/>
  <c r="S47" i="8"/>
  <c r="U47" i="8"/>
  <c r="V47" i="8"/>
  <c r="W47" i="8"/>
  <c r="X47" i="8"/>
  <c r="Y47" i="8"/>
  <c r="Z47" i="8"/>
  <c r="AA47" i="8"/>
  <c r="AB47" i="8"/>
  <c r="AC47" i="8"/>
  <c r="H48" i="8"/>
  <c r="I48" i="8"/>
  <c r="J48" i="8"/>
  <c r="K48" i="8"/>
  <c r="L48" i="8"/>
  <c r="M48" i="8"/>
  <c r="N48" i="8"/>
  <c r="O48" i="8"/>
  <c r="P48" i="8"/>
  <c r="Q48" i="8"/>
  <c r="R48" i="8"/>
  <c r="S48" i="8"/>
  <c r="U48" i="8"/>
  <c r="V48" i="8"/>
  <c r="W48" i="8"/>
  <c r="X48" i="8"/>
  <c r="Y48" i="8"/>
  <c r="Z48" i="8"/>
  <c r="AA48" i="8"/>
  <c r="AB48" i="8"/>
  <c r="H49" i="8"/>
  <c r="I49" i="8"/>
  <c r="J49" i="8"/>
  <c r="T49" i="8" s="1"/>
  <c r="K49" i="8"/>
  <c r="L49" i="8"/>
  <c r="M49" i="8"/>
  <c r="N49" i="8"/>
  <c r="O49" i="8"/>
  <c r="P49" i="8"/>
  <c r="Q49" i="8"/>
  <c r="R49" i="8"/>
  <c r="S49" i="8"/>
  <c r="U49" i="8"/>
  <c r="V49" i="8"/>
  <c r="W49" i="8"/>
  <c r="X49" i="8"/>
  <c r="Y49" i="8"/>
  <c r="Z49" i="8"/>
  <c r="AA49" i="8"/>
  <c r="AB49" i="8"/>
  <c r="H50" i="8"/>
  <c r="I50" i="8"/>
  <c r="J50" i="8"/>
  <c r="K50" i="8"/>
  <c r="L50" i="8"/>
  <c r="M50" i="8"/>
  <c r="N50" i="8"/>
  <c r="O50" i="8"/>
  <c r="P50" i="8"/>
  <c r="T50" i="8" s="1"/>
  <c r="Q50" i="8"/>
  <c r="R50" i="8"/>
  <c r="S50" i="8"/>
  <c r="U50" i="8"/>
  <c r="V50" i="8"/>
  <c r="W50" i="8"/>
  <c r="X50" i="8"/>
  <c r="Y50" i="8"/>
  <c r="Z50" i="8"/>
  <c r="AA50" i="8"/>
  <c r="AB50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H52" i="8"/>
  <c r="I52" i="8"/>
  <c r="J52" i="8"/>
  <c r="K52" i="8"/>
  <c r="L52" i="8"/>
  <c r="M52" i="8"/>
  <c r="N52" i="8"/>
  <c r="O52" i="8"/>
  <c r="P52" i="8"/>
  <c r="Q52" i="8"/>
  <c r="R52" i="8"/>
  <c r="S52" i="8"/>
  <c r="U52" i="8"/>
  <c r="V52" i="8"/>
  <c r="W52" i="8"/>
  <c r="X52" i="8"/>
  <c r="Y52" i="8"/>
  <c r="Z52" i="8"/>
  <c r="AA52" i="8"/>
  <c r="AB52" i="8"/>
  <c r="AC52" i="8" s="1"/>
  <c r="H53" i="8"/>
  <c r="I53" i="8"/>
  <c r="J53" i="8"/>
  <c r="K53" i="8"/>
  <c r="L53" i="8"/>
  <c r="M53" i="8"/>
  <c r="N53" i="8"/>
  <c r="O53" i="8"/>
  <c r="P53" i="8"/>
  <c r="Q53" i="8"/>
  <c r="R53" i="8"/>
  <c r="S53" i="8"/>
  <c r="U53" i="8"/>
  <c r="V53" i="8"/>
  <c r="AC53" i="8" s="1"/>
  <c r="W53" i="8"/>
  <c r="X53" i="8"/>
  <c r="Y53" i="8"/>
  <c r="Z53" i="8"/>
  <c r="AA53" i="8"/>
  <c r="AB53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AC54" i="8" s="1"/>
  <c r="V54" i="8"/>
  <c r="W54" i="8"/>
  <c r="X54" i="8"/>
  <c r="Y54" i="8"/>
  <c r="Z54" i="8"/>
  <c r="AA54" i="8"/>
  <c r="AB54" i="8"/>
  <c r="H55" i="8"/>
  <c r="I55" i="8"/>
  <c r="J55" i="8"/>
  <c r="K55" i="8"/>
  <c r="L55" i="8"/>
  <c r="M55" i="8"/>
  <c r="N55" i="8"/>
  <c r="O55" i="8"/>
  <c r="P55" i="8"/>
  <c r="Q55" i="8"/>
  <c r="R55" i="8"/>
  <c r="S55" i="8"/>
  <c r="U55" i="8"/>
  <c r="V55" i="8"/>
  <c r="W55" i="8"/>
  <c r="X55" i="8"/>
  <c r="Y55" i="8"/>
  <c r="Z55" i="8"/>
  <c r="AA55" i="8"/>
  <c r="AB55" i="8"/>
  <c r="H56" i="8"/>
  <c r="I56" i="8"/>
  <c r="J56" i="8"/>
  <c r="T56" i="8" s="1"/>
  <c r="K56" i="8"/>
  <c r="L56" i="8"/>
  <c r="M56" i="8"/>
  <c r="N56" i="8"/>
  <c r="O56" i="8"/>
  <c r="P56" i="8"/>
  <c r="Q56" i="8"/>
  <c r="R56" i="8"/>
  <c r="S56" i="8"/>
  <c r="U56" i="8"/>
  <c r="V56" i="8"/>
  <c r="W56" i="8"/>
  <c r="X56" i="8"/>
  <c r="Y56" i="8"/>
  <c r="Z56" i="8"/>
  <c r="AA56" i="8"/>
  <c r="AB56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H58" i="8"/>
  <c r="I58" i="8"/>
  <c r="J58" i="8"/>
  <c r="K58" i="8"/>
  <c r="L58" i="8"/>
  <c r="M58" i="8"/>
  <c r="N58" i="8"/>
  <c r="O58" i="8"/>
  <c r="P58" i="8"/>
  <c r="Q58" i="8"/>
  <c r="R58" i="8"/>
  <c r="AC58" i="8" s="1"/>
  <c r="S58" i="8"/>
  <c r="T58" i="8"/>
  <c r="U58" i="8"/>
  <c r="V58" i="8"/>
  <c r="W58" i="8"/>
  <c r="X58" i="8"/>
  <c r="Y58" i="8"/>
  <c r="Z58" i="8"/>
  <c r="AA58" i="8"/>
  <c r="AB58" i="8"/>
  <c r="H59" i="8"/>
  <c r="I59" i="8"/>
  <c r="J59" i="8"/>
  <c r="K59" i="8"/>
  <c r="L59" i="8"/>
  <c r="M59" i="8"/>
  <c r="N59" i="8"/>
  <c r="O59" i="8"/>
  <c r="P59" i="8"/>
  <c r="Q59" i="8"/>
  <c r="R59" i="8"/>
  <c r="S59" i="8"/>
  <c r="U59" i="8"/>
  <c r="V59" i="8"/>
  <c r="W59" i="8"/>
  <c r="X59" i="8"/>
  <c r="Y59" i="8"/>
  <c r="Z59" i="8"/>
  <c r="AA59" i="8"/>
  <c r="AB59" i="8"/>
  <c r="H60" i="8"/>
  <c r="I60" i="8"/>
  <c r="J60" i="8"/>
  <c r="K60" i="8"/>
  <c r="L60" i="8"/>
  <c r="M60" i="8"/>
  <c r="N60" i="8"/>
  <c r="O60" i="8"/>
  <c r="P60" i="8"/>
  <c r="Q60" i="8"/>
  <c r="R60" i="8"/>
  <c r="S60" i="8"/>
  <c r="U60" i="8"/>
  <c r="V60" i="8"/>
  <c r="W60" i="8"/>
  <c r="X60" i="8"/>
  <c r="Y60" i="8"/>
  <c r="Z60" i="8"/>
  <c r="AA60" i="8"/>
  <c r="AB60" i="8"/>
  <c r="AC60" i="8"/>
  <c r="H61" i="8"/>
  <c r="I61" i="8"/>
  <c r="J61" i="8"/>
  <c r="K61" i="8"/>
  <c r="L61" i="8"/>
  <c r="M61" i="8"/>
  <c r="N61" i="8"/>
  <c r="O61" i="8"/>
  <c r="P61" i="8"/>
  <c r="Q61" i="8"/>
  <c r="R61" i="8"/>
  <c r="S61" i="8"/>
  <c r="U61" i="8"/>
  <c r="AC61" i="8" s="1"/>
  <c r="V61" i="8"/>
  <c r="W61" i="8"/>
  <c r="X61" i="8"/>
  <c r="Y61" i="8"/>
  <c r="Z61" i="8"/>
  <c r="AA61" i="8"/>
  <c r="AB61" i="8"/>
  <c r="H62" i="8"/>
  <c r="I62" i="8"/>
  <c r="J62" i="8"/>
  <c r="K62" i="8"/>
  <c r="L62" i="8"/>
  <c r="M62" i="8"/>
  <c r="N62" i="8"/>
  <c r="O62" i="8"/>
  <c r="P62" i="8"/>
  <c r="Q62" i="8"/>
  <c r="R62" i="8"/>
  <c r="S62" i="8"/>
  <c r="U62" i="8"/>
  <c r="V62" i="8"/>
  <c r="W62" i="8"/>
  <c r="X62" i="8"/>
  <c r="Y62" i="8"/>
  <c r="Z62" i="8"/>
  <c r="AA62" i="8"/>
  <c r="AB62" i="8"/>
  <c r="H63" i="8"/>
  <c r="I63" i="8"/>
  <c r="J63" i="8"/>
  <c r="K63" i="8"/>
  <c r="L63" i="8"/>
  <c r="M63" i="8"/>
  <c r="N63" i="8"/>
  <c r="O63" i="8"/>
  <c r="P63" i="8"/>
  <c r="Q63" i="8"/>
  <c r="R63" i="8"/>
  <c r="S63" i="8"/>
  <c r="U63" i="8"/>
  <c r="V63" i="8"/>
  <c r="W63" i="8"/>
  <c r="X63" i="8"/>
  <c r="Y63" i="8"/>
  <c r="Z63" i="8"/>
  <c r="AA63" i="8"/>
  <c r="AB63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H65" i="8"/>
  <c r="I65" i="8"/>
  <c r="J65" i="8"/>
  <c r="K65" i="8"/>
  <c r="L65" i="8"/>
  <c r="M65" i="8"/>
  <c r="N65" i="8"/>
  <c r="O65" i="8"/>
  <c r="P65" i="8"/>
  <c r="Q65" i="8"/>
  <c r="R65" i="8"/>
  <c r="T65" i="8" s="1"/>
  <c r="S65" i="8"/>
  <c r="U65" i="8"/>
  <c r="V65" i="8"/>
  <c r="W65" i="8"/>
  <c r="X65" i="8"/>
  <c r="Y65" i="8"/>
  <c r="Z65" i="8"/>
  <c r="AA65" i="8"/>
  <c r="AB65" i="8"/>
  <c r="H66" i="8"/>
  <c r="I66" i="8"/>
  <c r="J66" i="8"/>
  <c r="K66" i="8"/>
  <c r="L66" i="8"/>
  <c r="M66" i="8"/>
  <c r="N66" i="8"/>
  <c r="O66" i="8"/>
  <c r="P66" i="8"/>
  <c r="Q66" i="8"/>
  <c r="R66" i="8"/>
  <c r="S66" i="8"/>
  <c r="U66" i="8"/>
  <c r="V66" i="8"/>
  <c r="W66" i="8"/>
  <c r="X66" i="8"/>
  <c r="Y66" i="8"/>
  <c r="Z66" i="8"/>
  <c r="AA66" i="8"/>
  <c r="AB66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D45" i="6"/>
  <c r="AE45" i="6"/>
  <c r="AF45" i="6"/>
  <c r="AG45" i="6"/>
  <c r="AH45" i="6"/>
  <c r="AI45" i="6"/>
  <c r="AJ45" i="6"/>
  <c r="AK45" i="6"/>
  <c r="AL45" i="6"/>
  <c r="BP45" i="6" s="1"/>
  <c r="AM45" i="6"/>
  <c r="BQ45" i="6" s="1"/>
  <c r="AN45" i="6"/>
  <c r="AO45" i="6"/>
  <c r="AP45" i="6"/>
  <c r="AQ45" i="6"/>
  <c r="CZ45" i="6" s="1"/>
  <c r="AR45" i="6"/>
  <c r="AS45" i="6"/>
  <c r="AT45" i="6"/>
  <c r="AU45" i="6"/>
  <c r="AV45" i="6"/>
  <c r="AW45" i="6"/>
  <c r="DF45" i="6" s="1"/>
  <c r="AX45" i="6"/>
  <c r="AY45" i="6"/>
  <c r="AZ45" i="6"/>
  <c r="BA45" i="6"/>
  <c r="DJ45" i="6" s="1"/>
  <c r="BB45" i="6"/>
  <c r="CF45" i="6" s="1"/>
  <c r="BC45" i="6"/>
  <c r="BD45" i="6"/>
  <c r="BE45" i="6"/>
  <c r="BF45" i="6"/>
  <c r="CJ45" i="6" s="1"/>
  <c r="BH45" i="6"/>
  <c r="BJ45" i="6"/>
  <c r="BR45" i="6"/>
  <c r="BS45" i="6"/>
  <c r="BT45" i="6"/>
  <c r="BZ45" i="6"/>
  <c r="CA45" i="6"/>
  <c r="CH45" i="6"/>
  <c r="CI45" i="6"/>
  <c r="CO45" i="6"/>
  <c r="CU45" i="6"/>
  <c r="CW45" i="6"/>
  <c r="CX45" i="6"/>
  <c r="CY45" i="6"/>
  <c r="DE45" i="6"/>
  <c r="DM45" i="6"/>
  <c r="DN45" i="6"/>
  <c r="DO45" i="6"/>
  <c r="H46" i="6"/>
  <c r="I46" i="6"/>
  <c r="J46" i="6"/>
  <c r="K46" i="6"/>
  <c r="L46" i="6"/>
  <c r="M46" i="6"/>
  <c r="N46" i="6"/>
  <c r="O46" i="6"/>
  <c r="P46" i="6"/>
  <c r="Q46" i="6"/>
  <c r="R46" i="6"/>
  <c r="S46" i="6"/>
  <c r="U46" i="6"/>
  <c r="V46" i="6"/>
  <c r="W46" i="6"/>
  <c r="X46" i="6"/>
  <c r="Y46" i="6"/>
  <c r="Z46" i="6"/>
  <c r="AA46" i="6"/>
  <c r="AB46" i="6"/>
  <c r="AC46" i="6"/>
  <c r="AH46" i="6"/>
  <c r="AI46" i="6"/>
  <c r="AQ46" i="6"/>
  <c r="H47" i="6"/>
  <c r="I47" i="6"/>
  <c r="J47" i="6"/>
  <c r="K47" i="6"/>
  <c r="L47" i="6"/>
  <c r="M47" i="6"/>
  <c r="N47" i="6"/>
  <c r="O47" i="6"/>
  <c r="P47" i="6"/>
  <c r="Q47" i="6"/>
  <c r="R47" i="6"/>
  <c r="S47" i="6"/>
  <c r="AC47" i="6" s="1"/>
  <c r="U47" i="6"/>
  <c r="V47" i="6"/>
  <c r="W47" i="6"/>
  <c r="X47" i="6"/>
  <c r="Y47" i="6"/>
  <c r="Z47" i="6"/>
  <c r="AA47" i="6"/>
  <c r="AB47" i="6"/>
  <c r="H48" i="6"/>
  <c r="I48" i="6"/>
  <c r="J48" i="6"/>
  <c r="K48" i="6"/>
  <c r="L48" i="6"/>
  <c r="M48" i="6"/>
  <c r="N48" i="6"/>
  <c r="O48" i="6"/>
  <c r="P48" i="6"/>
  <c r="Q48" i="6"/>
  <c r="R48" i="6"/>
  <c r="S48" i="6"/>
  <c r="U48" i="6"/>
  <c r="V48" i="6"/>
  <c r="W48" i="6"/>
  <c r="X48" i="6"/>
  <c r="Y48" i="6"/>
  <c r="Z48" i="6"/>
  <c r="AA48" i="6"/>
  <c r="AB48" i="6"/>
  <c r="AC48" i="6"/>
  <c r="H49" i="6"/>
  <c r="I49" i="6"/>
  <c r="J49" i="6"/>
  <c r="T49" i="6" s="1"/>
  <c r="K49" i="6"/>
  <c r="L49" i="6"/>
  <c r="M49" i="6"/>
  <c r="N49" i="6"/>
  <c r="O49" i="6"/>
  <c r="P49" i="6"/>
  <c r="Q49" i="6"/>
  <c r="R49" i="6"/>
  <c r="S49" i="6"/>
  <c r="U49" i="6"/>
  <c r="V49" i="6"/>
  <c r="W49" i="6"/>
  <c r="X49" i="6"/>
  <c r="Y49" i="6"/>
  <c r="Z49" i="6"/>
  <c r="AA49" i="6"/>
  <c r="AB49" i="6"/>
  <c r="H50" i="6"/>
  <c r="I50" i="6"/>
  <c r="J50" i="6"/>
  <c r="K50" i="6"/>
  <c r="L50" i="6"/>
  <c r="M50" i="6"/>
  <c r="N50" i="6"/>
  <c r="O50" i="6"/>
  <c r="P50" i="6"/>
  <c r="Q50" i="6"/>
  <c r="R50" i="6"/>
  <c r="S50" i="6"/>
  <c r="U50" i="6"/>
  <c r="AC50" i="6" s="1"/>
  <c r="V50" i="6"/>
  <c r="W50" i="6"/>
  <c r="X50" i="6"/>
  <c r="Y50" i="6"/>
  <c r="Z50" i="6"/>
  <c r="AA50" i="6"/>
  <c r="AB50" i="6"/>
  <c r="H51" i="6"/>
  <c r="I51" i="6"/>
  <c r="J51" i="6"/>
  <c r="K51" i="6"/>
  <c r="L51" i="6"/>
  <c r="M51" i="6"/>
  <c r="N51" i="6"/>
  <c r="O51" i="6"/>
  <c r="P51" i="6"/>
  <c r="Q51" i="6"/>
  <c r="R51" i="6"/>
  <c r="S51" i="6"/>
  <c r="U51" i="6"/>
  <c r="V51" i="6"/>
  <c r="W51" i="6"/>
  <c r="X51" i="6"/>
  <c r="Y51" i="6"/>
  <c r="Z51" i="6"/>
  <c r="AA51" i="6"/>
  <c r="AB51" i="6"/>
  <c r="H52" i="6"/>
  <c r="I52" i="6"/>
  <c r="J52" i="6"/>
  <c r="K52" i="6"/>
  <c r="L52" i="6"/>
  <c r="M52" i="6"/>
  <c r="N52" i="6"/>
  <c r="T52" i="6" s="1"/>
  <c r="O52" i="6"/>
  <c r="P52" i="6"/>
  <c r="Q52" i="6"/>
  <c r="R52" i="6"/>
  <c r="S52" i="6"/>
  <c r="U52" i="6"/>
  <c r="V52" i="6"/>
  <c r="W52" i="6"/>
  <c r="X52" i="6"/>
  <c r="Y52" i="6"/>
  <c r="Z52" i="6"/>
  <c r="AA52" i="6"/>
  <c r="AB52" i="6"/>
  <c r="H53" i="6"/>
  <c r="I53" i="6"/>
  <c r="J53" i="6"/>
  <c r="K53" i="6"/>
  <c r="L53" i="6"/>
  <c r="M53" i="6"/>
  <c r="N53" i="6"/>
  <c r="O53" i="6"/>
  <c r="P53" i="6"/>
  <c r="Q53" i="6"/>
  <c r="R53" i="6"/>
  <c r="S53" i="6"/>
  <c r="U53" i="6"/>
  <c r="V53" i="6"/>
  <c r="W53" i="6"/>
  <c r="X53" i="6"/>
  <c r="Y53" i="6"/>
  <c r="Z53" i="6"/>
  <c r="AA53" i="6"/>
  <c r="AB53" i="6"/>
  <c r="AC53" i="6"/>
  <c r="H54" i="6"/>
  <c r="I54" i="6"/>
  <c r="J54" i="6"/>
  <c r="K54" i="6"/>
  <c r="L54" i="6"/>
  <c r="M54" i="6"/>
  <c r="N54" i="6"/>
  <c r="O54" i="6"/>
  <c r="P54" i="6"/>
  <c r="Q54" i="6"/>
  <c r="R54" i="6"/>
  <c r="S54" i="6"/>
  <c r="U54" i="6"/>
  <c r="AC54" i="6" s="1"/>
  <c r="V54" i="6"/>
  <c r="W54" i="6"/>
  <c r="X54" i="6"/>
  <c r="Y54" i="6"/>
  <c r="Z54" i="6"/>
  <c r="AA54" i="6"/>
  <c r="AB54" i="6"/>
  <c r="H55" i="6"/>
  <c r="I55" i="6"/>
  <c r="J55" i="6"/>
  <c r="K55" i="6"/>
  <c r="L55" i="6"/>
  <c r="M55" i="6"/>
  <c r="N55" i="6"/>
  <c r="O55" i="6"/>
  <c r="P55" i="6"/>
  <c r="Q55" i="6"/>
  <c r="R55" i="6"/>
  <c r="S55" i="6"/>
  <c r="U55" i="6"/>
  <c r="V55" i="6"/>
  <c r="W55" i="6"/>
  <c r="X55" i="6"/>
  <c r="Y55" i="6"/>
  <c r="Z55" i="6"/>
  <c r="AA55" i="6"/>
  <c r="AB55" i="6"/>
  <c r="AC55" i="6"/>
  <c r="H56" i="6"/>
  <c r="I56" i="6"/>
  <c r="J56" i="6"/>
  <c r="K56" i="6"/>
  <c r="L56" i="6"/>
  <c r="M56" i="6"/>
  <c r="N56" i="6"/>
  <c r="O56" i="6"/>
  <c r="P56" i="6"/>
  <c r="Q56" i="6"/>
  <c r="R56" i="6"/>
  <c r="T56" i="6" s="1"/>
  <c r="S56" i="6"/>
  <c r="U56" i="6"/>
  <c r="V56" i="6"/>
  <c r="W56" i="6"/>
  <c r="X56" i="6"/>
  <c r="Y56" i="6"/>
  <c r="Z56" i="6"/>
  <c r="AA56" i="6"/>
  <c r="AB56" i="6"/>
  <c r="H57" i="6"/>
  <c r="I57" i="6"/>
  <c r="J57" i="6"/>
  <c r="K57" i="6"/>
  <c r="L57" i="6"/>
  <c r="M57" i="6"/>
  <c r="N57" i="6"/>
  <c r="O57" i="6"/>
  <c r="P57" i="6"/>
  <c r="Q57" i="6"/>
  <c r="R57" i="6"/>
  <c r="S57" i="6"/>
  <c r="U57" i="6"/>
  <c r="V57" i="6"/>
  <c r="W57" i="6"/>
  <c r="X57" i="6"/>
  <c r="Y57" i="6"/>
  <c r="AC57" i="6" s="1"/>
  <c r="Z57" i="6"/>
  <c r="AA57" i="6"/>
  <c r="AB57" i="6"/>
  <c r="H58" i="6"/>
  <c r="I58" i="6"/>
  <c r="J58" i="6"/>
  <c r="K58" i="6"/>
  <c r="L58" i="6"/>
  <c r="M58" i="6"/>
  <c r="N58" i="6"/>
  <c r="O58" i="6"/>
  <c r="P58" i="6"/>
  <c r="Q58" i="6"/>
  <c r="R58" i="6"/>
  <c r="S58" i="6"/>
  <c r="U58" i="6"/>
  <c r="V58" i="6"/>
  <c r="W58" i="6"/>
  <c r="X58" i="6"/>
  <c r="Y58" i="6"/>
  <c r="Z58" i="6"/>
  <c r="AA58" i="6"/>
  <c r="AB58" i="6"/>
  <c r="H59" i="6"/>
  <c r="I59" i="6"/>
  <c r="J59" i="6"/>
  <c r="K59" i="6"/>
  <c r="L59" i="6"/>
  <c r="M59" i="6"/>
  <c r="N59" i="6"/>
  <c r="O59" i="6"/>
  <c r="P59" i="6"/>
  <c r="Q59" i="6"/>
  <c r="R59" i="6"/>
  <c r="S59" i="6"/>
  <c r="U59" i="6"/>
  <c r="V59" i="6"/>
  <c r="W59" i="6"/>
  <c r="X59" i="6"/>
  <c r="Y59" i="6"/>
  <c r="Z59" i="6"/>
  <c r="AA59" i="6"/>
  <c r="AB59" i="6"/>
  <c r="H60" i="6"/>
  <c r="I60" i="6"/>
  <c r="J60" i="6"/>
  <c r="K60" i="6"/>
  <c r="L60" i="6"/>
  <c r="M60" i="6"/>
  <c r="N60" i="6"/>
  <c r="O60" i="6"/>
  <c r="P60" i="6"/>
  <c r="Q60" i="6"/>
  <c r="R60" i="6"/>
  <c r="S60" i="6"/>
  <c r="U60" i="6"/>
  <c r="V60" i="6"/>
  <c r="W60" i="6"/>
  <c r="X60" i="6"/>
  <c r="Y60" i="6"/>
  <c r="Z60" i="6"/>
  <c r="AA60" i="6"/>
  <c r="AB60" i="6"/>
  <c r="AC60" i="6"/>
  <c r="H61" i="6"/>
  <c r="I61" i="6"/>
  <c r="J61" i="6"/>
  <c r="K61" i="6"/>
  <c r="L61" i="6"/>
  <c r="M61" i="6"/>
  <c r="N61" i="6"/>
  <c r="O61" i="6"/>
  <c r="P61" i="6"/>
  <c r="Q61" i="6"/>
  <c r="R61" i="6"/>
  <c r="S61" i="6"/>
  <c r="U61" i="6"/>
  <c r="V61" i="6"/>
  <c r="W61" i="6"/>
  <c r="X61" i="6"/>
  <c r="Y61" i="6"/>
  <c r="Z61" i="6"/>
  <c r="AA61" i="6"/>
  <c r="AB61" i="6"/>
  <c r="H62" i="6"/>
  <c r="I62" i="6"/>
  <c r="J62" i="6"/>
  <c r="K62" i="6"/>
  <c r="L62" i="6"/>
  <c r="M62" i="6"/>
  <c r="N62" i="6"/>
  <c r="O62" i="6"/>
  <c r="P62" i="6"/>
  <c r="Q62" i="6"/>
  <c r="R62" i="6"/>
  <c r="S62" i="6"/>
  <c r="U62" i="6"/>
  <c r="V62" i="6"/>
  <c r="W62" i="6"/>
  <c r="X62" i="6"/>
  <c r="Y62" i="6"/>
  <c r="Z62" i="6"/>
  <c r="AA62" i="6"/>
  <c r="AB62" i="6"/>
  <c r="H63" i="6"/>
  <c r="I63" i="6"/>
  <c r="J63" i="6"/>
  <c r="K63" i="6"/>
  <c r="T63" i="6" s="1"/>
  <c r="L63" i="6"/>
  <c r="M63" i="6"/>
  <c r="N63" i="6"/>
  <c r="O63" i="6"/>
  <c r="P63" i="6"/>
  <c r="Q63" i="6"/>
  <c r="R63" i="6"/>
  <c r="S63" i="6"/>
  <c r="U63" i="6"/>
  <c r="V63" i="6"/>
  <c r="W63" i="6"/>
  <c r="X63" i="6"/>
  <c r="Y63" i="6"/>
  <c r="Z63" i="6"/>
  <c r="AA63" i="6"/>
  <c r="AB63" i="6"/>
  <c r="H64" i="6"/>
  <c r="I64" i="6"/>
  <c r="J64" i="6"/>
  <c r="K64" i="6"/>
  <c r="L64" i="6"/>
  <c r="M64" i="6"/>
  <c r="N64" i="6"/>
  <c r="O64" i="6"/>
  <c r="P64" i="6"/>
  <c r="Q64" i="6"/>
  <c r="R64" i="6"/>
  <c r="S64" i="6"/>
  <c r="U64" i="6"/>
  <c r="V64" i="6"/>
  <c r="W64" i="6"/>
  <c r="X64" i="6"/>
  <c r="Y64" i="6"/>
  <c r="Z64" i="6"/>
  <c r="AA64" i="6"/>
  <c r="AB64" i="6"/>
  <c r="H65" i="6"/>
  <c r="I65" i="6"/>
  <c r="J65" i="6"/>
  <c r="K65" i="6"/>
  <c r="L65" i="6"/>
  <c r="M65" i="6"/>
  <c r="T65" i="6" s="1"/>
  <c r="N65" i="6"/>
  <c r="O65" i="6"/>
  <c r="P65" i="6"/>
  <c r="Q65" i="6"/>
  <c r="R65" i="6"/>
  <c r="S65" i="6"/>
  <c r="AC65" i="6" s="1"/>
  <c r="U65" i="6"/>
  <c r="V65" i="6"/>
  <c r="W65" i="6"/>
  <c r="X65" i="6"/>
  <c r="Y65" i="6"/>
  <c r="Z65" i="6"/>
  <c r="AA65" i="6"/>
  <c r="AB65" i="6"/>
  <c r="H66" i="6"/>
  <c r="I66" i="6"/>
  <c r="J66" i="6"/>
  <c r="K66" i="6"/>
  <c r="L66" i="6"/>
  <c r="M66" i="6"/>
  <c r="N66" i="6"/>
  <c r="O66" i="6"/>
  <c r="P66" i="6"/>
  <c r="Q66" i="6"/>
  <c r="R66" i="6"/>
  <c r="S66" i="6"/>
  <c r="U66" i="6"/>
  <c r="V66" i="6"/>
  <c r="W66" i="6"/>
  <c r="X66" i="6"/>
  <c r="Y66" i="6"/>
  <c r="Z66" i="6"/>
  <c r="AA66" i="6"/>
  <c r="AB66" i="6"/>
  <c r="H67" i="6"/>
  <c r="I67" i="6"/>
  <c r="J67" i="6"/>
  <c r="K67" i="6"/>
  <c r="L67" i="6"/>
  <c r="M67" i="6"/>
  <c r="N67" i="6"/>
  <c r="O67" i="6"/>
  <c r="P67" i="6"/>
  <c r="Q67" i="6"/>
  <c r="T67" i="6" s="1"/>
  <c r="R67" i="6"/>
  <c r="S67" i="6"/>
  <c r="U67" i="6"/>
  <c r="V67" i="6"/>
  <c r="W67" i="6"/>
  <c r="X67" i="6"/>
  <c r="AC67" i="6" s="1"/>
  <c r="Y67" i="6"/>
  <c r="Z67" i="6"/>
  <c r="AA67" i="6"/>
  <c r="AB67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EV69" i="8"/>
  <c r="EU69" i="8"/>
  <c r="DQ69" i="8"/>
  <c r="DP69" i="8"/>
  <c r="EV68" i="8"/>
  <c r="EV70" i="8" s="1"/>
  <c r="EU68" i="8"/>
  <c r="EU70" i="8" s="1"/>
  <c r="DQ69" i="6"/>
  <c r="DP69" i="6"/>
  <c r="CL69" i="6"/>
  <c r="CK69" i="6"/>
  <c r="DQ69" i="5"/>
  <c r="DP69" i="5"/>
  <c r="DP70" i="5" s="1"/>
  <c r="CL69" i="5"/>
  <c r="CK69" i="5"/>
  <c r="DQ68" i="5"/>
  <c r="DQ70" i="5" s="1"/>
  <c r="C5" i="7" s="1"/>
  <c r="C43" i="7" s="1"/>
  <c r="DP68" i="5"/>
  <c r="CL68" i="5"/>
  <c r="CL70" i="5" s="1"/>
  <c r="B5" i="7" s="1"/>
  <c r="CK68" i="5"/>
  <c r="CK70" i="5" s="1"/>
  <c r="H45" i="5"/>
  <c r="I45" i="5"/>
  <c r="J45" i="5"/>
  <c r="K45" i="5"/>
  <c r="L45" i="5"/>
  <c r="M45" i="5"/>
  <c r="N45" i="5"/>
  <c r="O45" i="5"/>
  <c r="P45" i="5"/>
  <c r="Q45" i="5"/>
  <c r="R45" i="5"/>
  <c r="S45" i="5"/>
  <c r="T45" i="5" s="1"/>
  <c r="U45" i="5"/>
  <c r="V45" i="5"/>
  <c r="W45" i="5"/>
  <c r="X45" i="5"/>
  <c r="Y45" i="5"/>
  <c r="Z45" i="5"/>
  <c r="AA45" i="5"/>
  <c r="AB45" i="5"/>
  <c r="AD45" i="5"/>
  <c r="AE45" i="5"/>
  <c r="AF45" i="5"/>
  <c r="AG45" i="5"/>
  <c r="AH45" i="5"/>
  <c r="CQ45" i="5" s="1"/>
  <c r="AI45" i="5"/>
  <c r="AJ45" i="5"/>
  <c r="CS45" i="5" s="1"/>
  <c r="AK45" i="5"/>
  <c r="AL45" i="5"/>
  <c r="AM45" i="5"/>
  <c r="AN45" i="5"/>
  <c r="AO45" i="5"/>
  <c r="AP45" i="5"/>
  <c r="AQ45" i="5"/>
  <c r="AR45" i="5"/>
  <c r="AS45" i="5"/>
  <c r="AT45" i="5"/>
  <c r="AU45" i="5"/>
  <c r="BY45" i="5" s="1"/>
  <c r="AV45" i="5"/>
  <c r="DE45" i="5" s="1"/>
  <c r="AW45" i="5"/>
  <c r="DF45" i="5" s="1"/>
  <c r="AX45" i="5"/>
  <c r="DG45" i="5" s="1"/>
  <c r="AY45" i="5"/>
  <c r="CC45" i="5" s="1"/>
  <c r="AZ45" i="5"/>
  <c r="DI45" i="5" s="1"/>
  <c r="BA45" i="5"/>
  <c r="BB45" i="5"/>
  <c r="BC45" i="5"/>
  <c r="CG45" i="5" s="1"/>
  <c r="BD45" i="5"/>
  <c r="BE45" i="5"/>
  <c r="BF45" i="5"/>
  <c r="CJ45" i="5" s="1"/>
  <c r="BH45" i="5"/>
  <c r="BI45" i="5"/>
  <c r="BK45" i="5"/>
  <c r="BL45" i="5"/>
  <c r="BQ45" i="5"/>
  <c r="BR45" i="5"/>
  <c r="BS45" i="5"/>
  <c r="BT45" i="5"/>
  <c r="BU45" i="5"/>
  <c r="BV45" i="5"/>
  <c r="BW45" i="5"/>
  <c r="BX45" i="5"/>
  <c r="CB45" i="5"/>
  <c r="CH45" i="5"/>
  <c r="CI45" i="5"/>
  <c r="CM45" i="5"/>
  <c r="CN45" i="5"/>
  <c r="CP45" i="5"/>
  <c r="CR45" i="5"/>
  <c r="CW45" i="5"/>
  <c r="CX45" i="5"/>
  <c r="CY45" i="5"/>
  <c r="CZ45" i="5"/>
  <c r="DA45" i="5"/>
  <c r="DB45" i="5"/>
  <c r="DC45" i="5"/>
  <c r="DD45" i="5"/>
  <c r="DH45" i="5"/>
  <c r="DM45" i="5"/>
  <c r="DN45" i="5"/>
  <c r="DO45" i="5"/>
  <c r="H46" i="5"/>
  <c r="I46" i="5"/>
  <c r="J46" i="5"/>
  <c r="K46" i="5"/>
  <c r="L46" i="5"/>
  <c r="M46" i="5"/>
  <c r="N46" i="5"/>
  <c r="O46" i="5"/>
  <c r="P46" i="5"/>
  <c r="Q46" i="5"/>
  <c r="R46" i="5"/>
  <c r="AC46" i="5" s="1"/>
  <c r="S46" i="5"/>
  <c r="T46" i="5"/>
  <c r="U46" i="5"/>
  <c r="V46" i="5"/>
  <c r="W46" i="5"/>
  <c r="X46" i="5"/>
  <c r="Y46" i="5"/>
  <c r="Z46" i="5"/>
  <c r="AA46" i="5"/>
  <c r="AB46" i="5"/>
  <c r="AJ46" i="5"/>
  <c r="AQ46" i="5"/>
  <c r="AZ46" i="5"/>
  <c r="BU46" i="5"/>
  <c r="CZ46" i="5"/>
  <c r="H47" i="5"/>
  <c r="I47" i="5"/>
  <c r="J47" i="5"/>
  <c r="K47" i="5"/>
  <c r="L47" i="5"/>
  <c r="M47" i="5"/>
  <c r="N47" i="5"/>
  <c r="O47" i="5"/>
  <c r="P47" i="5"/>
  <c r="Q47" i="5"/>
  <c r="R47" i="5"/>
  <c r="S47" i="5"/>
  <c r="U47" i="5"/>
  <c r="V47" i="5"/>
  <c r="W47" i="5"/>
  <c r="X47" i="5"/>
  <c r="Y47" i="5"/>
  <c r="Z47" i="5"/>
  <c r="AA47" i="5"/>
  <c r="AB47" i="5"/>
  <c r="H48" i="5"/>
  <c r="I48" i="5"/>
  <c r="J48" i="5"/>
  <c r="K48" i="5"/>
  <c r="L48" i="5"/>
  <c r="M48" i="5"/>
  <c r="N48" i="5"/>
  <c r="O48" i="5"/>
  <c r="P48" i="5"/>
  <c r="Q48" i="5"/>
  <c r="R48" i="5"/>
  <c r="AC48" i="5" s="1"/>
  <c r="S48" i="5"/>
  <c r="U48" i="5"/>
  <c r="V48" i="5"/>
  <c r="W48" i="5"/>
  <c r="X48" i="5"/>
  <c r="Y48" i="5"/>
  <c r="Z48" i="5"/>
  <c r="AA48" i="5"/>
  <c r="AB48" i="5"/>
  <c r="H49" i="5"/>
  <c r="I49" i="5"/>
  <c r="J49" i="5"/>
  <c r="K49" i="5"/>
  <c r="L49" i="5"/>
  <c r="M49" i="5"/>
  <c r="N49" i="5"/>
  <c r="O49" i="5"/>
  <c r="P49" i="5"/>
  <c r="Q49" i="5"/>
  <c r="R49" i="5"/>
  <c r="S49" i="5"/>
  <c r="U49" i="5"/>
  <c r="V49" i="5"/>
  <c r="W49" i="5"/>
  <c r="X49" i="5"/>
  <c r="Y49" i="5"/>
  <c r="Z49" i="5"/>
  <c r="AA49" i="5"/>
  <c r="AB49" i="5"/>
  <c r="AC49" i="5"/>
  <c r="H50" i="5"/>
  <c r="I50" i="5"/>
  <c r="J50" i="5"/>
  <c r="K50" i="5"/>
  <c r="L50" i="5"/>
  <c r="M50" i="5"/>
  <c r="N50" i="5"/>
  <c r="O50" i="5"/>
  <c r="P50" i="5"/>
  <c r="Q50" i="5"/>
  <c r="R50" i="5"/>
  <c r="T50" i="5" s="1"/>
  <c r="S50" i="5"/>
  <c r="U50" i="5"/>
  <c r="V50" i="5"/>
  <c r="W50" i="5"/>
  <c r="X50" i="5"/>
  <c r="Y50" i="5"/>
  <c r="Z50" i="5"/>
  <c r="AA50" i="5"/>
  <c r="AC50" i="5" s="1"/>
  <c r="AB50" i="5"/>
  <c r="H51" i="5"/>
  <c r="I51" i="5"/>
  <c r="J51" i="5"/>
  <c r="K51" i="5"/>
  <c r="T51" i="5" s="1"/>
  <c r="L51" i="5"/>
  <c r="M51" i="5"/>
  <c r="N51" i="5"/>
  <c r="O51" i="5"/>
  <c r="P51" i="5"/>
  <c r="Q51" i="5"/>
  <c r="R51" i="5"/>
  <c r="S51" i="5"/>
  <c r="U51" i="5"/>
  <c r="V51" i="5"/>
  <c r="W51" i="5"/>
  <c r="X51" i="5"/>
  <c r="Y51" i="5"/>
  <c r="Z51" i="5"/>
  <c r="AA51" i="5"/>
  <c r="AB51" i="5"/>
  <c r="H52" i="5"/>
  <c r="I52" i="5"/>
  <c r="J52" i="5"/>
  <c r="K52" i="5"/>
  <c r="L52" i="5"/>
  <c r="M52" i="5"/>
  <c r="N52" i="5"/>
  <c r="O52" i="5"/>
  <c r="P52" i="5"/>
  <c r="Q52" i="5"/>
  <c r="R52" i="5"/>
  <c r="S52" i="5"/>
  <c r="U52" i="5"/>
  <c r="V52" i="5"/>
  <c r="W52" i="5"/>
  <c r="X52" i="5"/>
  <c r="Y52" i="5"/>
  <c r="Z52" i="5"/>
  <c r="AA52" i="5"/>
  <c r="AB52" i="5"/>
  <c r="H53" i="5"/>
  <c r="I53" i="5"/>
  <c r="J53" i="5"/>
  <c r="K53" i="5"/>
  <c r="L53" i="5"/>
  <c r="M53" i="5"/>
  <c r="N53" i="5"/>
  <c r="O53" i="5"/>
  <c r="P53" i="5"/>
  <c r="T53" i="5" s="1"/>
  <c r="Q53" i="5"/>
  <c r="R53" i="5"/>
  <c r="S53" i="5"/>
  <c r="U53" i="5"/>
  <c r="V53" i="5"/>
  <c r="W53" i="5"/>
  <c r="X53" i="5"/>
  <c r="Y53" i="5"/>
  <c r="Z53" i="5"/>
  <c r="AA53" i="5"/>
  <c r="AB53" i="5"/>
  <c r="H54" i="5"/>
  <c r="I54" i="5"/>
  <c r="J54" i="5"/>
  <c r="K54" i="5"/>
  <c r="L54" i="5"/>
  <c r="M54" i="5"/>
  <c r="N54" i="5"/>
  <c r="O54" i="5"/>
  <c r="P54" i="5"/>
  <c r="Q54" i="5"/>
  <c r="R54" i="5"/>
  <c r="AC54" i="5" s="1"/>
  <c r="S54" i="5"/>
  <c r="T54" i="5"/>
  <c r="U54" i="5"/>
  <c r="V54" i="5"/>
  <c r="W54" i="5"/>
  <c r="X54" i="5"/>
  <c r="Y54" i="5"/>
  <c r="Z54" i="5"/>
  <c r="AA54" i="5"/>
  <c r="AB54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 s="1"/>
  <c r="U55" i="5"/>
  <c r="V55" i="5"/>
  <c r="W55" i="5"/>
  <c r="X55" i="5"/>
  <c r="Y55" i="5"/>
  <c r="Z55" i="5"/>
  <c r="AA55" i="5"/>
  <c r="AB55" i="5"/>
  <c r="H56" i="5"/>
  <c r="I56" i="5"/>
  <c r="J56" i="5"/>
  <c r="K56" i="5"/>
  <c r="L56" i="5"/>
  <c r="M56" i="5"/>
  <c r="N56" i="5"/>
  <c r="O56" i="5"/>
  <c r="P56" i="5"/>
  <c r="Q56" i="5"/>
  <c r="R56" i="5"/>
  <c r="T56" i="5" s="1"/>
  <c r="S56" i="5"/>
  <c r="U56" i="5"/>
  <c r="V56" i="5"/>
  <c r="W56" i="5"/>
  <c r="X56" i="5"/>
  <c r="Y56" i="5"/>
  <c r="Z56" i="5"/>
  <c r="AA56" i="5"/>
  <c r="AB56" i="5"/>
  <c r="H57" i="5"/>
  <c r="I57" i="5"/>
  <c r="J57" i="5"/>
  <c r="K57" i="5"/>
  <c r="L57" i="5"/>
  <c r="M57" i="5"/>
  <c r="N57" i="5"/>
  <c r="O57" i="5"/>
  <c r="P57" i="5"/>
  <c r="Q57" i="5"/>
  <c r="R57" i="5"/>
  <c r="S57" i="5"/>
  <c r="U57" i="5"/>
  <c r="V57" i="5"/>
  <c r="W57" i="5"/>
  <c r="X57" i="5"/>
  <c r="AC57" i="5" s="1"/>
  <c r="Y57" i="5"/>
  <c r="Z57" i="5"/>
  <c r="AA57" i="5"/>
  <c r="AB57" i="5"/>
  <c r="H58" i="5"/>
  <c r="I58" i="5"/>
  <c r="J58" i="5"/>
  <c r="K58" i="5"/>
  <c r="L58" i="5"/>
  <c r="M58" i="5"/>
  <c r="N58" i="5"/>
  <c r="O58" i="5"/>
  <c r="P58" i="5"/>
  <c r="Q58" i="5"/>
  <c r="R58" i="5"/>
  <c r="S58" i="5"/>
  <c r="U58" i="5"/>
  <c r="V58" i="5"/>
  <c r="W58" i="5"/>
  <c r="X58" i="5"/>
  <c r="Y58" i="5"/>
  <c r="Z58" i="5"/>
  <c r="AA58" i="5"/>
  <c r="AB58" i="5"/>
  <c r="AC58" i="5"/>
  <c r="H59" i="5"/>
  <c r="I59" i="5"/>
  <c r="J59" i="5"/>
  <c r="K59" i="5"/>
  <c r="L59" i="5"/>
  <c r="T59" i="5" s="1"/>
  <c r="M59" i="5"/>
  <c r="N59" i="5"/>
  <c r="O59" i="5"/>
  <c r="P59" i="5"/>
  <c r="Q59" i="5"/>
  <c r="R59" i="5"/>
  <c r="S59" i="5"/>
  <c r="U59" i="5"/>
  <c r="V59" i="5"/>
  <c r="W59" i="5"/>
  <c r="X59" i="5"/>
  <c r="Y59" i="5"/>
  <c r="Z59" i="5"/>
  <c r="AA59" i="5"/>
  <c r="AB59" i="5"/>
  <c r="H60" i="5"/>
  <c r="I60" i="5"/>
  <c r="J60" i="5"/>
  <c r="K60" i="5"/>
  <c r="L60" i="5"/>
  <c r="M60" i="5"/>
  <c r="N60" i="5"/>
  <c r="O60" i="5"/>
  <c r="P60" i="5"/>
  <c r="Q60" i="5"/>
  <c r="R60" i="5"/>
  <c r="T60" i="5" s="1"/>
  <c r="S60" i="5"/>
  <c r="U60" i="5"/>
  <c r="V60" i="5"/>
  <c r="W60" i="5"/>
  <c r="X60" i="5"/>
  <c r="Y60" i="5"/>
  <c r="Z60" i="5"/>
  <c r="AA60" i="5"/>
  <c r="AB60" i="5"/>
  <c r="H61" i="5"/>
  <c r="I61" i="5"/>
  <c r="J61" i="5"/>
  <c r="K61" i="5"/>
  <c r="L61" i="5"/>
  <c r="M61" i="5"/>
  <c r="N61" i="5"/>
  <c r="O61" i="5"/>
  <c r="P61" i="5"/>
  <c r="Q61" i="5"/>
  <c r="R61" i="5"/>
  <c r="T61" i="5" s="1"/>
  <c r="S61" i="5"/>
  <c r="U61" i="5"/>
  <c r="V61" i="5"/>
  <c r="W61" i="5"/>
  <c r="X61" i="5"/>
  <c r="Y61" i="5"/>
  <c r="AC61" i="5" s="1"/>
  <c r="Z61" i="5"/>
  <c r="AA61" i="5"/>
  <c r="AB61" i="5"/>
  <c r="H62" i="5"/>
  <c r="I62" i="5"/>
  <c r="J62" i="5"/>
  <c r="K62" i="5"/>
  <c r="L62" i="5"/>
  <c r="M62" i="5"/>
  <c r="N62" i="5"/>
  <c r="O62" i="5"/>
  <c r="P62" i="5"/>
  <c r="Q62" i="5"/>
  <c r="R62" i="5"/>
  <c r="S62" i="5"/>
  <c r="U62" i="5"/>
  <c r="V62" i="5"/>
  <c r="W62" i="5"/>
  <c r="AC62" i="5" s="1"/>
  <c r="X62" i="5"/>
  <c r="Y62" i="5"/>
  <c r="Z62" i="5"/>
  <c r="AA62" i="5"/>
  <c r="AB62" i="5"/>
  <c r="H63" i="5"/>
  <c r="I63" i="5"/>
  <c r="J63" i="5"/>
  <c r="K63" i="5"/>
  <c r="L63" i="5"/>
  <c r="M63" i="5"/>
  <c r="N63" i="5"/>
  <c r="O63" i="5"/>
  <c r="P63" i="5"/>
  <c r="Q63" i="5"/>
  <c r="R63" i="5"/>
  <c r="S63" i="5"/>
  <c r="U63" i="5"/>
  <c r="V63" i="5"/>
  <c r="W63" i="5"/>
  <c r="X63" i="5"/>
  <c r="Y63" i="5"/>
  <c r="Z63" i="5"/>
  <c r="AA63" i="5"/>
  <c r="AB63" i="5"/>
  <c r="AC63" i="5"/>
  <c r="H64" i="5"/>
  <c r="I64" i="5"/>
  <c r="J64" i="5"/>
  <c r="T64" i="5" s="1"/>
  <c r="K64" i="5"/>
  <c r="L64" i="5"/>
  <c r="M64" i="5"/>
  <c r="N64" i="5"/>
  <c r="O64" i="5"/>
  <c r="P64" i="5"/>
  <c r="Q64" i="5"/>
  <c r="R64" i="5"/>
  <c r="S64" i="5"/>
  <c r="U64" i="5"/>
  <c r="AC64" i="5" s="1"/>
  <c r="V64" i="5"/>
  <c r="W64" i="5"/>
  <c r="X64" i="5"/>
  <c r="Y64" i="5"/>
  <c r="Z64" i="5"/>
  <c r="AA64" i="5"/>
  <c r="AB64" i="5"/>
  <c r="H65" i="5"/>
  <c r="I65" i="5"/>
  <c r="J65" i="5"/>
  <c r="K65" i="5"/>
  <c r="L65" i="5"/>
  <c r="M65" i="5"/>
  <c r="N65" i="5"/>
  <c r="O65" i="5"/>
  <c r="P65" i="5"/>
  <c r="Q65" i="5"/>
  <c r="R65" i="5"/>
  <c r="S65" i="5"/>
  <c r="U65" i="5"/>
  <c r="V65" i="5"/>
  <c r="W65" i="5"/>
  <c r="X65" i="5"/>
  <c r="Y65" i="5"/>
  <c r="Z65" i="5"/>
  <c r="AA65" i="5"/>
  <c r="AB65" i="5"/>
  <c r="H66" i="5"/>
  <c r="I66" i="5"/>
  <c r="J66" i="5"/>
  <c r="K66" i="5"/>
  <c r="L66" i="5"/>
  <c r="M66" i="5"/>
  <c r="N66" i="5"/>
  <c r="O66" i="5"/>
  <c r="T66" i="5" s="1"/>
  <c r="P66" i="5"/>
  <c r="Q66" i="5"/>
  <c r="R66" i="5"/>
  <c r="S66" i="5"/>
  <c r="U66" i="5"/>
  <c r="V66" i="5"/>
  <c r="W66" i="5"/>
  <c r="X66" i="5"/>
  <c r="Y66" i="5"/>
  <c r="Z66" i="5"/>
  <c r="AA66" i="5"/>
  <c r="AB66" i="5"/>
  <c r="H67" i="5"/>
  <c r="I67" i="5"/>
  <c r="J67" i="5"/>
  <c r="K67" i="5"/>
  <c r="L67" i="5"/>
  <c r="M67" i="5"/>
  <c r="N67" i="5"/>
  <c r="O67" i="5"/>
  <c r="P67" i="5"/>
  <c r="Q67" i="5"/>
  <c r="R67" i="5"/>
  <c r="T67" i="5" s="1"/>
  <c r="S67" i="5"/>
  <c r="U67" i="5"/>
  <c r="AC67" i="5" s="1"/>
  <c r="V67" i="5"/>
  <c r="W67" i="5"/>
  <c r="X67" i="5"/>
  <c r="Y67" i="5"/>
  <c r="Z67" i="5"/>
  <c r="AA67" i="5"/>
  <c r="AB67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L69" i="4"/>
  <c r="CK69" i="4"/>
  <c r="DQ69" i="4"/>
  <c r="DP69" i="4"/>
  <c r="DQ69" i="3"/>
  <c r="DP69" i="3"/>
  <c r="B6" i="7"/>
  <c r="CL69" i="3"/>
  <c r="CK69" i="3"/>
  <c r="CK68" i="2"/>
  <c r="CL68" i="2"/>
  <c r="DQ68" i="2"/>
  <c r="DP68" i="2"/>
  <c r="H45" i="2"/>
  <c r="I45" i="2"/>
  <c r="J45" i="2"/>
  <c r="K45" i="2"/>
  <c r="L45" i="2"/>
  <c r="M45" i="2"/>
  <c r="N45" i="2"/>
  <c r="O45" i="2"/>
  <c r="T45" i="2" s="1"/>
  <c r="P45" i="2"/>
  <c r="Q45" i="2"/>
  <c r="R45" i="2"/>
  <c r="S45" i="2"/>
  <c r="U45" i="2"/>
  <c r="V45" i="2"/>
  <c r="W45" i="2"/>
  <c r="X45" i="2"/>
  <c r="Y45" i="2"/>
  <c r="Z45" i="2"/>
  <c r="AA45" i="2"/>
  <c r="AB45" i="2"/>
  <c r="AD45" i="2"/>
  <c r="AE45" i="2"/>
  <c r="AF45" i="2"/>
  <c r="CO45" i="2" s="1"/>
  <c r="AG45" i="2"/>
  <c r="AH45" i="2"/>
  <c r="AI45" i="2"/>
  <c r="CR45" i="2" s="1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BZ45" i="2" s="1"/>
  <c r="AW45" i="2"/>
  <c r="CA45" i="2" s="1"/>
  <c r="AX45" i="2"/>
  <c r="AY45" i="2"/>
  <c r="CC45" i="2" s="1"/>
  <c r="AZ45" i="2"/>
  <c r="BA45" i="2"/>
  <c r="DJ45" i="2" s="1"/>
  <c r="BB45" i="2"/>
  <c r="BC45" i="2"/>
  <c r="BD45" i="2"/>
  <c r="BE45" i="2"/>
  <c r="BF45" i="2"/>
  <c r="CJ45" i="2" s="1"/>
  <c r="BL45" i="2"/>
  <c r="BR45" i="2"/>
  <c r="BS45" i="2"/>
  <c r="BT45" i="2"/>
  <c r="BU45" i="2"/>
  <c r="BV45" i="2"/>
  <c r="CB45" i="2"/>
  <c r="CH45" i="2"/>
  <c r="CI45" i="2"/>
  <c r="CQ45" i="2"/>
  <c r="CW45" i="2"/>
  <c r="CX45" i="2"/>
  <c r="CY45" i="2"/>
  <c r="CZ45" i="2"/>
  <c r="DA45" i="2"/>
  <c r="DE45" i="2"/>
  <c r="DG45" i="2"/>
  <c r="DH45" i="2"/>
  <c r="DM45" i="2"/>
  <c r="DN45" i="2"/>
  <c r="DO45" i="2"/>
  <c r="H46" i="2"/>
  <c r="I46" i="2"/>
  <c r="J46" i="2"/>
  <c r="K46" i="2"/>
  <c r="L46" i="2"/>
  <c r="M46" i="2"/>
  <c r="T46" i="2" s="1"/>
  <c r="N46" i="2"/>
  <c r="O46" i="2"/>
  <c r="P46" i="2"/>
  <c r="Q46" i="2"/>
  <c r="R46" i="2"/>
  <c r="S46" i="2"/>
  <c r="U46" i="2"/>
  <c r="V46" i="2"/>
  <c r="W46" i="2"/>
  <c r="X46" i="2"/>
  <c r="Y46" i="2"/>
  <c r="Z46" i="2"/>
  <c r="AA46" i="2"/>
  <c r="AB46" i="2"/>
  <c r="AC46" i="2"/>
  <c r="AH46" i="2"/>
  <c r="AQ46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X47" i="2"/>
  <c r="Y47" i="2"/>
  <c r="Z47" i="2"/>
  <c r="AA47" i="2"/>
  <c r="AB47" i="2"/>
  <c r="H48" i="2"/>
  <c r="I48" i="2"/>
  <c r="J48" i="2"/>
  <c r="K48" i="2"/>
  <c r="L48" i="2"/>
  <c r="M48" i="2"/>
  <c r="N48" i="2"/>
  <c r="O48" i="2"/>
  <c r="P48" i="2"/>
  <c r="Q48" i="2"/>
  <c r="R48" i="2"/>
  <c r="S48" i="2"/>
  <c r="U48" i="2"/>
  <c r="V48" i="2"/>
  <c r="W48" i="2"/>
  <c r="AC48" i="2" s="1"/>
  <c r="X48" i="2"/>
  <c r="Y48" i="2"/>
  <c r="Z48" i="2"/>
  <c r="AA48" i="2"/>
  <c r="AB48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X49" i="2"/>
  <c r="Y49" i="2"/>
  <c r="Z49" i="2"/>
  <c r="AA49" i="2"/>
  <c r="AB49" i="2"/>
  <c r="AC49" i="2" s="1"/>
  <c r="H50" i="2"/>
  <c r="I50" i="2"/>
  <c r="J50" i="2"/>
  <c r="K50" i="2"/>
  <c r="L50" i="2"/>
  <c r="M50" i="2"/>
  <c r="N50" i="2"/>
  <c r="O50" i="2"/>
  <c r="P50" i="2"/>
  <c r="Q50" i="2"/>
  <c r="R50" i="2"/>
  <c r="S50" i="2"/>
  <c r="U50" i="2"/>
  <c r="V50" i="2"/>
  <c r="W50" i="2"/>
  <c r="X50" i="2"/>
  <c r="Y50" i="2"/>
  <c r="AC50" i="2" s="1"/>
  <c r="Z50" i="2"/>
  <c r="AA50" i="2"/>
  <c r="AB50" i="2"/>
  <c r="H51" i="2"/>
  <c r="I51" i="2"/>
  <c r="J51" i="2"/>
  <c r="T51" i="2" s="1"/>
  <c r="K51" i="2"/>
  <c r="L51" i="2"/>
  <c r="M51" i="2"/>
  <c r="N51" i="2"/>
  <c r="O51" i="2"/>
  <c r="P51" i="2"/>
  <c r="Q51" i="2"/>
  <c r="R51" i="2"/>
  <c r="S51" i="2"/>
  <c r="U51" i="2"/>
  <c r="V51" i="2"/>
  <c r="W51" i="2"/>
  <c r="X51" i="2"/>
  <c r="Y51" i="2"/>
  <c r="Z51" i="2"/>
  <c r="AA51" i="2"/>
  <c r="AB51" i="2"/>
  <c r="H52" i="2"/>
  <c r="I52" i="2"/>
  <c r="J52" i="2"/>
  <c r="K52" i="2"/>
  <c r="L52" i="2"/>
  <c r="M52" i="2"/>
  <c r="N52" i="2"/>
  <c r="O52" i="2"/>
  <c r="P52" i="2"/>
  <c r="Q52" i="2"/>
  <c r="R52" i="2"/>
  <c r="S52" i="2"/>
  <c r="U52" i="2"/>
  <c r="V52" i="2"/>
  <c r="W52" i="2"/>
  <c r="X52" i="2"/>
  <c r="Y52" i="2"/>
  <c r="Z52" i="2"/>
  <c r="AA52" i="2"/>
  <c r="AB52" i="2"/>
  <c r="H53" i="2"/>
  <c r="I53" i="2"/>
  <c r="J53" i="2"/>
  <c r="K53" i="2"/>
  <c r="L53" i="2"/>
  <c r="M53" i="2"/>
  <c r="N53" i="2"/>
  <c r="O53" i="2"/>
  <c r="P53" i="2"/>
  <c r="Q53" i="2"/>
  <c r="R53" i="2"/>
  <c r="S53" i="2"/>
  <c r="U53" i="2"/>
  <c r="V53" i="2"/>
  <c r="AC53" i="2" s="1"/>
  <c r="W53" i="2"/>
  <c r="X53" i="2"/>
  <c r="Y53" i="2"/>
  <c r="Z53" i="2"/>
  <c r="AA53" i="2"/>
  <c r="AB53" i="2"/>
  <c r="H54" i="2"/>
  <c r="I54" i="2"/>
  <c r="J54" i="2"/>
  <c r="K54" i="2"/>
  <c r="L54" i="2"/>
  <c r="M54" i="2"/>
  <c r="N54" i="2"/>
  <c r="O54" i="2"/>
  <c r="P54" i="2"/>
  <c r="Q54" i="2"/>
  <c r="R54" i="2"/>
  <c r="S54" i="2"/>
  <c r="U54" i="2"/>
  <c r="V54" i="2"/>
  <c r="W54" i="2"/>
  <c r="X54" i="2"/>
  <c r="Y54" i="2"/>
  <c r="Z54" i="2"/>
  <c r="AA54" i="2"/>
  <c r="AB54" i="2"/>
  <c r="AC54" i="2"/>
  <c r="H55" i="2"/>
  <c r="I55" i="2"/>
  <c r="J55" i="2"/>
  <c r="K55" i="2"/>
  <c r="L55" i="2"/>
  <c r="M55" i="2"/>
  <c r="N55" i="2"/>
  <c r="O55" i="2"/>
  <c r="P55" i="2"/>
  <c r="Q55" i="2"/>
  <c r="R55" i="2"/>
  <c r="S55" i="2"/>
  <c r="U55" i="2"/>
  <c r="V55" i="2"/>
  <c r="W55" i="2"/>
  <c r="X55" i="2"/>
  <c r="Y55" i="2"/>
  <c r="Z55" i="2"/>
  <c r="AA55" i="2"/>
  <c r="AB55" i="2"/>
  <c r="H56" i="2"/>
  <c r="I56" i="2"/>
  <c r="J56" i="2"/>
  <c r="K56" i="2"/>
  <c r="L56" i="2"/>
  <c r="M56" i="2"/>
  <c r="N56" i="2"/>
  <c r="O56" i="2"/>
  <c r="P56" i="2"/>
  <c r="Q56" i="2"/>
  <c r="R56" i="2"/>
  <c r="S56" i="2"/>
  <c r="U56" i="2"/>
  <c r="V56" i="2"/>
  <c r="W56" i="2"/>
  <c r="X56" i="2"/>
  <c r="Y56" i="2"/>
  <c r="Z56" i="2"/>
  <c r="AA56" i="2"/>
  <c r="AB56" i="2"/>
  <c r="AC56" i="2"/>
  <c r="H57" i="2"/>
  <c r="I57" i="2"/>
  <c r="J57" i="2"/>
  <c r="K57" i="2"/>
  <c r="L57" i="2"/>
  <c r="M57" i="2"/>
  <c r="N57" i="2"/>
  <c r="O57" i="2"/>
  <c r="P57" i="2"/>
  <c r="Q57" i="2"/>
  <c r="R57" i="2"/>
  <c r="S57" i="2"/>
  <c r="U57" i="2"/>
  <c r="AC57" i="2" s="1"/>
  <c r="V57" i="2"/>
  <c r="W57" i="2"/>
  <c r="X57" i="2"/>
  <c r="Y57" i="2"/>
  <c r="Z57" i="2"/>
  <c r="AA57" i="2"/>
  <c r="AB57" i="2"/>
  <c r="H58" i="2"/>
  <c r="I58" i="2"/>
  <c r="J58" i="2"/>
  <c r="K58" i="2"/>
  <c r="L58" i="2"/>
  <c r="M58" i="2"/>
  <c r="T58" i="2" s="1"/>
  <c r="N58" i="2"/>
  <c r="O58" i="2"/>
  <c r="P58" i="2"/>
  <c r="Q58" i="2"/>
  <c r="R58" i="2"/>
  <c r="S58" i="2"/>
  <c r="U58" i="2"/>
  <c r="V58" i="2"/>
  <c r="W58" i="2"/>
  <c r="X58" i="2"/>
  <c r="Y58" i="2"/>
  <c r="Z58" i="2"/>
  <c r="AA58" i="2"/>
  <c r="AB58" i="2"/>
  <c r="H59" i="2"/>
  <c r="I59" i="2"/>
  <c r="J59" i="2"/>
  <c r="K59" i="2"/>
  <c r="L59" i="2"/>
  <c r="M59" i="2"/>
  <c r="N59" i="2"/>
  <c r="O59" i="2"/>
  <c r="P59" i="2"/>
  <c r="Q59" i="2"/>
  <c r="R59" i="2"/>
  <c r="T59" i="2" s="1"/>
  <c r="S59" i="2"/>
  <c r="U59" i="2"/>
  <c r="V59" i="2"/>
  <c r="W59" i="2"/>
  <c r="X59" i="2"/>
  <c r="Y59" i="2"/>
  <c r="Z59" i="2"/>
  <c r="AA59" i="2"/>
  <c r="AB59" i="2"/>
  <c r="H60" i="2"/>
  <c r="I60" i="2"/>
  <c r="J60" i="2"/>
  <c r="K60" i="2"/>
  <c r="L60" i="2"/>
  <c r="M60" i="2"/>
  <c r="N60" i="2"/>
  <c r="O60" i="2"/>
  <c r="P60" i="2"/>
  <c r="Q60" i="2"/>
  <c r="R60" i="2"/>
  <c r="S60" i="2"/>
  <c r="U60" i="2"/>
  <c r="V60" i="2"/>
  <c r="W60" i="2"/>
  <c r="X60" i="2"/>
  <c r="Y60" i="2"/>
  <c r="Z60" i="2"/>
  <c r="AA60" i="2"/>
  <c r="AB60" i="2"/>
  <c r="H61" i="2"/>
  <c r="I61" i="2"/>
  <c r="J61" i="2"/>
  <c r="K61" i="2"/>
  <c r="L61" i="2"/>
  <c r="M61" i="2"/>
  <c r="N61" i="2"/>
  <c r="O61" i="2"/>
  <c r="P61" i="2"/>
  <c r="Q61" i="2"/>
  <c r="R61" i="2"/>
  <c r="S61" i="2"/>
  <c r="U61" i="2"/>
  <c r="V61" i="2"/>
  <c r="W61" i="2"/>
  <c r="X61" i="2"/>
  <c r="Y61" i="2"/>
  <c r="Z61" i="2"/>
  <c r="AA61" i="2"/>
  <c r="AB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C62" i="2" s="1"/>
  <c r="V62" i="2"/>
  <c r="W62" i="2"/>
  <c r="X62" i="2"/>
  <c r="Y62" i="2"/>
  <c r="Z62" i="2"/>
  <c r="AA62" i="2"/>
  <c r="AB62" i="2"/>
  <c r="H63" i="2"/>
  <c r="I63" i="2"/>
  <c r="J63" i="2"/>
  <c r="T63" i="2" s="1"/>
  <c r="K63" i="2"/>
  <c r="L63" i="2"/>
  <c r="M63" i="2"/>
  <c r="N63" i="2"/>
  <c r="O63" i="2"/>
  <c r="P63" i="2"/>
  <c r="Q63" i="2"/>
  <c r="R63" i="2"/>
  <c r="S63" i="2"/>
  <c r="U63" i="2"/>
  <c r="V63" i="2"/>
  <c r="W63" i="2"/>
  <c r="X63" i="2"/>
  <c r="Y63" i="2"/>
  <c r="Z63" i="2"/>
  <c r="AA63" i="2"/>
  <c r="AB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H66" i="2"/>
  <c r="I66" i="2"/>
  <c r="J66" i="2"/>
  <c r="K66" i="2"/>
  <c r="L66" i="2"/>
  <c r="M66" i="2"/>
  <c r="N66" i="2"/>
  <c r="O66" i="2"/>
  <c r="P66" i="2"/>
  <c r="Q66" i="2"/>
  <c r="R66" i="2"/>
  <c r="S66" i="2"/>
  <c r="U66" i="2"/>
  <c r="V66" i="2"/>
  <c r="W66" i="2"/>
  <c r="X66" i="2"/>
  <c r="Y66" i="2"/>
  <c r="Z66" i="2"/>
  <c r="AA66" i="2"/>
  <c r="AB66" i="2"/>
  <c r="AC66" i="2"/>
  <c r="H67" i="2"/>
  <c r="I67" i="2"/>
  <c r="J67" i="2"/>
  <c r="K67" i="2"/>
  <c r="L67" i="2"/>
  <c r="M67" i="2"/>
  <c r="N67" i="2"/>
  <c r="O67" i="2"/>
  <c r="P67" i="2"/>
  <c r="Q67" i="2"/>
  <c r="R67" i="2"/>
  <c r="T67" i="2" s="1"/>
  <c r="S67" i="2"/>
  <c r="U67" i="2"/>
  <c r="V67" i="2"/>
  <c r="AC67" i="2" s="1"/>
  <c r="W67" i="2"/>
  <c r="X67" i="2"/>
  <c r="Y67" i="2"/>
  <c r="Z67" i="2"/>
  <c r="AA67" i="2"/>
  <c r="AB67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L68" i="4"/>
  <c r="CK68" i="4"/>
  <c r="DQ68" i="4"/>
  <c r="DP68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D45" i="4"/>
  <c r="AE45" i="4"/>
  <c r="AF45" i="4"/>
  <c r="AG45" i="4"/>
  <c r="AH45" i="4"/>
  <c r="AI45" i="4"/>
  <c r="AJ45" i="4"/>
  <c r="AK45" i="4"/>
  <c r="BO45" i="4" s="1"/>
  <c r="AL45" i="4"/>
  <c r="AM45" i="4"/>
  <c r="AN45" i="4"/>
  <c r="AO45" i="4"/>
  <c r="AP45" i="4"/>
  <c r="BT45" i="4" s="1"/>
  <c r="AQ45" i="4"/>
  <c r="AR45" i="4"/>
  <c r="AS45" i="4"/>
  <c r="BW45" i="4" s="1"/>
  <c r="AT45" i="4"/>
  <c r="AU45" i="4"/>
  <c r="AV45" i="4"/>
  <c r="AW45" i="4"/>
  <c r="AX45" i="4"/>
  <c r="AY45" i="4"/>
  <c r="DH45" i="4" s="1"/>
  <c r="AZ45" i="4"/>
  <c r="BA45" i="4"/>
  <c r="BB45" i="4"/>
  <c r="BC45" i="4"/>
  <c r="BE46" i="4" s="1"/>
  <c r="BD45" i="4"/>
  <c r="BE45" i="4"/>
  <c r="BF45" i="4"/>
  <c r="CJ45" i="4" s="1"/>
  <c r="BK45" i="4"/>
  <c r="BR45" i="4"/>
  <c r="BS45" i="4"/>
  <c r="BV45" i="4"/>
  <c r="CH45" i="4"/>
  <c r="CI45" i="4"/>
  <c r="CO45" i="4"/>
  <c r="CP45" i="4"/>
  <c r="CW45" i="4"/>
  <c r="CX45" i="4"/>
  <c r="CY45" i="4"/>
  <c r="DA45" i="4"/>
  <c r="DM45" i="4"/>
  <c r="DN45" i="4"/>
  <c r="DO45" i="4"/>
  <c r="H46" i="4"/>
  <c r="I46" i="4"/>
  <c r="J46" i="4"/>
  <c r="K46" i="4"/>
  <c r="L46" i="4"/>
  <c r="M46" i="4"/>
  <c r="T46" i="4" s="1"/>
  <c r="N46" i="4"/>
  <c r="O46" i="4"/>
  <c r="P46" i="4"/>
  <c r="Q46" i="4"/>
  <c r="R46" i="4"/>
  <c r="S46" i="4"/>
  <c r="U46" i="4"/>
  <c r="V46" i="4"/>
  <c r="W46" i="4"/>
  <c r="X46" i="4"/>
  <c r="Y46" i="4"/>
  <c r="Z46" i="4"/>
  <c r="AA46" i="4"/>
  <c r="AB46" i="4"/>
  <c r="AC46" i="4"/>
  <c r="AQ46" i="4"/>
  <c r="BU46" i="4" s="1"/>
  <c r="CZ46" i="4"/>
  <c r="H47" i="4"/>
  <c r="I47" i="4"/>
  <c r="J47" i="4"/>
  <c r="K47" i="4"/>
  <c r="L47" i="4"/>
  <c r="M47" i="4"/>
  <c r="N47" i="4"/>
  <c r="O47" i="4"/>
  <c r="P47" i="4"/>
  <c r="Q47" i="4"/>
  <c r="R47" i="4"/>
  <c r="S47" i="4"/>
  <c r="U47" i="4"/>
  <c r="V47" i="4"/>
  <c r="W47" i="4"/>
  <c r="X47" i="4"/>
  <c r="Y47" i="4"/>
  <c r="Z47" i="4"/>
  <c r="AA47" i="4"/>
  <c r="AB47" i="4"/>
  <c r="AC47" i="4"/>
  <c r="H48" i="4"/>
  <c r="I48" i="4"/>
  <c r="J48" i="4"/>
  <c r="K48" i="4"/>
  <c r="L48" i="4"/>
  <c r="M48" i="4"/>
  <c r="N48" i="4"/>
  <c r="O48" i="4"/>
  <c r="P48" i="4"/>
  <c r="Q48" i="4"/>
  <c r="R48" i="4"/>
  <c r="S48" i="4"/>
  <c r="U48" i="4"/>
  <c r="V48" i="4"/>
  <c r="W48" i="4"/>
  <c r="X48" i="4"/>
  <c r="Y48" i="4"/>
  <c r="Z48" i="4"/>
  <c r="AA48" i="4"/>
  <c r="AB48" i="4"/>
  <c r="H49" i="4"/>
  <c r="I49" i="4"/>
  <c r="J49" i="4"/>
  <c r="K49" i="4"/>
  <c r="L49" i="4"/>
  <c r="M49" i="4"/>
  <c r="N49" i="4"/>
  <c r="O49" i="4"/>
  <c r="P49" i="4"/>
  <c r="Q49" i="4"/>
  <c r="R49" i="4"/>
  <c r="S49" i="4"/>
  <c r="U49" i="4"/>
  <c r="V49" i="4"/>
  <c r="W49" i="4"/>
  <c r="X49" i="4"/>
  <c r="Y49" i="4"/>
  <c r="Z49" i="4"/>
  <c r="AA49" i="4"/>
  <c r="AB49" i="4"/>
  <c r="H50" i="4"/>
  <c r="I50" i="4"/>
  <c r="J50" i="4"/>
  <c r="K50" i="4"/>
  <c r="L50" i="4"/>
  <c r="M50" i="4"/>
  <c r="N50" i="4"/>
  <c r="O50" i="4"/>
  <c r="P50" i="4"/>
  <c r="Q50" i="4"/>
  <c r="R50" i="4"/>
  <c r="S50" i="4"/>
  <c r="U50" i="4"/>
  <c r="V50" i="4"/>
  <c r="W50" i="4"/>
  <c r="X50" i="4"/>
  <c r="AC50" i="4" s="1"/>
  <c r="Y50" i="4"/>
  <c r="Z50" i="4"/>
  <c r="AA50" i="4"/>
  <c r="AB50" i="4"/>
  <c r="H51" i="4"/>
  <c r="I51" i="4"/>
  <c r="J51" i="4"/>
  <c r="K51" i="4"/>
  <c r="L51" i="4"/>
  <c r="M51" i="4"/>
  <c r="N51" i="4"/>
  <c r="O51" i="4"/>
  <c r="P51" i="4"/>
  <c r="Q51" i="4"/>
  <c r="R51" i="4"/>
  <c r="S51" i="4"/>
  <c r="U51" i="4"/>
  <c r="V51" i="4"/>
  <c r="W51" i="4"/>
  <c r="X51" i="4"/>
  <c r="Y51" i="4"/>
  <c r="Z51" i="4"/>
  <c r="AA51" i="4"/>
  <c r="AB51" i="4"/>
  <c r="H52" i="4"/>
  <c r="I52" i="4"/>
  <c r="J52" i="4"/>
  <c r="K52" i="4"/>
  <c r="L52" i="4"/>
  <c r="M52" i="4"/>
  <c r="N52" i="4"/>
  <c r="O52" i="4"/>
  <c r="P52" i="4"/>
  <c r="Q52" i="4"/>
  <c r="R52" i="4"/>
  <c r="S52" i="4"/>
  <c r="U52" i="4"/>
  <c r="V52" i="4"/>
  <c r="W52" i="4"/>
  <c r="X52" i="4"/>
  <c r="Y52" i="4"/>
  <c r="Z52" i="4"/>
  <c r="AA52" i="4"/>
  <c r="AB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H54" i="4"/>
  <c r="I54" i="4"/>
  <c r="J54" i="4"/>
  <c r="K54" i="4"/>
  <c r="L54" i="4"/>
  <c r="M54" i="4"/>
  <c r="T54" i="4" s="1"/>
  <c r="N54" i="4"/>
  <c r="O54" i="4"/>
  <c r="P54" i="4"/>
  <c r="Q54" i="4"/>
  <c r="R54" i="4"/>
  <c r="S54" i="4"/>
  <c r="U54" i="4"/>
  <c r="V54" i="4"/>
  <c r="W54" i="4"/>
  <c r="X54" i="4"/>
  <c r="Y54" i="4"/>
  <c r="Z54" i="4"/>
  <c r="AA54" i="4"/>
  <c r="AB54" i="4"/>
  <c r="AC54" i="4"/>
  <c r="H55" i="4"/>
  <c r="I55" i="4"/>
  <c r="J55" i="4"/>
  <c r="K55" i="4"/>
  <c r="L55" i="4"/>
  <c r="M55" i="4"/>
  <c r="N55" i="4"/>
  <c r="O55" i="4"/>
  <c r="P55" i="4"/>
  <c r="Q55" i="4"/>
  <c r="R55" i="4"/>
  <c r="S55" i="4"/>
  <c r="U55" i="4"/>
  <c r="V55" i="4"/>
  <c r="W55" i="4"/>
  <c r="X55" i="4"/>
  <c r="Y55" i="4"/>
  <c r="Z55" i="4"/>
  <c r="AA55" i="4"/>
  <c r="AB55" i="4"/>
  <c r="AC55" i="4"/>
  <c r="H56" i="4"/>
  <c r="I56" i="4"/>
  <c r="J56" i="4"/>
  <c r="K56" i="4"/>
  <c r="L56" i="4"/>
  <c r="M56" i="4"/>
  <c r="N56" i="4"/>
  <c r="O56" i="4"/>
  <c r="P56" i="4"/>
  <c r="Q56" i="4"/>
  <c r="R56" i="4"/>
  <c r="S56" i="4"/>
  <c r="U56" i="4"/>
  <c r="V56" i="4"/>
  <c r="W56" i="4"/>
  <c r="X56" i="4"/>
  <c r="Y56" i="4"/>
  <c r="Z56" i="4"/>
  <c r="AA56" i="4"/>
  <c r="AB56" i="4"/>
  <c r="H57" i="4"/>
  <c r="I57" i="4"/>
  <c r="J57" i="4"/>
  <c r="K57" i="4"/>
  <c r="L57" i="4"/>
  <c r="M57" i="4"/>
  <c r="N57" i="4"/>
  <c r="O57" i="4"/>
  <c r="P57" i="4"/>
  <c r="Q57" i="4"/>
  <c r="R57" i="4"/>
  <c r="S57" i="4"/>
  <c r="U57" i="4"/>
  <c r="V57" i="4"/>
  <c r="W57" i="4"/>
  <c r="X57" i="4"/>
  <c r="Y57" i="4"/>
  <c r="Z57" i="4"/>
  <c r="AA57" i="4"/>
  <c r="AB57" i="4"/>
  <c r="H58" i="4"/>
  <c r="I58" i="4"/>
  <c r="J58" i="4"/>
  <c r="K58" i="4"/>
  <c r="L58" i="4"/>
  <c r="M58" i="4"/>
  <c r="N58" i="4"/>
  <c r="O58" i="4"/>
  <c r="P58" i="4"/>
  <c r="Q58" i="4"/>
  <c r="R58" i="4"/>
  <c r="S58" i="4"/>
  <c r="U58" i="4"/>
  <c r="V58" i="4"/>
  <c r="W58" i="4"/>
  <c r="X58" i="4"/>
  <c r="Y58" i="4"/>
  <c r="Z58" i="4"/>
  <c r="AA58" i="4"/>
  <c r="AB58" i="4"/>
  <c r="H59" i="4"/>
  <c r="I59" i="4"/>
  <c r="J59" i="4"/>
  <c r="K59" i="4"/>
  <c r="L59" i="4"/>
  <c r="M59" i="4"/>
  <c r="N59" i="4"/>
  <c r="O59" i="4"/>
  <c r="P59" i="4"/>
  <c r="Q59" i="4"/>
  <c r="R59" i="4"/>
  <c r="S59" i="4"/>
  <c r="U59" i="4"/>
  <c r="V59" i="4"/>
  <c r="W59" i="4"/>
  <c r="X59" i="4"/>
  <c r="Y59" i="4"/>
  <c r="Z59" i="4"/>
  <c r="AA59" i="4"/>
  <c r="AB59" i="4"/>
  <c r="H60" i="4"/>
  <c r="I60" i="4"/>
  <c r="J60" i="4"/>
  <c r="K60" i="4"/>
  <c r="L60" i="4"/>
  <c r="M60" i="4"/>
  <c r="N60" i="4"/>
  <c r="O60" i="4"/>
  <c r="P60" i="4"/>
  <c r="Q60" i="4"/>
  <c r="R60" i="4"/>
  <c r="S60" i="4"/>
  <c r="U60" i="4"/>
  <c r="V60" i="4"/>
  <c r="W60" i="4"/>
  <c r="X60" i="4"/>
  <c r="Y60" i="4"/>
  <c r="Z60" i="4"/>
  <c r="AA60" i="4"/>
  <c r="AB60" i="4"/>
  <c r="H61" i="4"/>
  <c r="I61" i="4"/>
  <c r="J61" i="4"/>
  <c r="K61" i="4"/>
  <c r="L61" i="4"/>
  <c r="M61" i="4"/>
  <c r="N61" i="4"/>
  <c r="O61" i="4"/>
  <c r="P61" i="4"/>
  <c r="Q61" i="4"/>
  <c r="R61" i="4"/>
  <c r="S61" i="4"/>
  <c r="U61" i="4"/>
  <c r="V61" i="4"/>
  <c r="W61" i="4"/>
  <c r="X61" i="4"/>
  <c r="Y61" i="4"/>
  <c r="Z61" i="4"/>
  <c r="AA61" i="4"/>
  <c r="AB61" i="4"/>
  <c r="H62" i="4"/>
  <c r="I62" i="4"/>
  <c r="J62" i="4"/>
  <c r="K62" i="4"/>
  <c r="L62" i="4"/>
  <c r="M62" i="4"/>
  <c r="N62" i="4"/>
  <c r="O62" i="4"/>
  <c r="P62" i="4"/>
  <c r="Q62" i="4"/>
  <c r="R62" i="4"/>
  <c r="S62" i="4"/>
  <c r="U62" i="4"/>
  <c r="V62" i="4"/>
  <c r="W62" i="4"/>
  <c r="X62" i="4"/>
  <c r="Y62" i="4"/>
  <c r="Z62" i="4"/>
  <c r="AA62" i="4"/>
  <c r="AB62" i="4"/>
  <c r="H63" i="4"/>
  <c r="I63" i="4"/>
  <c r="J63" i="4"/>
  <c r="K63" i="4"/>
  <c r="L63" i="4"/>
  <c r="M63" i="4"/>
  <c r="N63" i="4"/>
  <c r="O63" i="4"/>
  <c r="P63" i="4"/>
  <c r="Q63" i="4"/>
  <c r="R63" i="4"/>
  <c r="S63" i="4"/>
  <c r="U63" i="4"/>
  <c r="V63" i="4"/>
  <c r="W63" i="4"/>
  <c r="X63" i="4"/>
  <c r="Y63" i="4"/>
  <c r="Z63" i="4"/>
  <c r="AA63" i="4"/>
  <c r="AB63" i="4"/>
  <c r="H64" i="4"/>
  <c r="I64" i="4"/>
  <c r="J64" i="4"/>
  <c r="K64" i="4"/>
  <c r="L64" i="4"/>
  <c r="M64" i="4"/>
  <c r="N64" i="4"/>
  <c r="O64" i="4"/>
  <c r="P64" i="4"/>
  <c r="Q64" i="4"/>
  <c r="R64" i="4"/>
  <c r="S64" i="4"/>
  <c r="U64" i="4"/>
  <c r="V64" i="4"/>
  <c r="W64" i="4"/>
  <c r="AC64" i="4" s="1"/>
  <c r="X64" i="4"/>
  <c r="Y64" i="4"/>
  <c r="Z64" i="4"/>
  <c r="AA64" i="4"/>
  <c r="AB64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H66" i="4"/>
  <c r="I66" i="4"/>
  <c r="J66" i="4"/>
  <c r="K66" i="4"/>
  <c r="L66" i="4"/>
  <c r="M66" i="4"/>
  <c r="N66" i="4"/>
  <c r="O66" i="4"/>
  <c r="P66" i="4"/>
  <c r="Q66" i="4"/>
  <c r="R66" i="4"/>
  <c r="S66" i="4"/>
  <c r="U66" i="4"/>
  <c r="V66" i="4"/>
  <c r="W66" i="4"/>
  <c r="X66" i="4"/>
  <c r="Y66" i="4"/>
  <c r="Z66" i="4"/>
  <c r="AA66" i="4"/>
  <c r="AB66" i="4"/>
  <c r="H67" i="4"/>
  <c r="I67" i="4"/>
  <c r="J67" i="4"/>
  <c r="K67" i="4"/>
  <c r="L67" i="4"/>
  <c r="M67" i="4"/>
  <c r="N67" i="4"/>
  <c r="O67" i="4"/>
  <c r="P67" i="4"/>
  <c r="Q67" i="4"/>
  <c r="R67" i="4"/>
  <c r="S67" i="4"/>
  <c r="U67" i="4"/>
  <c r="V67" i="4"/>
  <c r="W67" i="4"/>
  <c r="X67" i="4"/>
  <c r="Y67" i="4"/>
  <c r="Z67" i="4"/>
  <c r="AA67" i="4"/>
  <c r="AB67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L68" i="3"/>
  <c r="CK68" i="3"/>
  <c r="DQ68" i="3"/>
  <c r="DP6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AI60" i="3" s="1"/>
  <c r="U59" i="3"/>
  <c r="V59" i="3"/>
  <c r="W59" i="3"/>
  <c r="X59" i="3"/>
  <c r="Y59" i="3"/>
  <c r="Z59" i="3"/>
  <c r="AA59" i="3"/>
  <c r="AB59" i="3"/>
  <c r="AD59" i="3"/>
  <c r="AE59" i="3"/>
  <c r="CN59" i="3" s="1"/>
  <c r="AF59" i="3"/>
  <c r="AG59" i="3"/>
  <c r="AH59" i="3"/>
  <c r="BL59" i="3" s="1"/>
  <c r="AI59" i="3"/>
  <c r="CR59" i="3" s="1"/>
  <c r="AJ59" i="3"/>
  <c r="AK59" i="3"/>
  <c r="AL59" i="3"/>
  <c r="CU59" i="3" s="1"/>
  <c r="AM59" i="3"/>
  <c r="CV59" i="3" s="1"/>
  <c r="AN59" i="3"/>
  <c r="AO59" i="3"/>
  <c r="AP59" i="3"/>
  <c r="BT59" i="3" s="1"/>
  <c r="AQ59" i="3"/>
  <c r="CZ59" i="3" s="1"/>
  <c r="AR59" i="3"/>
  <c r="DA59" i="3" s="1"/>
  <c r="AS59" i="3"/>
  <c r="AT59" i="3"/>
  <c r="AU59" i="3"/>
  <c r="DD59" i="3" s="1"/>
  <c r="AV59" i="3"/>
  <c r="AW59" i="3"/>
  <c r="AX59" i="3"/>
  <c r="CB59" i="3" s="1"/>
  <c r="AY59" i="3"/>
  <c r="DH59" i="3" s="1"/>
  <c r="AZ59" i="3"/>
  <c r="BA59" i="3"/>
  <c r="BB59" i="3"/>
  <c r="DK59" i="3" s="1"/>
  <c r="BC59" i="3"/>
  <c r="BE60" i="3" s="1"/>
  <c r="BD59" i="3"/>
  <c r="BE59" i="3"/>
  <c r="BF59" i="3"/>
  <c r="CJ59" i="3" s="1"/>
  <c r="BJ59" i="3"/>
  <c r="BK59" i="3"/>
  <c r="BR59" i="3"/>
  <c r="BS59" i="3"/>
  <c r="BY59" i="3"/>
  <c r="BZ59" i="3"/>
  <c r="CA59" i="3"/>
  <c r="CH59" i="3"/>
  <c r="CI59" i="3"/>
  <c r="CO59" i="3"/>
  <c r="CP59" i="3"/>
  <c r="CQ59" i="3"/>
  <c r="CW59" i="3"/>
  <c r="CX59" i="3"/>
  <c r="CY59" i="3"/>
  <c r="DE59" i="3"/>
  <c r="DF59" i="3"/>
  <c r="DG59" i="3"/>
  <c r="DM59" i="3"/>
  <c r="DN59" i="3"/>
  <c r="DO59" i="3"/>
  <c r="H60" i="3"/>
  <c r="I60" i="3"/>
  <c r="J60" i="3"/>
  <c r="K60" i="3"/>
  <c r="L60" i="3"/>
  <c r="M60" i="3"/>
  <c r="N60" i="3"/>
  <c r="O60" i="3"/>
  <c r="P60" i="3"/>
  <c r="Q60" i="3"/>
  <c r="R60" i="3"/>
  <c r="AC60" i="3" s="1"/>
  <c r="S60" i="3"/>
  <c r="T60" i="3"/>
  <c r="U60" i="3"/>
  <c r="V60" i="3"/>
  <c r="W60" i="3"/>
  <c r="X60" i="3"/>
  <c r="Y60" i="3"/>
  <c r="Z60" i="3"/>
  <c r="AA60" i="3"/>
  <c r="AB60" i="3"/>
  <c r="AQ60" i="3"/>
  <c r="AZ60" i="3"/>
  <c r="DI60" i="3" s="1"/>
  <c r="H61" i="3"/>
  <c r="I61" i="3"/>
  <c r="J61" i="3"/>
  <c r="K61" i="3"/>
  <c r="L61" i="3"/>
  <c r="M61" i="3"/>
  <c r="N61" i="3"/>
  <c r="O61" i="3"/>
  <c r="P61" i="3"/>
  <c r="Q61" i="3"/>
  <c r="R61" i="3"/>
  <c r="S61" i="3"/>
  <c r="U61" i="3"/>
  <c r="V61" i="3"/>
  <c r="W61" i="3"/>
  <c r="X61" i="3"/>
  <c r="Y61" i="3"/>
  <c r="Z61" i="3"/>
  <c r="AA61" i="3"/>
  <c r="AB61" i="3"/>
  <c r="H62" i="3"/>
  <c r="I62" i="3"/>
  <c r="J62" i="3"/>
  <c r="K62" i="3"/>
  <c r="L62" i="3"/>
  <c r="M62" i="3"/>
  <c r="N62" i="3"/>
  <c r="O62" i="3"/>
  <c r="P62" i="3"/>
  <c r="Q62" i="3"/>
  <c r="R62" i="3"/>
  <c r="S62" i="3"/>
  <c r="U62" i="3"/>
  <c r="V62" i="3"/>
  <c r="W62" i="3"/>
  <c r="AC62" i="3" s="1"/>
  <c r="X62" i="3"/>
  <c r="Y62" i="3"/>
  <c r="Z62" i="3"/>
  <c r="AA62" i="3"/>
  <c r="AB62" i="3"/>
  <c r="H63" i="3"/>
  <c r="I63" i="3"/>
  <c r="J63" i="3"/>
  <c r="K63" i="3"/>
  <c r="L63" i="3"/>
  <c r="M63" i="3"/>
  <c r="N63" i="3"/>
  <c r="O63" i="3"/>
  <c r="P63" i="3"/>
  <c r="Q63" i="3"/>
  <c r="R63" i="3"/>
  <c r="S63" i="3"/>
  <c r="U63" i="3"/>
  <c r="V63" i="3"/>
  <c r="W63" i="3"/>
  <c r="X63" i="3"/>
  <c r="Y63" i="3"/>
  <c r="Z63" i="3"/>
  <c r="AA63" i="3"/>
  <c r="AB63" i="3"/>
  <c r="AC63" i="3"/>
  <c r="H64" i="3"/>
  <c r="I64" i="3"/>
  <c r="J64" i="3"/>
  <c r="T64" i="3" s="1"/>
  <c r="K64" i="3"/>
  <c r="L64" i="3"/>
  <c r="M64" i="3"/>
  <c r="N64" i="3"/>
  <c r="O64" i="3"/>
  <c r="P64" i="3"/>
  <c r="Q64" i="3"/>
  <c r="R64" i="3"/>
  <c r="S64" i="3"/>
  <c r="U64" i="3"/>
  <c r="V64" i="3"/>
  <c r="W64" i="3"/>
  <c r="X64" i="3"/>
  <c r="Y64" i="3"/>
  <c r="Z64" i="3"/>
  <c r="AA64" i="3"/>
  <c r="AB64" i="3"/>
  <c r="AC64" i="3"/>
  <c r="H65" i="3"/>
  <c r="I65" i="3"/>
  <c r="J65" i="3"/>
  <c r="K65" i="3"/>
  <c r="L65" i="3"/>
  <c r="M65" i="3"/>
  <c r="N65" i="3"/>
  <c r="O65" i="3"/>
  <c r="P65" i="3"/>
  <c r="Q65" i="3"/>
  <c r="R65" i="3"/>
  <c r="S65" i="3"/>
  <c r="U65" i="3"/>
  <c r="V65" i="3"/>
  <c r="W65" i="3"/>
  <c r="X65" i="3"/>
  <c r="Y65" i="3"/>
  <c r="Z65" i="3"/>
  <c r="AA65" i="3"/>
  <c r="AB65" i="3"/>
  <c r="H66" i="3"/>
  <c r="I66" i="3"/>
  <c r="J66" i="3"/>
  <c r="K66" i="3"/>
  <c r="L66" i="3"/>
  <c r="M66" i="3"/>
  <c r="N66" i="3"/>
  <c r="O66" i="3"/>
  <c r="P66" i="3"/>
  <c r="Q66" i="3"/>
  <c r="R66" i="3"/>
  <c r="S66" i="3"/>
  <c r="U66" i="3"/>
  <c r="V66" i="3"/>
  <c r="W66" i="3"/>
  <c r="X66" i="3"/>
  <c r="Y66" i="3"/>
  <c r="Z66" i="3"/>
  <c r="AA66" i="3"/>
  <c r="AB66" i="3"/>
  <c r="H67" i="3"/>
  <c r="I67" i="3"/>
  <c r="J67" i="3"/>
  <c r="K67" i="3"/>
  <c r="L67" i="3"/>
  <c r="T67" i="3" s="1"/>
  <c r="M67" i="3"/>
  <c r="N67" i="3"/>
  <c r="O67" i="3"/>
  <c r="P67" i="3"/>
  <c r="Q67" i="3"/>
  <c r="R67" i="3"/>
  <c r="S67" i="3"/>
  <c r="U67" i="3"/>
  <c r="V67" i="3"/>
  <c r="W67" i="3"/>
  <c r="X67" i="3"/>
  <c r="Y67" i="3"/>
  <c r="Z67" i="3"/>
  <c r="AA67" i="3"/>
  <c r="AB67" i="3"/>
  <c r="AC67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59" i="3"/>
  <c r="D59" i="3"/>
  <c r="E59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C48" i="3"/>
  <c r="U48" i="3" s="1"/>
  <c r="DM4" i="8"/>
  <c r="DL4" i="8"/>
  <c r="DH4" i="8"/>
  <c r="DG4" i="8"/>
  <c r="CY4" i="8"/>
  <c r="CX4" i="8"/>
  <c r="CT4" i="8"/>
  <c r="CS4" i="8"/>
  <c r="E4" i="8"/>
  <c r="C4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AD3" i="8"/>
  <c r="CM3" i="8" s="1"/>
  <c r="DP3" i="8" s="1"/>
  <c r="H44" i="8"/>
  <c r="D44" i="8"/>
  <c r="H43" i="8"/>
  <c r="E43" i="8"/>
  <c r="D43" i="8"/>
  <c r="C43" i="8"/>
  <c r="H42" i="8"/>
  <c r="D42" i="8"/>
  <c r="C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C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E19" i="8"/>
  <c r="D19" i="8"/>
  <c r="H18" i="8"/>
  <c r="D18" i="8"/>
  <c r="H17" i="8"/>
  <c r="D17" i="8"/>
  <c r="H16" i="8"/>
  <c r="D16" i="8"/>
  <c r="C16" i="8"/>
  <c r="H15" i="8"/>
  <c r="E15" i="8"/>
  <c r="I15" i="8" s="1"/>
  <c r="D15" i="8"/>
  <c r="C15" i="8"/>
  <c r="H14" i="8"/>
  <c r="D14" i="8"/>
  <c r="C14" i="8"/>
  <c r="V14" i="8" s="1"/>
  <c r="H13" i="8"/>
  <c r="D13" i="8"/>
  <c r="H12" i="8"/>
  <c r="D12" i="8"/>
  <c r="H11" i="8"/>
  <c r="D11" i="8"/>
  <c r="H10" i="8"/>
  <c r="E10" i="8"/>
  <c r="D10" i="8"/>
  <c r="H9" i="8"/>
  <c r="D9" i="8"/>
  <c r="H8" i="8"/>
  <c r="D8" i="8"/>
  <c r="H7" i="8"/>
  <c r="E7" i="8"/>
  <c r="D7" i="8"/>
  <c r="H6" i="8"/>
  <c r="D6" i="8"/>
  <c r="H5" i="8"/>
  <c r="D5" i="8"/>
  <c r="AB4" i="8"/>
  <c r="AA4" i="8"/>
  <c r="W4" i="8"/>
  <c r="H4" i="8"/>
  <c r="D4" i="8"/>
  <c r="C20" i="8"/>
  <c r="DO3" i="8"/>
  <c r="CJ3" i="8"/>
  <c r="CI3" i="8"/>
  <c r="CH3" i="8"/>
  <c r="CG3" i="8"/>
  <c r="CC3" i="8"/>
  <c r="CB3" i="8"/>
  <c r="BY3" i="8"/>
  <c r="BW3" i="8"/>
  <c r="BG3" i="8"/>
  <c r="AB3" i="8"/>
  <c r="Z3" i="8"/>
  <c r="Y3" i="8"/>
  <c r="X3" i="8"/>
  <c r="S3" i="8"/>
  <c r="R3" i="8"/>
  <c r="M3" i="8"/>
  <c r="L3" i="8"/>
  <c r="H3" i="8"/>
  <c r="E3" i="8"/>
  <c r="D3" i="8"/>
  <c r="C3" i="8"/>
  <c r="B3" i="8"/>
  <c r="E4" i="6"/>
  <c r="E13" i="6" s="1"/>
  <c r="C4" i="6"/>
  <c r="C8" i="6" s="1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AD3" i="6"/>
  <c r="BG3" i="6" s="1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Y4" i="6"/>
  <c r="I4" i="6"/>
  <c r="H4" i="6"/>
  <c r="D4" i="6"/>
  <c r="DO3" i="6"/>
  <c r="CJ3" i="6"/>
  <c r="CF3" i="6"/>
  <c r="BZ3" i="6"/>
  <c r="BY3" i="6"/>
  <c r="BJ3" i="6"/>
  <c r="BI3" i="6"/>
  <c r="AA3" i="6"/>
  <c r="X3" i="6"/>
  <c r="S3" i="6"/>
  <c r="R3" i="6"/>
  <c r="Q3" i="6"/>
  <c r="K3" i="6"/>
  <c r="H3" i="6"/>
  <c r="E3" i="6"/>
  <c r="D3" i="6"/>
  <c r="C3" i="6"/>
  <c r="B3" i="6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AD3" i="5"/>
  <c r="CM3" i="5" s="1"/>
  <c r="DP3" i="5" s="1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O3" i="5"/>
  <c r="CJ3" i="5"/>
  <c r="S3" i="5"/>
  <c r="R3" i="5"/>
  <c r="H3" i="5"/>
  <c r="E3" i="5"/>
  <c r="E4" i="5" s="1"/>
  <c r="D3" i="5"/>
  <c r="C3" i="5"/>
  <c r="B3" i="5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AD3" i="4"/>
  <c r="H44" i="4"/>
  <c r="D44" i="4"/>
  <c r="H43" i="4"/>
  <c r="D43" i="4"/>
  <c r="H42" i="4"/>
  <c r="D42" i="4"/>
  <c r="H41" i="4"/>
  <c r="D41" i="4"/>
  <c r="H40" i="4"/>
  <c r="D40" i="4"/>
  <c r="H39" i="4"/>
  <c r="D39" i="4"/>
  <c r="H38" i="4"/>
  <c r="D38" i="4"/>
  <c r="H37" i="4"/>
  <c r="D37" i="4"/>
  <c r="H36" i="4"/>
  <c r="D36" i="4"/>
  <c r="H35" i="4"/>
  <c r="D35" i="4"/>
  <c r="H34" i="4"/>
  <c r="D34" i="4"/>
  <c r="H33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H6" i="4"/>
  <c r="D6" i="4"/>
  <c r="H5" i="4"/>
  <c r="D5" i="4"/>
  <c r="H4" i="4"/>
  <c r="D4" i="4"/>
  <c r="CJ3" i="4"/>
  <c r="BG3" i="4"/>
  <c r="S3" i="4"/>
  <c r="R3" i="4"/>
  <c r="H3" i="4"/>
  <c r="E3" i="4"/>
  <c r="E4" i="4" s="1"/>
  <c r="E26" i="4" s="1"/>
  <c r="D3" i="4"/>
  <c r="C3" i="4"/>
  <c r="C4" i="4" s="1"/>
  <c r="C28" i="4" s="1"/>
  <c r="B3" i="4"/>
  <c r="C4" i="2"/>
  <c r="R4" i="2" s="1"/>
  <c r="C5" i="2"/>
  <c r="C6" i="2"/>
  <c r="C7" i="2"/>
  <c r="C8" i="2"/>
  <c r="C9" i="2"/>
  <c r="C10" i="2"/>
  <c r="S10" i="2" s="1"/>
  <c r="C11" i="2"/>
  <c r="S11" i="2" s="1"/>
  <c r="C12" i="2"/>
  <c r="S12" i="2" s="1"/>
  <c r="C13" i="2"/>
  <c r="R13" i="2" s="1"/>
  <c r="C14" i="2"/>
  <c r="S14" i="2" s="1"/>
  <c r="C15" i="2"/>
  <c r="S15" i="2" s="1"/>
  <c r="C16" i="2"/>
  <c r="S16" i="2" s="1"/>
  <c r="C17" i="2"/>
  <c r="S17" i="2" s="1"/>
  <c r="C18" i="2"/>
  <c r="S18" i="2" s="1"/>
  <c r="C19" i="2"/>
  <c r="S19" i="2" s="1"/>
  <c r="C20" i="2"/>
  <c r="S20" i="2" s="1"/>
  <c r="C21" i="2"/>
  <c r="R21" i="2" s="1"/>
  <c r="C22" i="2"/>
  <c r="S22" i="2" s="1"/>
  <c r="C23" i="2"/>
  <c r="R23" i="2" s="1"/>
  <c r="C24" i="2"/>
  <c r="R24" i="2" s="1"/>
  <c r="C25" i="2"/>
  <c r="S25" i="2" s="1"/>
  <c r="C26" i="2"/>
  <c r="R26" i="2" s="1"/>
  <c r="C27" i="2"/>
  <c r="S27" i="2" s="1"/>
  <c r="C28" i="2"/>
  <c r="C29" i="2"/>
  <c r="C30" i="2"/>
  <c r="S30" i="2" s="1"/>
  <c r="C31" i="2"/>
  <c r="S31" i="2" s="1"/>
  <c r="C32" i="2"/>
  <c r="S32" i="2" s="1"/>
  <c r="C33" i="2"/>
  <c r="R33" i="2" s="1"/>
  <c r="C34" i="2"/>
  <c r="S34" i="2" s="1"/>
  <c r="C35" i="2"/>
  <c r="S35" i="2" s="1"/>
  <c r="C36" i="2"/>
  <c r="C37" i="2"/>
  <c r="R37" i="2" s="1"/>
  <c r="C38" i="2"/>
  <c r="C39" i="2"/>
  <c r="C40" i="2"/>
  <c r="S40" i="2" s="1"/>
  <c r="C41" i="2"/>
  <c r="S41" i="2" s="1"/>
  <c r="C42" i="2"/>
  <c r="S42" i="2" s="1"/>
  <c r="C43" i="2"/>
  <c r="S43" i="2" s="1"/>
  <c r="C44" i="2"/>
  <c r="S36" i="2"/>
  <c r="R43" i="2"/>
  <c r="S3" i="2"/>
  <c r="R3" i="2"/>
  <c r="S3" i="3"/>
  <c r="R3" i="3"/>
  <c r="AD3" i="3"/>
  <c r="CM3" i="3" s="1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CJ3" i="3"/>
  <c r="H3" i="3"/>
  <c r="E3" i="3"/>
  <c r="E4" i="3" s="1"/>
  <c r="E9" i="3" s="1"/>
  <c r="D3" i="3"/>
  <c r="C3" i="3"/>
  <c r="C4" i="3" s="1"/>
  <c r="C37" i="3" s="1"/>
  <c r="S37" i="3" s="1"/>
  <c r="B3" i="3"/>
  <c r="C25" i="1"/>
  <c r="C24" i="1"/>
  <c r="C23" i="1"/>
  <c r="DM3" i="2"/>
  <c r="DH3" i="2"/>
  <c r="DG3" i="2"/>
  <c r="DE3" i="2"/>
  <c r="DC3" i="2"/>
  <c r="CY3" i="2"/>
  <c r="CV3" i="2"/>
  <c r="CT3" i="2"/>
  <c r="CS3" i="2"/>
  <c r="CQ3" i="2"/>
  <c r="CO3" i="2"/>
  <c r="CP3" i="2"/>
  <c r="DO3" i="2"/>
  <c r="DN3" i="2"/>
  <c r="DL3" i="2"/>
  <c r="DK3" i="2"/>
  <c r="DJ3" i="2"/>
  <c r="DI3" i="2"/>
  <c r="DF3" i="2"/>
  <c r="DD3" i="2"/>
  <c r="DB3" i="2"/>
  <c r="DA3" i="2"/>
  <c r="CZ3" i="2"/>
  <c r="CX3" i="2"/>
  <c r="CW3" i="2"/>
  <c r="CU3" i="2"/>
  <c r="CR3" i="2"/>
  <c r="CN3" i="2"/>
  <c r="CM3" i="2"/>
  <c r="CJ3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" i="2"/>
  <c r="E3" i="2"/>
  <c r="C29" i="1"/>
  <c r="C16" i="1"/>
  <c r="D3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B3" i="2"/>
  <c r="B43" i="7" l="1"/>
  <c r="T60" i="8"/>
  <c r="DI45" i="8"/>
  <c r="CD45" i="8"/>
  <c r="CB45" i="8"/>
  <c r="DG45" i="8"/>
  <c r="CQ45" i="8"/>
  <c r="BL45" i="8"/>
  <c r="AW46" i="8"/>
  <c r="AX46" i="8"/>
  <c r="AI46" i="8"/>
  <c r="AJ46" i="8"/>
  <c r="AC57" i="8"/>
  <c r="T46" i="8"/>
  <c r="CF45" i="8"/>
  <c r="DL45" i="8"/>
  <c r="CG45" i="8"/>
  <c r="AC45" i="8"/>
  <c r="BB46" i="8" s="1"/>
  <c r="BP45" i="8"/>
  <c r="CU45" i="8"/>
  <c r="CT45" i="8"/>
  <c r="BO45" i="8"/>
  <c r="AL46" i="8"/>
  <c r="AZ46" i="8"/>
  <c r="BN45" i="8"/>
  <c r="CS45" i="8"/>
  <c r="AC65" i="8"/>
  <c r="T59" i="8"/>
  <c r="T62" i="8"/>
  <c r="AC62" i="8"/>
  <c r="DH45" i="8"/>
  <c r="DJ45" i="8"/>
  <c r="CE45" i="8"/>
  <c r="T55" i="8"/>
  <c r="AC55" i="8"/>
  <c r="AN46" i="8"/>
  <c r="AP46" i="8"/>
  <c r="CV45" i="8"/>
  <c r="BQ45" i="8"/>
  <c r="AK46" i="8"/>
  <c r="AY46" i="8"/>
  <c r="AU46" i="8"/>
  <c r="AO46" i="8"/>
  <c r="AC66" i="8"/>
  <c r="T66" i="8"/>
  <c r="AC67" i="8"/>
  <c r="AC63" i="8"/>
  <c r="DB45" i="8"/>
  <c r="BW45" i="8"/>
  <c r="AC51" i="8"/>
  <c r="BX45" i="8"/>
  <c r="DC45" i="8"/>
  <c r="CN45" i="8"/>
  <c r="BI45" i="8"/>
  <c r="AC49" i="8"/>
  <c r="AC46" i="8"/>
  <c r="AC48" i="8"/>
  <c r="AM46" i="8"/>
  <c r="AH46" i="8"/>
  <c r="BH45" i="8"/>
  <c r="AD46" i="8"/>
  <c r="BF46" i="8"/>
  <c r="BG45" i="8"/>
  <c r="CM45" i="8"/>
  <c r="AE46" i="8"/>
  <c r="AF46" i="8"/>
  <c r="T53" i="8"/>
  <c r="AC50" i="8"/>
  <c r="T63" i="8"/>
  <c r="AC56" i="8"/>
  <c r="AC59" i="8"/>
  <c r="CZ45" i="8"/>
  <c r="BU45" i="8"/>
  <c r="BE46" i="8"/>
  <c r="T61" i="8"/>
  <c r="AC64" i="8"/>
  <c r="T52" i="8"/>
  <c r="T48" i="8"/>
  <c r="BC46" i="8"/>
  <c r="DA45" i="8"/>
  <c r="BV45" i="8"/>
  <c r="T47" i="8"/>
  <c r="AG46" i="8"/>
  <c r="BM46" i="6"/>
  <c r="CR46" i="6"/>
  <c r="AC64" i="6"/>
  <c r="T64" i="6"/>
  <c r="BL46" i="6"/>
  <c r="CQ46" i="6"/>
  <c r="AC61" i="6"/>
  <c r="T61" i="6"/>
  <c r="AC49" i="6"/>
  <c r="CC45" i="6"/>
  <c r="DH45" i="6"/>
  <c r="CR45" i="6"/>
  <c r="BM45" i="6"/>
  <c r="AC45" i="6"/>
  <c r="AC58" i="6"/>
  <c r="BO45" i="6"/>
  <c r="CT45" i="6"/>
  <c r="T66" i="6"/>
  <c r="AL46" i="6"/>
  <c r="CS45" i="6"/>
  <c r="BN45" i="6"/>
  <c r="DK45" i="6"/>
  <c r="AC51" i="6"/>
  <c r="T51" i="6"/>
  <c r="BB46" i="6"/>
  <c r="AN46" i="6"/>
  <c r="BD46" i="6"/>
  <c r="CV45" i="6"/>
  <c r="AP46" i="6"/>
  <c r="AK46" i="6"/>
  <c r="AG46" i="6"/>
  <c r="AU46" i="6"/>
  <c r="AE46" i="6"/>
  <c r="CE45" i="6"/>
  <c r="T62" i="6"/>
  <c r="AC62" i="6"/>
  <c r="BI45" i="6"/>
  <c r="CN45" i="6"/>
  <c r="AZ46" i="6"/>
  <c r="AY46" i="6"/>
  <c r="AC56" i="6"/>
  <c r="BE46" i="6"/>
  <c r="DL45" i="6"/>
  <c r="CG45" i="6"/>
  <c r="CK45" i="6" s="1"/>
  <c r="CL45" i="6" s="1"/>
  <c r="CD45" i="6"/>
  <c r="DI45" i="6"/>
  <c r="BY45" i="6"/>
  <c r="DD45" i="6"/>
  <c r="AC66" i="6"/>
  <c r="CZ46" i="6"/>
  <c r="BU46" i="6"/>
  <c r="T46" i="6"/>
  <c r="AJ47" i="6" s="1"/>
  <c r="CB45" i="6"/>
  <c r="DG45" i="6"/>
  <c r="AJ46" i="6"/>
  <c r="AW46" i="6"/>
  <c r="AX46" i="6"/>
  <c r="CQ45" i="6"/>
  <c r="T60" i="6"/>
  <c r="T58" i="6"/>
  <c r="CP45" i="6"/>
  <c r="BK45" i="6"/>
  <c r="DC45" i="6"/>
  <c r="BX45" i="6"/>
  <c r="AM46" i="6"/>
  <c r="BG45" i="6"/>
  <c r="CM45" i="6"/>
  <c r="AF46" i="6"/>
  <c r="BF46" i="6"/>
  <c r="AC63" i="6"/>
  <c r="T50" i="6"/>
  <c r="AD46" i="6"/>
  <c r="BL45" i="6"/>
  <c r="T55" i="6"/>
  <c r="AC59" i="6"/>
  <c r="T59" i="6"/>
  <c r="DB45" i="6"/>
  <c r="BW45" i="6"/>
  <c r="T57" i="6"/>
  <c r="T53" i="6"/>
  <c r="T48" i="6"/>
  <c r="AC52" i="6"/>
  <c r="T54" i="6"/>
  <c r="T47" i="6"/>
  <c r="BC46" i="6"/>
  <c r="AO46" i="6"/>
  <c r="DA45" i="6"/>
  <c r="BV45" i="6"/>
  <c r="BU45" i="6"/>
  <c r="AC65" i="5"/>
  <c r="T63" i="5"/>
  <c r="AC66" i="5"/>
  <c r="T62" i="5"/>
  <c r="BE46" i="5"/>
  <c r="DL45" i="5"/>
  <c r="AN46" i="5"/>
  <c r="AP46" i="5"/>
  <c r="CV45" i="5"/>
  <c r="DK45" i="5"/>
  <c r="CF45" i="5"/>
  <c r="CU45" i="5"/>
  <c r="BP45" i="5"/>
  <c r="DI46" i="5"/>
  <c r="CD46" i="5"/>
  <c r="DJ45" i="5"/>
  <c r="CE45" i="5"/>
  <c r="AL46" i="5"/>
  <c r="CT45" i="5"/>
  <c r="BO45" i="5"/>
  <c r="AM46" i="5"/>
  <c r="BC46" i="5"/>
  <c r="AO46" i="5"/>
  <c r="AD46" i="5"/>
  <c r="AE46" i="5"/>
  <c r="AU46" i="5"/>
  <c r="AF46" i="5"/>
  <c r="AG46" i="5"/>
  <c r="AW46" i="5"/>
  <c r="AH46" i="5"/>
  <c r="T65" i="5"/>
  <c r="AC59" i="5"/>
  <c r="AC53" i="5"/>
  <c r="AY46" i="5"/>
  <c r="AC45" i="5"/>
  <c r="BB46" i="5" s="1"/>
  <c r="AC60" i="5"/>
  <c r="AC52" i="5"/>
  <c r="T52" i="5"/>
  <c r="BF46" i="5"/>
  <c r="AK46" i="5"/>
  <c r="CS46" i="5"/>
  <c r="BN46" i="5"/>
  <c r="AC55" i="5"/>
  <c r="AI46" i="5"/>
  <c r="BG45" i="5"/>
  <c r="T47" i="5"/>
  <c r="AC47" i="5"/>
  <c r="AC56" i="5"/>
  <c r="T48" i="5"/>
  <c r="T57" i="5"/>
  <c r="AC51" i="5"/>
  <c r="T58" i="5"/>
  <c r="T49" i="5"/>
  <c r="CD45" i="5"/>
  <c r="BN45" i="5"/>
  <c r="BM45" i="5"/>
  <c r="CA45" i="5"/>
  <c r="BZ45" i="5"/>
  <c r="BJ45" i="5"/>
  <c r="CO45" i="5"/>
  <c r="AN46" i="2"/>
  <c r="AP46" i="2"/>
  <c r="CV45" i="2"/>
  <c r="BQ45" i="2"/>
  <c r="CU45" i="2"/>
  <c r="BP45" i="2"/>
  <c r="AC45" i="2"/>
  <c r="BL46" i="2"/>
  <c r="AI47" i="2"/>
  <c r="CQ46" i="2"/>
  <c r="BE46" i="2"/>
  <c r="DL45" i="2"/>
  <c r="CG45" i="2"/>
  <c r="DK45" i="2"/>
  <c r="CF45" i="2"/>
  <c r="T66" i="2"/>
  <c r="AC65" i="2"/>
  <c r="CE45" i="2"/>
  <c r="AC59" i="2"/>
  <c r="AC64" i="2"/>
  <c r="DD45" i="2"/>
  <c r="BY45" i="2"/>
  <c r="CN45" i="2"/>
  <c r="BI45" i="2"/>
  <c r="AW46" i="2"/>
  <c r="AX46" i="2"/>
  <c r="AG46" i="2"/>
  <c r="AI46" i="2"/>
  <c r="AE46" i="2"/>
  <c r="T47" i="2"/>
  <c r="AC47" i="2"/>
  <c r="AC60" i="2"/>
  <c r="DF45" i="2"/>
  <c r="AD46" i="2"/>
  <c r="CP45" i="2"/>
  <c r="BK45" i="2"/>
  <c r="T55" i="2"/>
  <c r="AC55" i="2"/>
  <c r="AC52" i="2"/>
  <c r="T52" i="2"/>
  <c r="T53" i="2"/>
  <c r="AK46" i="2"/>
  <c r="AJ47" i="2" s="1"/>
  <c r="CT45" i="2"/>
  <c r="BO45" i="2"/>
  <c r="AC61" i="2"/>
  <c r="AJ46" i="2"/>
  <c r="CD45" i="2"/>
  <c r="DI45" i="2"/>
  <c r="T50" i="2"/>
  <c r="T54" i="2"/>
  <c r="AL46" i="2"/>
  <c r="BN45" i="2"/>
  <c r="T60" i="2"/>
  <c r="AC58" i="2"/>
  <c r="CS45" i="2"/>
  <c r="BM45" i="2"/>
  <c r="DB45" i="2"/>
  <c r="BW45" i="2"/>
  <c r="DC45" i="2"/>
  <c r="BX45" i="2"/>
  <c r="AC63" i="2"/>
  <c r="T48" i="2"/>
  <c r="AZ46" i="2"/>
  <c r="AM46" i="2"/>
  <c r="BG45" i="2"/>
  <c r="CM45" i="2"/>
  <c r="BH45" i="2"/>
  <c r="BF46" i="2"/>
  <c r="AF46" i="2"/>
  <c r="T61" i="2"/>
  <c r="CZ46" i="2"/>
  <c r="BU46" i="2"/>
  <c r="T57" i="2"/>
  <c r="BC46" i="2"/>
  <c r="AO46" i="2"/>
  <c r="T56" i="2"/>
  <c r="T49" i="2"/>
  <c r="AY46" i="2"/>
  <c r="BJ45" i="2"/>
  <c r="AU46" i="2"/>
  <c r="AC51" i="2"/>
  <c r="DN46" i="4"/>
  <c r="CI46" i="4"/>
  <c r="BB46" i="4"/>
  <c r="AP46" i="4"/>
  <c r="CV45" i="4"/>
  <c r="BQ45" i="4"/>
  <c r="BD46" i="4"/>
  <c r="AN46" i="4"/>
  <c r="CF45" i="4"/>
  <c r="DK45" i="4"/>
  <c r="DI45" i="4"/>
  <c r="CD45" i="4"/>
  <c r="AC66" i="4"/>
  <c r="AC53" i="4"/>
  <c r="CR45" i="4"/>
  <c r="BM45" i="4"/>
  <c r="AC45" i="4"/>
  <c r="T60" i="4"/>
  <c r="AC60" i="4"/>
  <c r="CB45" i="4"/>
  <c r="DG45" i="4"/>
  <c r="CQ45" i="4"/>
  <c r="AJ46" i="4"/>
  <c r="AI46" i="4"/>
  <c r="BL45" i="4"/>
  <c r="AW46" i="4"/>
  <c r="AX46" i="4"/>
  <c r="AC65" i="4"/>
  <c r="AC59" i="4"/>
  <c r="CU45" i="4"/>
  <c r="BP45" i="4"/>
  <c r="AO46" i="4"/>
  <c r="AK46" i="4"/>
  <c r="AU46" i="4"/>
  <c r="AY46" i="4"/>
  <c r="CC45" i="4"/>
  <c r="T67" i="4"/>
  <c r="AC67" i="4"/>
  <c r="T64" i="4"/>
  <c r="CG45" i="4"/>
  <c r="DL45" i="4"/>
  <c r="AL46" i="4"/>
  <c r="AZ46" i="4"/>
  <c r="CS45" i="4"/>
  <c r="BN45" i="4"/>
  <c r="DJ45" i="4"/>
  <c r="CE45" i="4"/>
  <c r="CT45" i="4"/>
  <c r="AC51" i="4"/>
  <c r="T51" i="4"/>
  <c r="AC61" i="4"/>
  <c r="DD45" i="4"/>
  <c r="BY45" i="4"/>
  <c r="BX45" i="4"/>
  <c r="DC45" i="4"/>
  <c r="DB45" i="4"/>
  <c r="AC56" i="4"/>
  <c r="AC52" i="4"/>
  <c r="T52" i="4"/>
  <c r="CN45" i="4"/>
  <c r="BI45" i="4"/>
  <c r="T48" i="4"/>
  <c r="AC62" i="4"/>
  <c r="T62" i="4"/>
  <c r="AM46" i="4"/>
  <c r="BH45" i="4"/>
  <c r="BF46" i="4"/>
  <c r="AH46" i="4"/>
  <c r="AD46" i="4"/>
  <c r="AE46" i="4"/>
  <c r="AF46" i="4"/>
  <c r="BG45" i="4"/>
  <c r="CM45" i="4"/>
  <c r="T55" i="4"/>
  <c r="T66" i="4"/>
  <c r="AC63" i="4"/>
  <c r="T63" i="4"/>
  <c r="AC58" i="4"/>
  <c r="CA45" i="4"/>
  <c r="DF45" i="4"/>
  <c r="BZ45" i="4"/>
  <c r="DE45" i="4"/>
  <c r="BC46" i="4"/>
  <c r="AG46" i="4"/>
  <c r="BJ45" i="4"/>
  <c r="T56" i="4"/>
  <c r="T50" i="4"/>
  <c r="T49" i="4"/>
  <c r="AC49" i="4"/>
  <c r="AC48" i="4"/>
  <c r="CZ45" i="4"/>
  <c r="BU45" i="4"/>
  <c r="T61" i="4"/>
  <c r="T59" i="4"/>
  <c r="T58" i="4"/>
  <c r="T57" i="4"/>
  <c r="T47" i="4"/>
  <c r="AC57" i="4"/>
  <c r="BM60" i="3"/>
  <c r="CR60" i="3"/>
  <c r="CD59" i="3"/>
  <c r="DI59" i="3"/>
  <c r="AL60" i="3"/>
  <c r="BN59" i="3"/>
  <c r="CS59" i="3"/>
  <c r="DN60" i="3"/>
  <c r="CI60" i="3"/>
  <c r="AC59" i="3"/>
  <c r="T61" i="3"/>
  <c r="AC61" i="3"/>
  <c r="T63" i="3"/>
  <c r="BU60" i="3"/>
  <c r="CZ60" i="3"/>
  <c r="AX60" i="3"/>
  <c r="DL59" i="3"/>
  <c r="AK60" i="3"/>
  <c r="T66" i="3"/>
  <c r="AJ60" i="3"/>
  <c r="BQ59" i="3"/>
  <c r="CF59" i="3"/>
  <c r="T62" i="3"/>
  <c r="BP59" i="3"/>
  <c r="DC59" i="3"/>
  <c r="BX59" i="3"/>
  <c r="CM59" i="3"/>
  <c r="DP59" i="3" s="1"/>
  <c r="DQ59" i="3" s="1"/>
  <c r="BH59" i="3"/>
  <c r="BF60" i="3"/>
  <c r="AM60" i="3"/>
  <c r="BG59" i="3"/>
  <c r="AD60" i="3"/>
  <c r="AE60" i="3"/>
  <c r="AF60" i="3"/>
  <c r="DJ59" i="3"/>
  <c r="CE59" i="3"/>
  <c r="CD60" i="3"/>
  <c r="AC65" i="3"/>
  <c r="T65" i="3"/>
  <c r="AH60" i="3"/>
  <c r="BW59" i="3"/>
  <c r="DB59" i="3"/>
  <c r="CG59" i="3"/>
  <c r="AC66" i="3"/>
  <c r="BI59" i="3"/>
  <c r="AY60" i="3"/>
  <c r="AO60" i="3"/>
  <c r="AG60" i="3"/>
  <c r="AP60" i="3"/>
  <c r="AN60" i="3"/>
  <c r="BO59" i="3"/>
  <c r="CT59" i="3"/>
  <c r="AV60" i="3"/>
  <c r="CC59" i="3"/>
  <c r="BM59" i="3"/>
  <c r="AT60" i="3"/>
  <c r="BV59" i="3"/>
  <c r="BU59" i="3"/>
  <c r="C47" i="3"/>
  <c r="C46" i="3"/>
  <c r="E58" i="3"/>
  <c r="R48" i="3"/>
  <c r="C45" i="3"/>
  <c r="E57" i="3"/>
  <c r="Q48" i="3"/>
  <c r="S47" i="3"/>
  <c r="E56" i="3"/>
  <c r="P48" i="3"/>
  <c r="R47" i="3"/>
  <c r="E55" i="3"/>
  <c r="O48" i="3"/>
  <c r="Q47" i="3"/>
  <c r="C58" i="3"/>
  <c r="E54" i="3"/>
  <c r="I54" i="3" s="1"/>
  <c r="J48" i="3"/>
  <c r="N48" i="3"/>
  <c r="P47" i="3"/>
  <c r="U47" i="3"/>
  <c r="C57" i="3"/>
  <c r="E53" i="3"/>
  <c r="J47" i="3"/>
  <c r="M48" i="3"/>
  <c r="O47" i="3"/>
  <c r="C56" i="3"/>
  <c r="E52" i="3"/>
  <c r="AB48" i="3"/>
  <c r="L48" i="3"/>
  <c r="N47" i="3"/>
  <c r="C55" i="3"/>
  <c r="E51" i="3"/>
  <c r="I51" i="3" s="1"/>
  <c r="AA48" i="3"/>
  <c r="K48" i="3"/>
  <c r="M47" i="3"/>
  <c r="C54" i="3"/>
  <c r="E50" i="3"/>
  <c r="Z48" i="3"/>
  <c r="AB47" i="3"/>
  <c r="L47" i="3"/>
  <c r="S48" i="3"/>
  <c r="C53" i="3"/>
  <c r="E49" i="3"/>
  <c r="Y48" i="3"/>
  <c r="AA47" i="3"/>
  <c r="K47" i="3"/>
  <c r="C52" i="3"/>
  <c r="E48" i="3"/>
  <c r="I48" i="3" s="1"/>
  <c r="X48" i="3"/>
  <c r="Z47" i="3"/>
  <c r="C51" i="3"/>
  <c r="E47" i="3"/>
  <c r="I47" i="3" s="1"/>
  <c r="W48" i="3"/>
  <c r="Y47" i="3"/>
  <c r="C50" i="3"/>
  <c r="E46" i="3"/>
  <c r="I46" i="3" s="1"/>
  <c r="V48" i="3"/>
  <c r="X47" i="3"/>
  <c r="C49" i="3"/>
  <c r="E45" i="3"/>
  <c r="DQ3" i="8"/>
  <c r="O20" i="8"/>
  <c r="N20" i="8"/>
  <c r="Z20" i="8"/>
  <c r="X20" i="8"/>
  <c r="Y20" i="8"/>
  <c r="S20" i="8"/>
  <c r="P20" i="8"/>
  <c r="AB20" i="8"/>
  <c r="V20" i="8"/>
  <c r="U20" i="8"/>
  <c r="W20" i="8"/>
  <c r="AA20" i="8"/>
  <c r="R20" i="8"/>
  <c r="Q20" i="8"/>
  <c r="M20" i="8"/>
  <c r="L20" i="8"/>
  <c r="J20" i="8"/>
  <c r="K20" i="8"/>
  <c r="Z43" i="8"/>
  <c r="J43" i="8"/>
  <c r="Y43" i="8"/>
  <c r="X43" i="8"/>
  <c r="M43" i="8"/>
  <c r="L43" i="8"/>
  <c r="S43" i="8"/>
  <c r="R43" i="8"/>
  <c r="U43" i="8"/>
  <c r="O43" i="8"/>
  <c r="V43" i="8"/>
  <c r="N43" i="8"/>
  <c r="AA43" i="8"/>
  <c r="W43" i="8"/>
  <c r="P43" i="8"/>
  <c r="K43" i="8"/>
  <c r="AB43" i="8"/>
  <c r="Q43" i="8"/>
  <c r="S15" i="8"/>
  <c r="R15" i="8"/>
  <c r="N15" i="8"/>
  <c r="K15" i="8"/>
  <c r="X15" i="8"/>
  <c r="U15" i="8"/>
  <c r="AA15" i="8"/>
  <c r="Y15" i="8"/>
  <c r="Z15" i="8"/>
  <c r="AB15" i="8"/>
  <c r="W15" i="8"/>
  <c r="V15" i="8"/>
  <c r="Q15" i="8"/>
  <c r="O15" i="8"/>
  <c r="P15" i="8"/>
  <c r="X14" i="8"/>
  <c r="W14" i="8"/>
  <c r="U14" i="8"/>
  <c r="R14" i="8"/>
  <c r="O14" i="8"/>
  <c r="L14" i="8"/>
  <c r="K14" i="8"/>
  <c r="P14" i="8"/>
  <c r="M14" i="8"/>
  <c r="N14" i="8"/>
  <c r="S14" i="8"/>
  <c r="Q14" i="8"/>
  <c r="X31" i="8"/>
  <c r="W31" i="8"/>
  <c r="P31" i="8"/>
  <c r="O31" i="8"/>
  <c r="N31" i="8"/>
  <c r="L31" i="8"/>
  <c r="U31" i="8"/>
  <c r="R31" i="8"/>
  <c r="Z31" i="8"/>
  <c r="Y31" i="8"/>
  <c r="S31" i="8"/>
  <c r="AA31" i="8"/>
  <c r="AB31" i="8"/>
  <c r="V31" i="8"/>
  <c r="Q31" i="8"/>
  <c r="M31" i="8"/>
  <c r="K31" i="8"/>
  <c r="BZ3" i="5"/>
  <c r="J14" i="8"/>
  <c r="N16" i="8"/>
  <c r="M16" i="8"/>
  <c r="Y16" i="8"/>
  <c r="V16" i="8"/>
  <c r="K16" i="8"/>
  <c r="AB16" i="8"/>
  <c r="AA16" i="8"/>
  <c r="J16" i="8"/>
  <c r="Z16" i="8"/>
  <c r="X16" i="8"/>
  <c r="W16" i="8"/>
  <c r="U16" i="8"/>
  <c r="CA3" i="8"/>
  <c r="BK3" i="8"/>
  <c r="BZ3" i="8"/>
  <c r="BJ3" i="8"/>
  <c r="BX3" i="8"/>
  <c r="N3" i="8"/>
  <c r="BU3" i="8"/>
  <c r="AA3" i="8"/>
  <c r="K3" i="8"/>
  <c r="CF3" i="8"/>
  <c r="BL3" i="8"/>
  <c r="Q3" i="8"/>
  <c r="CD3" i="8"/>
  <c r="O3" i="8"/>
  <c r="CE3" i="8"/>
  <c r="BI3" i="8"/>
  <c r="P3" i="8"/>
  <c r="BH3" i="8"/>
  <c r="BV3" i="8"/>
  <c r="W3" i="8"/>
  <c r="BT3" i="8"/>
  <c r="V3" i="8"/>
  <c r="BS3" i="8"/>
  <c r="U3" i="8"/>
  <c r="BQ3" i="8"/>
  <c r="BP3" i="8"/>
  <c r="AA14" i="8"/>
  <c r="J15" i="8"/>
  <c r="AB14" i="8"/>
  <c r="L15" i="8"/>
  <c r="L16" i="8"/>
  <c r="C32" i="8"/>
  <c r="BG3" i="5"/>
  <c r="L4" i="8"/>
  <c r="M15" i="8"/>
  <c r="O16" i="8"/>
  <c r="O42" i="8"/>
  <c r="N42" i="8"/>
  <c r="M42" i="8"/>
  <c r="K42" i="8"/>
  <c r="J42" i="8"/>
  <c r="Y42" i="8"/>
  <c r="W42" i="8"/>
  <c r="X42" i="8"/>
  <c r="AA42" i="8"/>
  <c r="U42" i="8"/>
  <c r="L42" i="8"/>
  <c r="Z42" i="8"/>
  <c r="V42" i="8"/>
  <c r="S42" i="8"/>
  <c r="Q42" i="8"/>
  <c r="P42" i="8"/>
  <c r="R42" i="8"/>
  <c r="AB42" i="8"/>
  <c r="I43" i="8"/>
  <c r="BX3" i="5"/>
  <c r="CA3" i="5"/>
  <c r="BV3" i="5"/>
  <c r="CG3" i="5"/>
  <c r="BQ3" i="5"/>
  <c r="Y14" i="8"/>
  <c r="J31" i="8"/>
  <c r="C44" i="8"/>
  <c r="C34" i="8"/>
  <c r="C22" i="8"/>
  <c r="C25" i="8"/>
  <c r="C23" i="8"/>
  <c r="C5" i="8"/>
  <c r="Z4" i="8"/>
  <c r="J4" i="8"/>
  <c r="C30" i="8"/>
  <c r="C8" i="8"/>
  <c r="Y4" i="8"/>
  <c r="C19" i="8"/>
  <c r="I19" i="8" s="1"/>
  <c r="C11" i="8"/>
  <c r="C27" i="8"/>
  <c r="K4" i="8"/>
  <c r="C36" i="8"/>
  <c r="C41" i="8"/>
  <c r="C38" i="8"/>
  <c r="C33" i="8"/>
  <c r="C13" i="8"/>
  <c r="C7" i="8"/>
  <c r="I7" i="8" s="1"/>
  <c r="X4" i="8"/>
  <c r="C39" i="8"/>
  <c r="C37" i="8"/>
  <c r="C10" i="8"/>
  <c r="S4" i="8"/>
  <c r="C28" i="8"/>
  <c r="Q4" i="8"/>
  <c r="C18" i="8"/>
  <c r="R4" i="8"/>
  <c r="C35" i="8"/>
  <c r="C9" i="8"/>
  <c r="O4" i="8"/>
  <c r="N4" i="8"/>
  <c r="C40" i="8"/>
  <c r="C12" i="8"/>
  <c r="M4" i="8"/>
  <c r="C26" i="8"/>
  <c r="C17" i="8"/>
  <c r="C29" i="8"/>
  <c r="Z14" i="8"/>
  <c r="C21" i="8"/>
  <c r="E34" i="8"/>
  <c r="E37" i="8"/>
  <c r="E40" i="8"/>
  <c r="E28" i="8"/>
  <c r="E36" i="8"/>
  <c r="E35" i="8"/>
  <c r="I35" i="8" s="1"/>
  <c r="E31" i="8"/>
  <c r="I31" i="8" s="1"/>
  <c r="E11" i="8"/>
  <c r="I11" i="8" s="1"/>
  <c r="E41" i="8"/>
  <c r="E25" i="8"/>
  <c r="I25" i="8" s="1"/>
  <c r="E20" i="8"/>
  <c r="I20" i="8" s="1"/>
  <c r="E14" i="8"/>
  <c r="I14" i="8" s="1"/>
  <c r="I4" i="8"/>
  <c r="E32" i="8"/>
  <c r="E23" i="8"/>
  <c r="E16" i="8"/>
  <c r="I16" i="8" s="1"/>
  <c r="E42" i="8"/>
  <c r="I42" i="8" s="1"/>
  <c r="E18" i="8"/>
  <c r="E30" i="8"/>
  <c r="I30" i="8" s="1"/>
  <c r="E9" i="8"/>
  <c r="E38" i="8"/>
  <c r="E33" i="8"/>
  <c r="I33" i="8" s="1"/>
  <c r="E44" i="8"/>
  <c r="I44" i="8" s="1"/>
  <c r="E21" i="8"/>
  <c r="I21" i="8" s="1"/>
  <c r="E29" i="8"/>
  <c r="E13" i="8"/>
  <c r="I13" i="8" s="1"/>
  <c r="E26" i="8"/>
  <c r="E22" i="8"/>
  <c r="E5" i="8"/>
  <c r="I5" i="8" s="1"/>
  <c r="E12" i="8"/>
  <c r="I12" i="8" s="1"/>
  <c r="E17" i="8"/>
  <c r="E6" i="8"/>
  <c r="E39" i="8"/>
  <c r="E27" i="8"/>
  <c r="E24" i="8"/>
  <c r="I24" i="8" s="1"/>
  <c r="E8" i="8"/>
  <c r="I8" i="8" s="1"/>
  <c r="BM3" i="8"/>
  <c r="P4" i="8"/>
  <c r="P16" i="8"/>
  <c r="AQ4" i="8"/>
  <c r="CZ4" i="8" s="1"/>
  <c r="BN3" i="8"/>
  <c r="Q16" i="8"/>
  <c r="I3" i="8"/>
  <c r="BE4" i="8" s="1"/>
  <c r="DN4" i="8" s="1"/>
  <c r="BO3" i="8"/>
  <c r="U4" i="8"/>
  <c r="C6" i="8"/>
  <c r="R16" i="8"/>
  <c r="C24" i="8"/>
  <c r="J3" i="8"/>
  <c r="BR3" i="8"/>
  <c r="V4" i="8"/>
  <c r="S16" i="8"/>
  <c r="BQ3" i="4"/>
  <c r="BX3" i="6"/>
  <c r="BS3" i="6"/>
  <c r="BP3" i="6"/>
  <c r="CI3" i="6"/>
  <c r="CM3" i="6"/>
  <c r="DP3" i="6" s="1"/>
  <c r="DQ3" i="6" s="1"/>
  <c r="AB3" i="5"/>
  <c r="Q3" i="5"/>
  <c r="L3" i="5"/>
  <c r="E25" i="5"/>
  <c r="E36" i="5"/>
  <c r="E10" i="5"/>
  <c r="I10" i="5" s="1"/>
  <c r="E19" i="5"/>
  <c r="E24" i="5"/>
  <c r="E23" i="5"/>
  <c r="AA3" i="5"/>
  <c r="CH3" i="5"/>
  <c r="C44" i="6"/>
  <c r="C34" i="6"/>
  <c r="C37" i="6"/>
  <c r="C40" i="6"/>
  <c r="C43" i="6"/>
  <c r="C42" i="6"/>
  <c r="C29" i="6"/>
  <c r="C41" i="6"/>
  <c r="C39" i="6"/>
  <c r="C32" i="6"/>
  <c r="C35" i="6"/>
  <c r="C38" i="6"/>
  <c r="C30" i="6"/>
  <c r="C31" i="6"/>
  <c r="C20" i="6"/>
  <c r="C23" i="6"/>
  <c r="C26" i="6"/>
  <c r="C36" i="6"/>
  <c r="C25" i="6"/>
  <c r="C33" i="6"/>
  <c r="C28" i="6"/>
  <c r="C21" i="6"/>
  <c r="C13" i="6"/>
  <c r="I13" i="6" s="1"/>
  <c r="C27" i="6"/>
  <c r="C16" i="6"/>
  <c r="C24" i="6"/>
  <c r="C12" i="6"/>
  <c r="C15" i="6"/>
  <c r="C18" i="6"/>
  <c r="C11" i="6"/>
  <c r="C17" i="6"/>
  <c r="W4" i="6"/>
  <c r="C14" i="6"/>
  <c r="V4" i="6"/>
  <c r="U4" i="6"/>
  <c r="C7" i="6"/>
  <c r="C10" i="6"/>
  <c r="S4" i="6"/>
  <c r="R4" i="6"/>
  <c r="Q4" i="6"/>
  <c r="P4" i="6"/>
  <c r="C6" i="6"/>
  <c r="O4" i="6"/>
  <c r="C19" i="6"/>
  <c r="C9" i="6"/>
  <c r="N4" i="6"/>
  <c r="M4" i="6"/>
  <c r="AB4" i="6"/>
  <c r="L4" i="6"/>
  <c r="AA4" i="6"/>
  <c r="K4" i="6"/>
  <c r="C5" i="6"/>
  <c r="Z4" i="6"/>
  <c r="J4" i="6"/>
  <c r="I3" i="5"/>
  <c r="AL4" i="5" s="1"/>
  <c r="CU4" i="5" s="1"/>
  <c r="BI3" i="5"/>
  <c r="CI3" i="5"/>
  <c r="J3" i="5"/>
  <c r="BJ3" i="5"/>
  <c r="C4" i="5"/>
  <c r="E34" i="6"/>
  <c r="E37" i="6"/>
  <c r="E40" i="6"/>
  <c r="E43" i="6"/>
  <c r="E36" i="6"/>
  <c r="E42" i="6"/>
  <c r="E41" i="6"/>
  <c r="I41" i="6" s="1"/>
  <c r="E39" i="6"/>
  <c r="I39" i="6" s="1"/>
  <c r="E32" i="6"/>
  <c r="E35" i="6"/>
  <c r="E38" i="6"/>
  <c r="E28" i="6"/>
  <c r="E44" i="6"/>
  <c r="E31" i="6"/>
  <c r="E30" i="6"/>
  <c r="E23" i="6"/>
  <c r="E26" i="6"/>
  <c r="E22" i="6"/>
  <c r="E29" i="6"/>
  <c r="E25" i="6"/>
  <c r="E33" i="6"/>
  <c r="E24" i="6"/>
  <c r="I24" i="6" s="1"/>
  <c r="E27" i="6"/>
  <c r="I27" i="6" s="1"/>
  <c r="E12" i="6"/>
  <c r="I12" i="6" s="1"/>
  <c r="E18" i="6"/>
  <c r="E11" i="6"/>
  <c r="E14" i="6"/>
  <c r="E20" i="6"/>
  <c r="E17" i="6"/>
  <c r="E19" i="6"/>
  <c r="E15" i="6"/>
  <c r="E7" i="6"/>
  <c r="E16" i="6"/>
  <c r="I16" i="6" s="1"/>
  <c r="E10" i="6"/>
  <c r="E21" i="6"/>
  <c r="E6" i="6"/>
  <c r="E9" i="6"/>
  <c r="E5" i="6"/>
  <c r="E8" i="6"/>
  <c r="I8" i="6" s="1"/>
  <c r="K3" i="5"/>
  <c r="BK3" i="5"/>
  <c r="AQ4" i="6"/>
  <c r="CZ4" i="6" s="1"/>
  <c r="S8" i="6"/>
  <c r="R8" i="6"/>
  <c r="Q8" i="6"/>
  <c r="P8" i="6"/>
  <c r="O8" i="6"/>
  <c r="N8" i="6"/>
  <c r="M8" i="6"/>
  <c r="AB8" i="6"/>
  <c r="L8" i="6"/>
  <c r="AA8" i="6"/>
  <c r="K8" i="6"/>
  <c r="Z8" i="6"/>
  <c r="J8" i="6"/>
  <c r="Y8" i="6"/>
  <c r="X8" i="6"/>
  <c r="W8" i="6"/>
  <c r="V8" i="6"/>
  <c r="BR3" i="3"/>
  <c r="R17" i="2"/>
  <c r="AB3" i="4"/>
  <c r="M3" i="5"/>
  <c r="BR3" i="5"/>
  <c r="X4" i="6"/>
  <c r="N3" i="5"/>
  <c r="BS3" i="5"/>
  <c r="O3" i="5"/>
  <c r="BT3" i="5"/>
  <c r="P3" i="5"/>
  <c r="BU3" i="5"/>
  <c r="U8" i="6"/>
  <c r="E17" i="4"/>
  <c r="BW3" i="5"/>
  <c r="BP3" i="4"/>
  <c r="CF3" i="5"/>
  <c r="Y3" i="5"/>
  <c r="BY3" i="5"/>
  <c r="CI3" i="4"/>
  <c r="Z3" i="5"/>
  <c r="C22" i="6"/>
  <c r="BK3" i="6"/>
  <c r="CA3" i="6"/>
  <c r="BL3" i="6"/>
  <c r="CB3" i="6"/>
  <c r="U3" i="6"/>
  <c r="BM3" i="6"/>
  <c r="CC3" i="6"/>
  <c r="V3" i="6"/>
  <c r="BN3" i="6"/>
  <c r="CD3" i="6"/>
  <c r="W3" i="6"/>
  <c r="BO3" i="6"/>
  <c r="CE3" i="6"/>
  <c r="I3" i="6"/>
  <c r="AL4" i="6" s="1"/>
  <c r="CU4" i="6" s="1"/>
  <c r="Y3" i="6"/>
  <c r="BQ3" i="6"/>
  <c r="CG3" i="6"/>
  <c r="J3" i="6"/>
  <c r="Z3" i="6"/>
  <c r="BR3" i="6"/>
  <c r="CH3" i="6"/>
  <c r="L3" i="6"/>
  <c r="AB3" i="6"/>
  <c r="BT3" i="6"/>
  <c r="M3" i="6"/>
  <c r="BU3" i="6"/>
  <c r="N3" i="6"/>
  <c r="BV3" i="6"/>
  <c r="O3" i="6"/>
  <c r="BW3" i="6"/>
  <c r="P3" i="6"/>
  <c r="BH3" i="6"/>
  <c r="C10" i="5"/>
  <c r="K10" i="5" s="1"/>
  <c r="E8" i="5"/>
  <c r="E21" i="5"/>
  <c r="DQ3" i="5"/>
  <c r="S24" i="2"/>
  <c r="S5" i="2"/>
  <c r="R5" i="2"/>
  <c r="R40" i="2"/>
  <c r="W10" i="5"/>
  <c r="P10" i="5"/>
  <c r="AA10" i="5"/>
  <c r="C17" i="5"/>
  <c r="C44" i="5"/>
  <c r="C37" i="5"/>
  <c r="C40" i="5"/>
  <c r="C43" i="5"/>
  <c r="C32" i="5"/>
  <c r="C27" i="5"/>
  <c r="C38" i="5"/>
  <c r="C33" i="5"/>
  <c r="C29" i="5"/>
  <c r="C16" i="5"/>
  <c r="C19" i="5"/>
  <c r="I19" i="5" s="1"/>
  <c r="C39" i="5"/>
  <c r="C30" i="5"/>
  <c r="C24" i="5"/>
  <c r="I24" i="5" s="1"/>
  <c r="C35" i="5"/>
  <c r="C22" i="5"/>
  <c r="C20" i="5"/>
  <c r="C36" i="5"/>
  <c r="C34" i="5"/>
  <c r="C18" i="5"/>
  <c r="C14" i="5"/>
  <c r="C12" i="5"/>
  <c r="C6" i="5"/>
  <c r="O4" i="5"/>
  <c r="C28" i="5"/>
  <c r="C9" i="5"/>
  <c r="W4" i="5"/>
  <c r="N4" i="5"/>
  <c r="C13" i="5"/>
  <c r="M4" i="5"/>
  <c r="AA4" i="5"/>
  <c r="C5" i="5"/>
  <c r="Z4" i="5"/>
  <c r="C42" i="5"/>
  <c r="Y4" i="5"/>
  <c r="X4" i="5"/>
  <c r="AB4" i="5"/>
  <c r="L4" i="5"/>
  <c r="K4" i="5"/>
  <c r="J4" i="5"/>
  <c r="C11" i="5"/>
  <c r="C7" i="5"/>
  <c r="C26" i="5"/>
  <c r="U4" i="5"/>
  <c r="C41" i="5"/>
  <c r="C23" i="5"/>
  <c r="I23" i="5" s="1"/>
  <c r="V4" i="5"/>
  <c r="S4" i="5"/>
  <c r="C15" i="5"/>
  <c r="R4" i="5"/>
  <c r="P4" i="5"/>
  <c r="C25" i="5"/>
  <c r="AA3" i="4"/>
  <c r="S23" i="2"/>
  <c r="Q4" i="5"/>
  <c r="E11" i="3"/>
  <c r="E12" i="3"/>
  <c r="E13" i="3"/>
  <c r="E41" i="3"/>
  <c r="E43" i="3"/>
  <c r="E32" i="3"/>
  <c r="E5" i="3"/>
  <c r="CE3" i="4"/>
  <c r="CH3" i="4"/>
  <c r="X3" i="4"/>
  <c r="BV3" i="4"/>
  <c r="BU3" i="4"/>
  <c r="CG3" i="4"/>
  <c r="M3" i="4"/>
  <c r="BT3" i="4"/>
  <c r="BS3" i="4"/>
  <c r="CF3" i="4"/>
  <c r="L3" i="4"/>
  <c r="J3" i="4"/>
  <c r="BW3" i="4"/>
  <c r="O3" i="4"/>
  <c r="N3" i="4"/>
  <c r="K3" i="4"/>
  <c r="BR3" i="4"/>
  <c r="E16" i="4"/>
  <c r="E9" i="4"/>
  <c r="E20" i="4"/>
  <c r="E6" i="4"/>
  <c r="Y3" i="4"/>
  <c r="BH3" i="5"/>
  <c r="E12" i="4"/>
  <c r="I3" i="4"/>
  <c r="AZ4" i="4" s="1"/>
  <c r="DI4" i="4" s="1"/>
  <c r="S9" i="2"/>
  <c r="R9" i="2"/>
  <c r="Z3" i="4"/>
  <c r="I4" i="5"/>
  <c r="BL3" i="5"/>
  <c r="CH3" i="2"/>
  <c r="S4" i="2"/>
  <c r="U3" i="5"/>
  <c r="BM3" i="5"/>
  <c r="CC3" i="5"/>
  <c r="E5" i="5"/>
  <c r="E13" i="5"/>
  <c r="E7" i="5"/>
  <c r="E29" i="5"/>
  <c r="CB3" i="5"/>
  <c r="V3" i="5"/>
  <c r="BN3" i="5"/>
  <c r="CD3" i="5"/>
  <c r="E34" i="5"/>
  <c r="E37" i="5"/>
  <c r="E43" i="5"/>
  <c r="E33" i="5"/>
  <c r="E41" i="5"/>
  <c r="E39" i="5"/>
  <c r="E27" i="5"/>
  <c r="E30" i="5"/>
  <c r="E38" i="5"/>
  <c r="I38" i="5" s="1"/>
  <c r="E44" i="5"/>
  <c r="E42" i="5"/>
  <c r="E26" i="5"/>
  <c r="E22" i="5"/>
  <c r="E28" i="5"/>
  <c r="E15" i="5"/>
  <c r="I15" i="5" s="1"/>
  <c r="E14" i="5"/>
  <c r="E12" i="5"/>
  <c r="E16" i="5"/>
  <c r="E6" i="5"/>
  <c r="E31" i="5"/>
  <c r="E9" i="5"/>
  <c r="E32" i="5"/>
  <c r="E17" i="5"/>
  <c r="E11" i="5"/>
  <c r="E40" i="5"/>
  <c r="I40" i="5" s="1"/>
  <c r="W3" i="5"/>
  <c r="BO3" i="5"/>
  <c r="CE3" i="5"/>
  <c r="E20" i="5"/>
  <c r="E35" i="5"/>
  <c r="E18" i="5"/>
  <c r="X3" i="5"/>
  <c r="BP3" i="5"/>
  <c r="R4" i="3"/>
  <c r="C16" i="4"/>
  <c r="X16" i="4" s="1"/>
  <c r="S4" i="3"/>
  <c r="C40" i="3"/>
  <c r="AB40" i="3" s="1"/>
  <c r="U4" i="4"/>
  <c r="V4" i="4"/>
  <c r="C41" i="4"/>
  <c r="S4" i="4"/>
  <c r="C26" i="4"/>
  <c r="AB26" i="4" s="1"/>
  <c r="C13" i="4"/>
  <c r="C7" i="3"/>
  <c r="R7" i="3" s="1"/>
  <c r="C8" i="3"/>
  <c r="N8" i="3" s="1"/>
  <c r="C36" i="3"/>
  <c r="S36" i="3" s="1"/>
  <c r="C19" i="3"/>
  <c r="N19" i="3" s="1"/>
  <c r="C22" i="3"/>
  <c r="R22" i="3" s="1"/>
  <c r="C23" i="3"/>
  <c r="J23" i="3" s="1"/>
  <c r="C24" i="3"/>
  <c r="V24" i="3" s="1"/>
  <c r="C33" i="3"/>
  <c r="AB33" i="3" s="1"/>
  <c r="C34" i="3"/>
  <c r="Q34" i="3" s="1"/>
  <c r="C35" i="3"/>
  <c r="J35" i="3" s="1"/>
  <c r="J16" i="4"/>
  <c r="AB16" i="4"/>
  <c r="AA16" i="4"/>
  <c r="Y16" i="4"/>
  <c r="DP3" i="4"/>
  <c r="R44" i="2"/>
  <c r="S44" i="2"/>
  <c r="S28" i="2"/>
  <c r="R28" i="2"/>
  <c r="E17" i="3"/>
  <c r="E33" i="3"/>
  <c r="E18" i="3"/>
  <c r="E34" i="3"/>
  <c r="E19" i="3"/>
  <c r="E35" i="3"/>
  <c r="E20" i="3"/>
  <c r="E36" i="3"/>
  <c r="E44" i="3"/>
  <c r="E21" i="3"/>
  <c r="E37" i="3"/>
  <c r="I37" i="3" s="1"/>
  <c r="E6" i="3"/>
  <c r="E22" i="3"/>
  <c r="E38" i="3"/>
  <c r="E7" i="3"/>
  <c r="E23" i="3"/>
  <c r="E39" i="3"/>
  <c r="E8" i="3"/>
  <c r="E24" i="3"/>
  <c r="E40" i="3"/>
  <c r="E14" i="3"/>
  <c r="E15" i="3"/>
  <c r="E16" i="3"/>
  <c r="E25" i="3"/>
  <c r="E31" i="3"/>
  <c r="E26" i="3"/>
  <c r="E27" i="3"/>
  <c r="E28" i="3"/>
  <c r="E30" i="3"/>
  <c r="E29" i="3"/>
  <c r="E10" i="3"/>
  <c r="E42" i="3"/>
  <c r="S29" i="2"/>
  <c r="R29" i="2"/>
  <c r="S8" i="2"/>
  <c r="R8" i="2"/>
  <c r="C21" i="3"/>
  <c r="S21" i="3" s="1"/>
  <c r="E37" i="4"/>
  <c r="E40" i="4"/>
  <c r="E43" i="4"/>
  <c r="E36" i="4"/>
  <c r="E39" i="4"/>
  <c r="E44" i="4"/>
  <c r="E29" i="4"/>
  <c r="E32" i="4"/>
  <c r="E35" i="4"/>
  <c r="E38" i="4"/>
  <c r="E33" i="4"/>
  <c r="E24" i="4"/>
  <c r="E34" i="4"/>
  <c r="E41" i="4"/>
  <c r="E30" i="4"/>
  <c r="E28" i="4"/>
  <c r="I28" i="4" s="1"/>
  <c r="E31" i="4"/>
  <c r="E22" i="4"/>
  <c r="E19" i="4"/>
  <c r="E27" i="4"/>
  <c r="E15" i="4"/>
  <c r="E42" i="4"/>
  <c r="E5" i="4"/>
  <c r="E8" i="4"/>
  <c r="E11" i="4"/>
  <c r="E14" i="4"/>
  <c r="I4" i="4"/>
  <c r="E23" i="4"/>
  <c r="E25" i="4"/>
  <c r="S39" i="2"/>
  <c r="R39" i="2"/>
  <c r="S7" i="2"/>
  <c r="R7" i="2"/>
  <c r="C20" i="3"/>
  <c r="L20" i="3" s="1"/>
  <c r="C44" i="4"/>
  <c r="C34" i="4"/>
  <c r="C37" i="4"/>
  <c r="C40" i="4"/>
  <c r="C43" i="4"/>
  <c r="C42" i="4"/>
  <c r="C36" i="4"/>
  <c r="C29" i="4"/>
  <c r="C32" i="4"/>
  <c r="C35" i="4"/>
  <c r="C25" i="4"/>
  <c r="C39" i="4"/>
  <c r="C38" i="4"/>
  <c r="C33" i="4"/>
  <c r="C24" i="4"/>
  <c r="C23" i="4"/>
  <c r="C17" i="4"/>
  <c r="C20" i="4"/>
  <c r="C31" i="4"/>
  <c r="C22" i="4"/>
  <c r="C30" i="4"/>
  <c r="C19" i="4"/>
  <c r="C18" i="4"/>
  <c r="C9" i="4"/>
  <c r="N4" i="4"/>
  <c r="C12" i="4"/>
  <c r="M4" i="4"/>
  <c r="C15" i="4"/>
  <c r="AB4" i="4"/>
  <c r="L4" i="4"/>
  <c r="AA4" i="4"/>
  <c r="K4" i="4"/>
  <c r="C5" i="4"/>
  <c r="Z4" i="4"/>
  <c r="J4" i="4"/>
  <c r="C8" i="4"/>
  <c r="Y4" i="4"/>
  <c r="C11" i="4"/>
  <c r="X4" i="4"/>
  <c r="C14" i="4"/>
  <c r="W4" i="4"/>
  <c r="S38" i="2"/>
  <c r="R38" i="2"/>
  <c r="E13" i="4"/>
  <c r="M28" i="4"/>
  <c r="AB28" i="4"/>
  <c r="L28" i="4"/>
  <c r="AA28" i="4"/>
  <c r="K28" i="4"/>
  <c r="Z28" i="4"/>
  <c r="J28" i="4"/>
  <c r="X28" i="4"/>
  <c r="S28" i="4"/>
  <c r="V28" i="4"/>
  <c r="U28" i="4"/>
  <c r="R28" i="4"/>
  <c r="Q28" i="4"/>
  <c r="P28" i="4"/>
  <c r="O28" i="4"/>
  <c r="Y28" i="4"/>
  <c r="W28" i="4"/>
  <c r="N28" i="4"/>
  <c r="R41" i="2"/>
  <c r="S6" i="2"/>
  <c r="R6" i="2"/>
  <c r="S13" i="2"/>
  <c r="C18" i="3"/>
  <c r="P18" i="3" s="1"/>
  <c r="C7" i="4"/>
  <c r="C10" i="4"/>
  <c r="E18" i="4"/>
  <c r="C21" i="4"/>
  <c r="C17" i="3"/>
  <c r="U17" i="3" s="1"/>
  <c r="O4" i="4"/>
  <c r="R22" i="2"/>
  <c r="P4" i="4"/>
  <c r="E7" i="4"/>
  <c r="E10" i="4"/>
  <c r="E21" i="4"/>
  <c r="C27" i="4"/>
  <c r="C39" i="3"/>
  <c r="Z39" i="3" s="1"/>
  <c r="Q4" i="4"/>
  <c r="C6" i="4"/>
  <c r="C9" i="3"/>
  <c r="Y9" i="3" s="1"/>
  <c r="C25" i="3"/>
  <c r="AA25" i="3" s="1"/>
  <c r="C41" i="3"/>
  <c r="M41" i="3" s="1"/>
  <c r="C10" i="3"/>
  <c r="L10" i="3" s="1"/>
  <c r="C26" i="3"/>
  <c r="V26" i="3" s="1"/>
  <c r="C42" i="3"/>
  <c r="Z42" i="3" s="1"/>
  <c r="C11" i="3"/>
  <c r="M11" i="3" s="1"/>
  <c r="C27" i="3"/>
  <c r="W27" i="3" s="1"/>
  <c r="C43" i="3"/>
  <c r="V43" i="3" s="1"/>
  <c r="U4" i="3"/>
  <c r="C12" i="3"/>
  <c r="AB12" i="3" s="1"/>
  <c r="C28" i="3"/>
  <c r="Y28" i="3" s="1"/>
  <c r="C44" i="3"/>
  <c r="Z44" i="3" s="1"/>
  <c r="P4" i="3"/>
  <c r="C13" i="3"/>
  <c r="W13" i="3" s="1"/>
  <c r="C29" i="3"/>
  <c r="R29" i="3" s="1"/>
  <c r="C5" i="3"/>
  <c r="X5" i="3" s="1"/>
  <c r="N4" i="3"/>
  <c r="C14" i="3"/>
  <c r="Z14" i="3" s="1"/>
  <c r="C30" i="3"/>
  <c r="AA30" i="3" s="1"/>
  <c r="C15" i="3"/>
  <c r="Q15" i="3" s="1"/>
  <c r="C31" i="3"/>
  <c r="X31" i="3" s="1"/>
  <c r="C16" i="3"/>
  <c r="C32" i="3"/>
  <c r="U32" i="3" s="1"/>
  <c r="X4" i="3"/>
  <c r="C38" i="3"/>
  <c r="V38" i="3" s="1"/>
  <c r="C6" i="3"/>
  <c r="R4" i="4"/>
  <c r="P3" i="4"/>
  <c r="BH3" i="4"/>
  <c r="BX3" i="4"/>
  <c r="Q3" i="4"/>
  <c r="BI3" i="4"/>
  <c r="BY3" i="4"/>
  <c r="BJ3" i="4"/>
  <c r="BZ3" i="4"/>
  <c r="BK3" i="4"/>
  <c r="CA3" i="4"/>
  <c r="BL3" i="4"/>
  <c r="CB3" i="4"/>
  <c r="U3" i="4"/>
  <c r="BM3" i="4"/>
  <c r="CC3" i="4"/>
  <c r="V3" i="4"/>
  <c r="BN3" i="4"/>
  <c r="CD3" i="4"/>
  <c r="W3" i="4"/>
  <c r="BO3" i="4"/>
  <c r="AA37" i="3"/>
  <c r="R37" i="3"/>
  <c r="J37" i="3"/>
  <c r="S33" i="2"/>
  <c r="R11" i="2"/>
  <c r="S26" i="2"/>
  <c r="R18" i="2"/>
  <c r="R10" i="2"/>
  <c r="R12" i="2"/>
  <c r="R27" i="2"/>
  <c r="R42" i="2"/>
  <c r="R25" i="2"/>
  <c r="R34" i="2"/>
  <c r="R36" i="2"/>
  <c r="R16" i="2"/>
  <c r="R32" i="2"/>
  <c r="R35" i="2"/>
  <c r="R20" i="2"/>
  <c r="S21" i="2"/>
  <c r="S37" i="2"/>
  <c r="R14" i="2"/>
  <c r="R30" i="2"/>
  <c r="R15" i="2"/>
  <c r="R19" i="2"/>
  <c r="R31" i="2"/>
  <c r="BW3" i="2"/>
  <c r="BU3" i="2"/>
  <c r="BV3" i="2"/>
  <c r="BZ3" i="2"/>
  <c r="BY3" i="2"/>
  <c r="CA3" i="2"/>
  <c r="BT3" i="2"/>
  <c r="BX3" i="2"/>
  <c r="CB3" i="2"/>
  <c r="CC3" i="2"/>
  <c r="CD3" i="2"/>
  <c r="I3" i="3"/>
  <c r="AQ4" i="3" s="1"/>
  <c r="CZ4" i="3" s="1"/>
  <c r="M3" i="3"/>
  <c r="P3" i="3"/>
  <c r="Q3" i="3"/>
  <c r="BM3" i="3"/>
  <c r="BS3" i="3"/>
  <c r="BW3" i="3"/>
  <c r="U3" i="3"/>
  <c r="CD3" i="3"/>
  <c r="I4" i="3"/>
  <c r="BT3" i="3"/>
  <c r="BV3" i="3"/>
  <c r="J4" i="3"/>
  <c r="V3" i="3"/>
  <c r="BX3" i="3"/>
  <c r="AA10" i="3"/>
  <c r="BY3" i="3"/>
  <c r="AA3" i="3"/>
  <c r="BZ3" i="3"/>
  <c r="Z3" i="3"/>
  <c r="BG3" i="3"/>
  <c r="CC3" i="3"/>
  <c r="BH3" i="3"/>
  <c r="BI3" i="3"/>
  <c r="CE3" i="3"/>
  <c r="CG3" i="3"/>
  <c r="CH3" i="3"/>
  <c r="BN3" i="3"/>
  <c r="CI3" i="3"/>
  <c r="U37" i="3"/>
  <c r="BL3" i="3"/>
  <c r="BO3" i="3"/>
  <c r="Y37" i="3"/>
  <c r="AB3" i="3"/>
  <c r="BQ3" i="3"/>
  <c r="J3" i="3"/>
  <c r="BQ3" i="2"/>
  <c r="BP3" i="2"/>
  <c r="BK3" i="2"/>
  <c r="BJ3" i="2"/>
  <c r="BI3" i="2"/>
  <c r="BH3" i="2"/>
  <c r="DP3" i="3"/>
  <c r="O4" i="3"/>
  <c r="L4" i="3"/>
  <c r="K4" i="3"/>
  <c r="AB4" i="3"/>
  <c r="AA4" i="3"/>
  <c r="W4" i="3"/>
  <c r="V4" i="3"/>
  <c r="Q4" i="3"/>
  <c r="M4" i="3"/>
  <c r="Z4" i="3"/>
  <c r="Y4" i="3"/>
  <c r="P37" i="3"/>
  <c r="O37" i="3"/>
  <c r="N37" i="3"/>
  <c r="L37" i="3"/>
  <c r="K37" i="3"/>
  <c r="Q37" i="3"/>
  <c r="M37" i="3"/>
  <c r="X37" i="3"/>
  <c r="W37" i="3"/>
  <c r="V37" i="3"/>
  <c r="AB37" i="3"/>
  <c r="Z37" i="3"/>
  <c r="BL3" i="2"/>
  <c r="X3" i="3"/>
  <c r="L3" i="3"/>
  <c r="K3" i="3"/>
  <c r="CG3" i="2"/>
  <c r="BS3" i="2"/>
  <c r="CI3" i="2"/>
  <c r="BR3" i="2"/>
  <c r="CF3" i="2"/>
  <c r="BN3" i="2"/>
  <c r="CE3" i="2"/>
  <c r="BM3" i="2"/>
  <c r="BO3" i="2"/>
  <c r="I7" i="2"/>
  <c r="CF3" i="3"/>
  <c r="BP3" i="3"/>
  <c r="W3" i="3"/>
  <c r="CB3" i="3"/>
  <c r="BK3" i="3"/>
  <c r="O3" i="3"/>
  <c r="CA3" i="3"/>
  <c r="BJ3" i="3"/>
  <c r="N3" i="3"/>
  <c r="Y3" i="3"/>
  <c r="BU3" i="3"/>
  <c r="I44" i="2"/>
  <c r="I28" i="2"/>
  <c r="DP3" i="2"/>
  <c r="I29" i="2"/>
  <c r="I13" i="2"/>
  <c r="I33" i="2"/>
  <c r="I17" i="2"/>
  <c r="I6" i="2"/>
  <c r="M5" i="2"/>
  <c r="I41" i="2"/>
  <c r="I25" i="2"/>
  <c r="I34" i="2"/>
  <c r="I42" i="2"/>
  <c r="U31" i="2"/>
  <c r="I19" i="2"/>
  <c r="L15" i="2"/>
  <c r="I40" i="2"/>
  <c r="I24" i="2"/>
  <c r="I39" i="2"/>
  <c r="N38" i="2"/>
  <c r="I9" i="2"/>
  <c r="I30" i="2"/>
  <c r="I14" i="2"/>
  <c r="I23" i="2"/>
  <c r="I12" i="2"/>
  <c r="AA22" i="2"/>
  <c r="I26" i="2"/>
  <c r="I10" i="2"/>
  <c r="I8" i="2"/>
  <c r="U30" i="2"/>
  <c r="I32" i="2"/>
  <c r="I16" i="2"/>
  <c r="Q6" i="2"/>
  <c r="O37" i="2"/>
  <c r="AA21" i="2"/>
  <c r="Q35" i="2"/>
  <c r="U29" i="2"/>
  <c r="I5" i="2"/>
  <c r="L13" i="2"/>
  <c r="L14" i="2"/>
  <c r="L41" i="2"/>
  <c r="I35" i="2"/>
  <c r="Y25" i="2"/>
  <c r="M9" i="2"/>
  <c r="J19" i="2"/>
  <c r="L40" i="2"/>
  <c r="Z24" i="2"/>
  <c r="I18" i="2"/>
  <c r="M8" i="2"/>
  <c r="M39" i="2"/>
  <c r="Z23" i="2"/>
  <c r="N7" i="2"/>
  <c r="P36" i="2"/>
  <c r="K18" i="2"/>
  <c r="AA44" i="2"/>
  <c r="I38" i="2"/>
  <c r="V28" i="2"/>
  <c r="I22" i="2"/>
  <c r="L12" i="2"/>
  <c r="AA20" i="2"/>
  <c r="Q34" i="2"/>
  <c r="I43" i="2"/>
  <c r="Q33" i="2"/>
  <c r="I27" i="2"/>
  <c r="K17" i="2"/>
  <c r="I11" i="2"/>
  <c r="J43" i="2"/>
  <c r="I37" i="2"/>
  <c r="W27" i="2"/>
  <c r="I21" i="2"/>
  <c r="L11" i="2"/>
  <c r="U32" i="2"/>
  <c r="L16" i="2"/>
  <c r="I31" i="2"/>
  <c r="I15" i="2"/>
  <c r="K42" i="2"/>
  <c r="I36" i="2"/>
  <c r="X26" i="2"/>
  <c r="I20" i="2"/>
  <c r="M10" i="2"/>
  <c r="Z44" i="2"/>
  <c r="AA43" i="2"/>
  <c r="AB42" i="2"/>
  <c r="J42" i="2"/>
  <c r="K41" i="2"/>
  <c r="K40" i="2"/>
  <c r="L39" i="2"/>
  <c r="M38" i="2"/>
  <c r="N37" i="2"/>
  <c r="O36" i="2"/>
  <c r="P35" i="2"/>
  <c r="P34" i="2"/>
  <c r="P33" i="2"/>
  <c r="Q32" i="2"/>
  <c r="Q31" i="2"/>
  <c r="Q30" i="2"/>
  <c r="U28" i="2"/>
  <c r="V27" i="2"/>
  <c r="W26" i="2"/>
  <c r="X25" i="2"/>
  <c r="Y24" i="2"/>
  <c r="Y23" i="2"/>
  <c r="Z22" i="2"/>
  <c r="Z21" i="2"/>
  <c r="Z20" i="2"/>
  <c r="AB19" i="2"/>
  <c r="AB18" i="2"/>
  <c r="J18" i="2"/>
  <c r="J17" i="2"/>
  <c r="K16" i="2"/>
  <c r="K15" i="2"/>
  <c r="K14" i="2"/>
  <c r="K13" i="2"/>
  <c r="K12" i="2"/>
  <c r="K11" i="2"/>
  <c r="L10" i="2"/>
  <c r="L9" i="2"/>
  <c r="L8" i="2"/>
  <c r="M7" i="2"/>
  <c r="P6" i="2"/>
  <c r="L5" i="2"/>
  <c r="Y44" i="2"/>
  <c r="Z43" i="2"/>
  <c r="AA42" i="2"/>
  <c r="J41" i="2"/>
  <c r="J40" i="2"/>
  <c r="K39" i="2"/>
  <c r="L38" i="2"/>
  <c r="M37" i="2"/>
  <c r="N36" i="2"/>
  <c r="O35" i="2"/>
  <c r="O34" i="2"/>
  <c r="O33" i="2"/>
  <c r="P32" i="2"/>
  <c r="P31" i="2"/>
  <c r="P30" i="2"/>
  <c r="Q29" i="2"/>
  <c r="Q28" i="2"/>
  <c r="U27" i="2"/>
  <c r="V26" i="2"/>
  <c r="W25" i="2"/>
  <c r="X24" i="2"/>
  <c r="X23" i="2"/>
  <c r="Y22" i="2"/>
  <c r="Y21" i="2"/>
  <c r="Y20" i="2"/>
  <c r="AA19" i="2"/>
  <c r="AA18" i="2"/>
  <c r="AB17" i="2"/>
  <c r="AB16" i="2"/>
  <c r="J16" i="2"/>
  <c r="J15" i="2"/>
  <c r="J14" i="2"/>
  <c r="J13" i="2"/>
  <c r="J12" i="2"/>
  <c r="J11" i="2"/>
  <c r="K10" i="2"/>
  <c r="K9" i="2"/>
  <c r="K8" i="2"/>
  <c r="L7" i="2"/>
  <c r="O6" i="2"/>
  <c r="K5" i="2"/>
  <c r="X44" i="2"/>
  <c r="Y43" i="2"/>
  <c r="Z42" i="2"/>
  <c r="AB41" i="2"/>
  <c r="AB40" i="2"/>
  <c r="J39" i="2"/>
  <c r="K38" i="2"/>
  <c r="L37" i="2"/>
  <c r="M36" i="2"/>
  <c r="N35" i="2"/>
  <c r="N34" i="2"/>
  <c r="N33" i="2"/>
  <c r="O32" i="2"/>
  <c r="O31" i="2"/>
  <c r="O30" i="2"/>
  <c r="P29" i="2"/>
  <c r="P28" i="2"/>
  <c r="Q27" i="2"/>
  <c r="U26" i="2"/>
  <c r="V25" i="2"/>
  <c r="W24" i="2"/>
  <c r="W23" i="2"/>
  <c r="X22" i="2"/>
  <c r="X21" i="2"/>
  <c r="X20" i="2"/>
  <c r="Z19" i="2"/>
  <c r="Z18" i="2"/>
  <c r="AA17" i="2"/>
  <c r="AA16" i="2"/>
  <c r="AB15" i="2"/>
  <c r="AB14" i="2"/>
  <c r="AB13" i="2"/>
  <c r="AB12" i="2"/>
  <c r="AB11" i="2"/>
  <c r="AB10" i="2"/>
  <c r="J10" i="2"/>
  <c r="J9" i="2"/>
  <c r="J8" i="2"/>
  <c r="K7" i="2"/>
  <c r="N6" i="2"/>
  <c r="AB5" i="2"/>
  <c r="J5" i="2"/>
  <c r="W44" i="2"/>
  <c r="X43" i="2"/>
  <c r="Y42" i="2"/>
  <c r="AA41" i="2"/>
  <c r="AA40" i="2"/>
  <c r="AB39" i="2"/>
  <c r="J38" i="2"/>
  <c r="K37" i="2"/>
  <c r="L36" i="2"/>
  <c r="M35" i="2"/>
  <c r="M34" i="2"/>
  <c r="M33" i="2"/>
  <c r="N32" i="2"/>
  <c r="N31" i="2"/>
  <c r="N30" i="2"/>
  <c r="O29" i="2"/>
  <c r="O28" i="2"/>
  <c r="P27" i="2"/>
  <c r="Q26" i="2"/>
  <c r="U25" i="2"/>
  <c r="V24" i="2"/>
  <c r="V23" i="2"/>
  <c r="W22" i="2"/>
  <c r="W21" i="2"/>
  <c r="W20" i="2"/>
  <c r="Y19" i="2"/>
  <c r="Y18" i="2"/>
  <c r="Z17" i="2"/>
  <c r="Z16" i="2"/>
  <c r="AA15" i="2"/>
  <c r="AA14" i="2"/>
  <c r="AA13" i="2"/>
  <c r="AA12" i="2"/>
  <c r="AA11" i="2"/>
  <c r="AA10" i="2"/>
  <c r="AB9" i="2"/>
  <c r="AB8" i="2"/>
  <c r="J7" i="2"/>
  <c r="M6" i="2"/>
  <c r="AA5" i="2"/>
  <c r="V44" i="2"/>
  <c r="W43" i="2"/>
  <c r="X42" i="2"/>
  <c r="Z41" i="2"/>
  <c r="Z40" i="2"/>
  <c r="AA39" i="2"/>
  <c r="AB38" i="2"/>
  <c r="AB37" i="2"/>
  <c r="J37" i="2"/>
  <c r="K36" i="2"/>
  <c r="L35" i="2"/>
  <c r="L34" i="2"/>
  <c r="L33" i="2"/>
  <c r="M32" i="2"/>
  <c r="M31" i="2"/>
  <c r="M30" i="2"/>
  <c r="N29" i="2"/>
  <c r="N28" i="2"/>
  <c r="O27" i="2"/>
  <c r="P26" i="2"/>
  <c r="Q25" i="2"/>
  <c r="U24" i="2"/>
  <c r="U23" i="2"/>
  <c r="V22" i="2"/>
  <c r="V21" i="2"/>
  <c r="V20" i="2"/>
  <c r="X19" i="2"/>
  <c r="X18" i="2"/>
  <c r="Y17" i="2"/>
  <c r="Y16" i="2"/>
  <c r="Z15" i="2"/>
  <c r="Z14" i="2"/>
  <c r="Z13" i="2"/>
  <c r="Z12" i="2"/>
  <c r="Z11" i="2"/>
  <c r="Z10" i="2"/>
  <c r="AA9" i="2"/>
  <c r="AA8" i="2"/>
  <c r="AB7" i="2"/>
  <c r="L6" i="2"/>
  <c r="Z5" i="2"/>
  <c r="U44" i="2"/>
  <c r="V43" i="2"/>
  <c r="W42" i="2"/>
  <c r="Y41" i="2"/>
  <c r="Y40" i="2"/>
  <c r="Z39" i="2"/>
  <c r="AA38" i="2"/>
  <c r="AA37" i="2"/>
  <c r="AB36" i="2"/>
  <c r="J36" i="2"/>
  <c r="K35" i="2"/>
  <c r="K34" i="2"/>
  <c r="K33" i="2"/>
  <c r="L32" i="2"/>
  <c r="L31" i="2"/>
  <c r="L30" i="2"/>
  <c r="M29" i="2"/>
  <c r="M28" i="2"/>
  <c r="N27" i="2"/>
  <c r="O26" i="2"/>
  <c r="P25" i="2"/>
  <c r="Q24" i="2"/>
  <c r="Q23" i="2"/>
  <c r="U22" i="2"/>
  <c r="U21" i="2"/>
  <c r="U20" i="2"/>
  <c r="W19" i="2"/>
  <c r="W18" i="2"/>
  <c r="X17" i="2"/>
  <c r="X16" i="2"/>
  <c r="Y15" i="2"/>
  <c r="Y14" i="2"/>
  <c r="Y13" i="2"/>
  <c r="Y12" i="2"/>
  <c r="Y11" i="2"/>
  <c r="Y10" i="2"/>
  <c r="Z9" i="2"/>
  <c r="Z8" i="2"/>
  <c r="AA7" i="2"/>
  <c r="K6" i="2"/>
  <c r="Y5" i="2"/>
  <c r="U43" i="2"/>
  <c r="V42" i="2"/>
  <c r="X41" i="2"/>
  <c r="X40" i="2"/>
  <c r="Y39" i="2"/>
  <c r="Z38" i="2"/>
  <c r="Z37" i="2"/>
  <c r="AA36" i="2"/>
  <c r="AB35" i="2"/>
  <c r="J35" i="2"/>
  <c r="J34" i="2"/>
  <c r="J33" i="2"/>
  <c r="K32" i="2"/>
  <c r="K31" i="2"/>
  <c r="K30" i="2"/>
  <c r="L29" i="2"/>
  <c r="L28" i="2"/>
  <c r="M27" i="2"/>
  <c r="N26" i="2"/>
  <c r="O25" i="2"/>
  <c r="P24" i="2"/>
  <c r="P23" i="2"/>
  <c r="Q22" i="2"/>
  <c r="Q21" i="2"/>
  <c r="V19" i="2"/>
  <c r="V18" i="2"/>
  <c r="W17" i="2"/>
  <c r="W16" i="2"/>
  <c r="X15" i="2"/>
  <c r="X14" i="2"/>
  <c r="X13" i="2"/>
  <c r="X12" i="2"/>
  <c r="X11" i="2"/>
  <c r="X10" i="2"/>
  <c r="Y9" i="2"/>
  <c r="Y8" i="2"/>
  <c r="Z7" i="2"/>
  <c r="J6" i="2"/>
  <c r="X5" i="2"/>
  <c r="Q44" i="2"/>
  <c r="U42" i="2"/>
  <c r="W41" i="2"/>
  <c r="W40" i="2"/>
  <c r="X39" i="2"/>
  <c r="Y38" i="2"/>
  <c r="Y37" i="2"/>
  <c r="Z36" i="2"/>
  <c r="AA35" i="2"/>
  <c r="AB34" i="2"/>
  <c r="AB33" i="2"/>
  <c r="J32" i="2"/>
  <c r="J31" i="2"/>
  <c r="J30" i="2"/>
  <c r="K29" i="2"/>
  <c r="K28" i="2"/>
  <c r="L27" i="2"/>
  <c r="M26" i="2"/>
  <c r="N25" i="2"/>
  <c r="O24" i="2"/>
  <c r="O23" i="2"/>
  <c r="P22" i="2"/>
  <c r="P21" i="2"/>
  <c r="Q20" i="2"/>
  <c r="U19" i="2"/>
  <c r="U18" i="2"/>
  <c r="V17" i="2"/>
  <c r="V16" i="2"/>
  <c r="W15" i="2"/>
  <c r="W14" i="2"/>
  <c r="W13" i="2"/>
  <c r="W12" i="2"/>
  <c r="W11" i="2"/>
  <c r="W10" i="2"/>
  <c r="X9" i="2"/>
  <c r="X8" i="2"/>
  <c r="Y7" i="2"/>
  <c r="AB6" i="2"/>
  <c r="W5" i="2"/>
  <c r="P44" i="2"/>
  <c r="Q43" i="2"/>
  <c r="V41" i="2"/>
  <c r="V40" i="2"/>
  <c r="W39" i="2"/>
  <c r="X38" i="2"/>
  <c r="X37" i="2"/>
  <c r="Y36" i="2"/>
  <c r="Z35" i="2"/>
  <c r="AA34" i="2"/>
  <c r="AA33" i="2"/>
  <c r="AB32" i="2"/>
  <c r="AB31" i="2"/>
  <c r="AB30" i="2"/>
  <c r="AB29" i="2"/>
  <c r="J29" i="2"/>
  <c r="J28" i="2"/>
  <c r="K27" i="2"/>
  <c r="L26" i="2"/>
  <c r="M25" i="2"/>
  <c r="N24" i="2"/>
  <c r="N23" i="2"/>
  <c r="O22" i="2"/>
  <c r="O21" i="2"/>
  <c r="P20" i="2"/>
  <c r="Q19" i="2"/>
  <c r="U17" i="2"/>
  <c r="U16" i="2"/>
  <c r="V15" i="2"/>
  <c r="V14" i="2"/>
  <c r="V13" i="2"/>
  <c r="V12" i="2"/>
  <c r="V11" i="2"/>
  <c r="V10" i="2"/>
  <c r="W9" i="2"/>
  <c r="W8" i="2"/>
  <c r="X7" i="2"/>
  <c r="AA6" i="2"/>
  <c r="V5" i="2"/>
  <c r="O44" i="2"/>
  <c r="P43" i="2"/>
  <c r="Q42" i="2"/>
  <c r="U41" i="2"/>
  <c r="U40" i="2"/>
  <c r="V39" i="2"/>
  <c r="W38" i="2"/>
  <c r="W37" i="2"/>
  <c r="X36" i="2"/>
  <c r="Y35" i="2"/>
  <c r="Z34" i="2"/>
  <c r="Z33" i="2"/>
  <c r="AA32" i="2"/>
  <c r="AA31" i="2"/>
  <c r="AA30" i="2"/>
  <c r="AA29" i="2"/>
  <c r="AB28" i="2"/>
  <c r="J27" i="2"/>
  <c r="K26" i="2"/>
  <c r="L25" i="2"/>
  <c r="M24" i="2"/>
  <c r="M23" i="2"/>
  <c r="N22" i="2"/>
  <c r="N21" i="2"/>
  <c r="O20" i="2"/>
  <c r="P19" i="2"/>
  <c r="Q18" i="2"/>
  <c r="Q17" i="2"/>
  <c r="U15" i="2"/>
  <c r="U14" i="2"/>
  <c r="U13" i="2"/>
  <c r="U12" i="2"/>
  <c r="U11" i="2"/>
  <c r="U10" i="2"/>
  <c r="V9" i="2"/>
  <c r="V8" i="2"/>
  <c r="W7" i="2"/>
  <c r="Z6" i="2"/>
  <c r="U5" i="2"/>
  <c r="N44" i="2"/>
  <c r="O43" i="2"/>
  <c r="P42" i="2"/>
  <c r="Q41" i="2"/>
  <c r="Q40" i="2"/>
  <c r="U39" i="2"/>
  <c r="V38" i="2"/>
  <c r="V37" i="2"/>
  <c r="W36" i="2"/>
  <c r="X35" i="2"/>
  <c r="Y34" i="2"/>
  <c r="Y33" i="2"/>
  <c r="Z32" i="2"/>
  <c r="Z31" i="2"/>
  <c r="Z30" i="2"/>
  <c r="Z29" i="2"/>
  <c r="AA28" i="2"/>
  <c r="AB27" i="2"/>
  <c r="J26" i="2"/>
  <c r="K25" i="2"/>
  <c r="L24" i="2"/>
  <c r="L23" i="2"/>
  <c r="M22" i="2"/>
  <c r="M21" i="2"/>
  <c r="N20" i="2"/>
  <c r="O19" i="2"/>
  <c r="P18" i="2"/>
  <c r="P17" i="2"/>
  <c r="Q16" i="2"/>
  <c r="Q15" i="2"/>
  <c r="Q14" i="2"/>
  <c r="Q13" i="2"/>
  <c r="Q12" i="2"/>
  <c r="Q11" i="2"/>
  <c r="U9" i="2"/>
  <c r="U8" i="2"/>
  <c r="V7" i="2"/>
  <c r="Y6" i="2"/>
  <c r="M44" i="2"/>
  <c r="N43" i="2"/>
  <c r="O42" i="2"/>
  <c r="P41" i="2"/>
  <c r="P40" i="2"/>
  <c r="Q39" i="2"/>
  <c r="U38" i="2"/>
  <c r="U37" i="2"/>
  <c r="V36" i="2"/>
  <c r="W35" i="2"/>
  <c r="X34" i="2"/>
  <c r="X33" i="2"/>
  <c r="Y32" i="2"/>
  <c r="Y31" i="2"/>
  <c r="Y30" i="2"/>
  <c r="Y29" i="2"/>
  <c r="Z28" i="2"/>
  <c r="AA27" i="2"/>
  <c r="AB26" i="2"/>
  <c r="J25" i="2"/>
  <c r="K24" i="2"/>
  <c r="K23" i="2"/>
  <c r="L22" i="2"/>
  <c r="L21" i="2"/>
  <c r="M20" i="2"/>
  <c r="N19" i="2"/>
  <c r="O18" i="2"/>
  <c r="O17" i="2"/>
  <c r="P16" i="2"/>
  <c r="P15" i="2"/>
  <c r="P14" i="2"/>
  <c r="P13" i="2"/>
  <c r="P12" i="2"/>
  <c r="P11" i="2"/>
  <c r="Q10" i="2"/>
  <c r="Q9" i="2"/>
  <c r="Q8" i="2"/>
  <c r="U7" i="2"/>
  <c r="X6" i="2"/>
  <c r="Q5" i="2"/>
  <c r="L44" i="2"/>
  <c r="M43" i="2"/>
  <c r="N42" i="2"/>
  <c r="O41" i="2"/>
  <c r="O40" i="2"/>
  <c r="P39" i="2"/>
  <c r="Q38" i="2"/>
  <c r="U36" i="2"/>
  <c r="V35" i="2"/>
  <c r="W34" i="2"/>
  <c r="W33" i="2"/>
  <c r="X32" i="2"/>
  <c r="X31" i="2"/>
  <c r="X30" i="2"/>
  <c r="X29" i="2"/>
  <c r="Y28" i="2"/>
  <c r="Z27" i="2"/>
  <c r="AA26" i="2"/>
  <c r="AB25" i="2"/>
  <c r="J24" i="2"/>
  <c r="J23" i="2"/>
  <c r="K22" i="2"/>
  <c r="K21" i="2"/>
  <c r="L20" i="2"/>
  <c r="M19" i="2"/>
  <c r="N18" i="2"/>
  <c r="N17" i="2"/>
  <c r="O16" i="2"/>
  <c r="O15" i="2"/>
  <c r="O14" i="2"/>
  <c r="O13" i="2"/>
  <c r="O12" i="2"/>
  <c r="O11" i="2"/>
  <c r="P10" i="2"/>
  <c r="P9" i="2"/>
  <c r="P8" i="2"/>
  <c r="Q7" i="2"/>
  <c r="W6" i="2"/>
  <c r="P5" i="2"/>
  <c r="K44" i="2"/>
  <c r="L43" i="2"/>
  <c r="M42" i="2"/>
  <c r="N41" i="2"/>
  <c r="N40" i="2"/>
  <c r="O39" i="2"/>
  <c r="P38" i="2"/>
  <c r="Q37" i="2"/>
  <c r="U35" i="2"/>
  <c r="V34" i="2"/>
  <c r="V33" i="2"/>
  <c r="W32" i="2"/>
  <c r="W31" i="2"/>
  <c r="W30" i="2"/>
  <c r="W29" i="2"/>
  <c r="X28" i="2"/>
  <c r="Y27" i="2"/>
  <c r="Z26" i="2"/>
  <c r="AA25" i="2"/>
  <c r="AB24" i="2"/>
  <c r="AB23" i="2"/>
  <c r="J22" i="2"/>
  <c r="J21" i="2"/>
  <c r="K20" i="2"/>
  <c r="L19" i="2"/>
  <c r="M18" i="2"/>
  <c r="M17" i="2"/>
  <c r="N16" i="2"/>
  <c r="N15" i="2"/>
  <c r="N14" i="2"/>
  <c r="N13" i="2"/>
  <c r="N12" i="2"/>
  <c r="N11" i="2"/>
  <c r="O10" i="2"/>
  <c r="O9" i="2"/>
  <c r="O8" i="2"/>
  <c r="P7" i="2"/>
  <c r="V6" i="2"/>
  <c r="O5" i="2"/>
  <c r="AB44" i="2"/>
  <c r="J44" i="2"/>
  <c r="K43" i="2"/>
  <c r="L42" i="2"/>
  <c r="M41" i="2"/>
  <c r="M40" i="2"/>
  <c r="N39" i="2"/>
  <c r="O38" i="2"/>
  <c r="P37" i="2"/>
  <c r="Q36" i="2"/>
  <c r="U34" i="2"/>
  <c r="U33" i="2"/>
  <c r="V32" i="2"/>
  <c r="V31" i="2"/>
  <c r="V30" i="2"/>
  <c r="V29" i="2"/>
  <c r="W28" i="2"/>
  <c r="X27" i="2"/>
  <c r="Y26" i="2"/>
  <c r="Z25" i="2"/>
  <c r="AA24" i="2"/>
  <c r="AA23" i="2"/>
  <c r="AB22" i="2"/>
  <c r="AB21" i="2"/>
  <c r="AB20" i="2"/>
  <c r="J20" i="2"/>
  <c r="K19" i="2"/>
  <c r="L18" i="2"/>
  <c r="L17" i="2"/>
  <c r="M16" i="2"/>
  <c r="M15" i="2"/>
  <c r="M14" i="2"/>
  <c r="M13" i="2"/>
  <c r="M12" i="2"/>
  <c r="M11" i="2"/>
  <c r="N10" i="2"/>
  <c r="N9" i="2"/>
  <c r="N8" i="2"/>
  <c r="O7" i="2"/>
  <c r="U6" i="2"/>
  <c r="N5" i="2"/>
  <c r="AB43" i="2"/>
  <c r="O4" i="2"/>
  <c r="L4" i="2"/>
  <c r="U4" i="2"/>
  <c r="I4" i="2"/>
  <c r="N4" i="2"/>
  <c r="M4" i="2"/>
  <c r="Z4" i="2"/>
  <c r="Y4" i="2"/>
  <c r="X4" i="2"/>
  <c r="W4" i="2"/>
  <c r="V4" i="2"/>
  <c r="Q4" i="2"/>
  <c r="K4" i="2"/>
  <c r="J4" i="2"/>
  <c r="AB4" i="2"/>
  <c r="AA4" i="2"/>
  <c r="P4" i="2"/>
  <c r="I3" i="2"/>
  <c r="BE4" i="2" s="1"/>
  <c r="CI4" i="2" s="1"/>
  <c r="AB3" i="2"/>
  <c r="V3" i="2"/>
  <c r="U3" i="2"/>
  <c r="Q3" i="2"/>
  <c r="W3" i="2"/>
  <c r="X3" i="2"/>
  <c r="Y3" i="2"/>
  <c r="Z3" i="2"/>
  <c r="AA3" i="2"/>
  <c r="K3" i="2"/>
  <c r="L3" i="2"/>
  <c r="M3" i="2"/>
  <c r="N3" i="2"/>
  <c r="J3" i="2"/>
  <c r="O3" i="2"/>
  <c r="P3" i="2"/>
  <c r="CF46" i="8" l="1"/>
  <c r="DK46" i="8"/>
  <c r="AH47" i="8"/>
  <c r="AF47" i="8"/>
  <c r="AM47" i="8"/>
  <c r="BH46" i="8"/>
  <c r="CM46" i="8"/>
  <c r="AD47" i="8"/>
  <c r="AE47" i="8"/>
  <c r="DD46" i="8"/>
  <c r="BY46" i="8"/>
  <c r="DH46" i="8"/>
  <c r="CC46" i="8"/>
  <c r="BO46" i="8"/>
  <c r="CT46" i="8"/>
  <c r="DF46" i="8"/>
  <c r="CA46" i="8"/>
  <c r="BD46" i="8"/>
  <c r="DO46" i="8"/>
  <c r="CJ46" i="8"/>
  <c r="CB46" i="8"/>
  <c r="DG46" i="8"/>
  <c r="DI46" i="8"/>
  <c r="CD46" i="8"/>
  <c r="CP46" i="8"/>
  <c r="BK46" i="8"/>
  <c r="BR46" i="8"/>
  <c r="CW46" i="8"/>
  <c r="AJ47" i="8"/>
  <c r="AI47" i="8"/>
  <c r="BL46" i="8"/>
  <c r="CQ46" i="8"/>
  <c r="CU46" i="8"/>
  <c r="BP46" i="8"/>
  <c r="AK47" i="8"/>
  <c r="CO46" i="8"/>
  <c r="AO47" i="8"/>
  <c r="AG47" i="8"/>
  <c r="BJ46" i="8"/>
  <c r="CK45" i="8"/>
  <c r="CL45" i="8" s="1"/>
  <c r="CX46" i="8"/>
  <c r="BS46" i="8"/>
  <c r="AQ47" i="8"/>
  <c r="AN47" i="8"/>
  <c r="CV46" i="8"/>
  <c r="AP47" i="8"/>
  <c r="BQ46" i="8"/>
  <c r="CY46" i="8"/>
  <c r="BT46" i="8"/>
  <c r="CN46" i="8"/>
  <c r="BI46" i="8"/>
  <c r="DL46" i="8"/>
  <c r="CG46" i="8"/>
  <c r="DN46" i="8"/>
  <c r="CI46" i="8"/>
  <c r="AZ47" i="8"/>
  <c r="AL47" i="8"/>
  <c r="CS46" i="8"/>
  <c r="BN46" i="8"/>
  <c r="BM46" i="8"/>
  <c r="CR46" i="8"/>
  <c r="DP45" i="8"/>
  <c r="DQ45" i="8" s="1"/>
  <c r="BA46" i="8"/>
  <c r="BB47" i="8" s="1"/>
  <c r="AR46" i="8"/>
  <c r="AV46" i="8"/>
  <c r="AS46" i="8"/>
  <c r="AT46" i="8"/>
  <c r="AU47" i="8" s="1"/>
  <c r="CS47" i="6"/>
  <c r="BN47" i="6"/>
  <c r="BR46" i="6"/>
  <c r="CW46" i="6"/>
  <c r="CF46" i="6"/>
  <c r="DK46" i="6"/>
  <c r="CX46" i="6"/>
  <c r="BS46" i="6"/>
  <c r="BE47" i="6"/>
  <c r="AQ47" i="6"/>
  <c r="AZ47" i="6"/>
  <c r="AL47" i="6"/>
  <c r="BN46" i="6"/>
  <c r="CS46" i="6"/>
  <c r="CD46" i="6"/>
  <c r="DI46" i="6"/>
  <c r="DL46" i="6"/>
  <c r="CG46" i="6"/>
  <c r="DO46" i="6"/>
  <c r="CJ46" i="6"/>
  <c r="CH46" i="6"/>
  <c r="DM46" i="6"/>
  <c r="CB46" i="6"/>
  <c r="DG46" i="6"/>
  <c r="DF46" i="6"/>
  <c r="CA46" i="6"/>
  <c r="AK47" i="6"/>
  <c r="BC47" i="6"/>
  <c r="BJ46" i="6"/>
  <c r="CO46" i="6"/>
  <c r="AG47" i="6"/>
  <c r="AO47" i="6"/>
  <c r="DP45" i="6"/>
  <c r="DQ45" i="6" s="1"/>
  <c r="BP46" i="6"/>
  <c r="CU46" i="6"/>
  <c r="AI47" i="6"/>
  <c r="CV46" i="6"/>
  <c r="BQ46" i="6"/>
  <c r="AN47" i="6"/>
  <c r="AP47" i="6"/>
  <c r="BI46" i="6"/>
  <c r="CN46" i="6"/>
  <c r="DN46" i="6"/>
  <c r="CI46" i="6"/>
  <c r="CC46" i="6"/>
  <c r="DH46" i="6"/>
  <c r="DD46" i="6"/>
  <c r="BY46" i="6"/>
  <c r="BO46" i="6"/>
  <c r="CT46" i="6"/>
  <c r="AR46" i="6"/>
  <c r="AV46" i="6"/>
  <c r="AX47" i="6" s="1"/>
  <c r="BA46" i="6"/>
  <c r="AS46" i="6"/>
  <c r="AT46" i="6"/>
  <c r="AY47" i="6" s="1"/>
  <c r="AM47" i="6"/>
  <c r="BH46" i="6"/>
  <c r="AE47" i="6"/>
  <c r="CM46" i="6"/>
  <c r="AF47" i="6"/>
  <c r="AD47" i="6"/>
  <c r="AH47" i="6"/>
  <c r="BK46" i="6"/>
  <c r="CP46" i="6"/>
  <c r="CY46" i="6"/>
  <c r="BT46" i="6"/>
  <c r="CF46" i="5"/>
  <c r="DK46" i="5"/>
  <c r="CK45" i="5"/>
  <c r="CL45" i="5" s="1"/>
  <c r="AJ47" i="5"/>
  <c r="CQ46" i="5"/>
  <c r="BL46" i="5"/>
  <c r="AI47" i="5"/>
  <c r="DF46" i="5"/>
  <c r="CA46" i="5"/>
  <c r="AL47" i="5"/>
  <c r="AK47" i="5"/>
  <c r="BC47" i="5"/>
  <c r="AO47" i="5"/>
  <c r="CO46" i="5"/>
  <c r="BJ46" i="5"/>
  <c r="AG47" i="5"/>
  <c r="DD46" i="5"/>
  <c r="BY46" i="5"/>
  <c r="CT46" i="5"/>
  <c r="BO46" i="5"/>
  <c r="CN46" i="5"/>
  <c r="BI46" i="5"/>
  <c r="CP46" i="5"/>
  <c r="BK46" i="5"/>
  <c r="DO46" i="5"/>
  <c r="CJ46" i="5"/>
  <c r="AM47" i="5"/>
  <c r="CM46" i="5"/>
  <c r="BH46" i="5"/>
  <c r="AD47" i="5"/>
  <c r="AE47" i="5"/>
  <c r="AF47" i="5"/>
  <c r="AH47" i="5"/>
  <c r="CY46" i="5"/>
  <c r="BT46" i="5"/>
  <c r="CX46" i="5"/>
  <c r="BS46" i="5"/>
  <c r="AQ47" i="5"/>
  <c r="BD46" i="5"/>
  <c r="CG46" i="5"/>
  <c r="DL46" i="5"/>
  <c r="BR46" i="5"/>
  <c r="CW46" i="5"/>
  <c r="AN47" i="5"/>
  <c r="AP47" i="5"/>
  <c r="BQ46" i="5"/>
  <c r="CV46" i="5"/>
  <c r="AR46" i="5"/>
  <c r="AS46" i="5"/>
  <c r="AT46" i="5"/>
  <c r="AV46" i="5"/>
  <c r="BA46" i="5"/>
  <c r="DH46" i="5"/>
  <c r="CC46" i="5"/>
  <c r="DN46" i="5"/>
  <c r="CI46" i="5"/>
  <c r="CU46" i="5"/>
  <c r="BP46" i="5"/>
  <c r="DP45" i="5"/>
  <c r="DQ45" i="5" s="1"/>
  <c r="CR46" i="5"/>
  <c r="BM46" i="5"/>
  <c r="AX46" i="5"/>
  <c r="CS47" i="2"/>
  <c r="BN47" i="2"/>
  <c r="DF46" i="2"/>
  <c r="CA46" i="2"/>
  <c r="AK47" i="2"/>
  <c r="BC47" i="2"/>
  <c r="AY47" i="2"/>
  <c r="BJ46" i="2"/>
  <c r="CO46" i="2"/>
  <c r="AG47" i="2"/>
  <c r="AO47" i="2"/>
  <c r="AU47" i="2"/>
  <c r="DO46" i="2"/>
  <c r="CJ46" i="2"/>
  <c r="AV46" i="2"/>
  <c r="AT46" i="2"/>
  <c r="AR46" i="2"/>
  <c r="AS46" i="2"/>
  <c r="BA46" i="2"/>
  <c r="CX46" i="2"/>
  <c r="BS46" i="2"/>
  <c r="AQ47" i="2"/>
  <c r="CU46" i="2"/>
  <c r="BP46" i="2"/>
  <c r="CP46" i="2"/>
  <c r="BK46" i="2"/>
  <c r="BY46" i="2"/>
  <c r="DD46" i="2"/>
  <c r="BB47" i="2"/>
  <c r="AN47" i="2"/>
  <c r="BQ46" i="2"/>
  <c r="CV46" i="2"/>
  <c r="AP47" i="2"/>
  <c r="CT46" i="2"/>
  <c r="BO46" i="2"/>
  <c r="AM47" i="2"/>
  <c r="AD47" i="2"/>
  <c r="AE47" i="2"/>
  <c r="BH46" i="2"/>
  <c r="CM46" i="2"/>
  <c r="AF47" i="2"/>
  <c r="AH47" i="2"/>
  <c r="BG46" i="2"/>
  <c r="DI46" i="2"/>
  <c r="CD46" i="2"/>
  <c r="CY46" i="2"/>
  <c r="BT46" i="2"/>
  <c r="CG46" i="2"/>
  <c r="DL46" i="2"/>
  <c r="DH46" i="2"/>
  <c r="CC46" i="2"/>
  <c r="AZ47" i="2"/>
  <c r="AL47" i="2"/>
  <c r="CS46" i="2"/>
  <c r="BN46" i="2"/>
  <c r="BD46" i="2"/>
  <c r="DN46" i="2"/>
  <c r="CI46" i="2"/>
  <c r="CK45" i="2"/>
  <c r="CL45" i="2" s="1"/>
  <c r="CN46" i="2"/>
  <c r="BI46" i="2"/>
  <c r="BR46" i="2"/>
  <c r="CW46" i="2"/>
  <c r="CB46" i="2"/>
  <c r="DG46" i="2"/>
  <c r="BM47" i="2"/>
  <c r="CR47" i="2"/>
  <c r="AX47" i="2"/>
  <c r="DP45" i="2"/>
  <c r="DQ45" i="2" s="1"/>
  <c r="CR46" i="2"/>
  <c r="BM46" i="2"/>
  <c r="BB46" i="2"/>
  <c r="BF47" i="2" s="1"/>
  <c r="DI46" i="4"/>
  <c r="CD46" i="4"/>
  <c r="DG46" i="4"/>
  <c r="CB46" i="4"/>
  <c r="BP46" i="4"/>
  <c r="CU46" i="4"/>
  <c r="DF46" i="4"/>
  <c r="CA46" i="4"/>
  <c r="DP45" i="4"/>
  <c r="DQ45" i="4" s="1"/>
  <c r="CX46" i="4"/>
  <c r="BS46" i="4"/>
  <c r="BE47" i="4"/>
  <c r="AQ47" i="4"/>
  <c r="BR46" i="4"/>
  <c r="CW46" i="4"/>
  <c r="AK47" i="4"/>
  <c r="CO46" i="4"/>
  <c r="AG47" i="4"/>
  <c r="BJ46" i="4"/>
  <c r="AO47" i="4"/>
  <c r="AZ47" i="4"/>
  <c r="BN46" i="4"/>
  <c r="AL47" i="4"/>
  <c r="CS46" i="4"/>
  <c r="CH46" i="4"/>
  <c r="DM46" i="4"/>
  <c r="BI46" i="4"/>
  <c r="CN46" i="4"/>
  <c r="AH47" i="4"/>
  <c r="CM46" i="4"/>
  <c r="AM47" i="4"/>
  <c r="BH46" i="4"/>
  <c r="AD47" i="4"/>
  <c r="AE47" i="4"/>
  <c r="AF47" i="4"/>
  <c r="BM46" i="4"/>
  <c r="CR46" i="4"/>
  <c r="CP46" i="4"/>
  <c r="BK46" i="4"/>
  <c r="AJ47" i="4"/>
  <c r="AI47" i="4"/>
  <c r="CQ46" i="4"/>
  <c r="AW47" i="4"/>
  <c r="BL46" i="4"/>
  <c r="CY46" i="4"/>
  <c r="BT46" i="4"/>
  <c r="DL46" i="4"/>
  <c r="CG46" i="4"/>
  <c r="DH46" i="4"/>
  <c r="CC46" i="4"/>
  <c r="DK46" i="4"/>
  <c r="CF46" i="4"/>
  <c r="CK45" i="4"/>
  <c r="CL45" i="4" s="1"/>
  <c r="BY46" i="4"/>
  <c r="DD46" i="4"/>
  <c r="DO46" i="4"/>
  <c r="CJ46" i="4"/>
  <c r="AN47" i="4"/>
  <c r="BQ46" i="4"/>
  <c r="AP47" i="4"/>
  <c r="CV46" i="4"/>
  <c r="BO46" i="4"/>
  <c r="CT46" i="4"/>
  <c r="BA46" i="4"/>
  <c r="AR46" i="4"/>
  <c r="BG46" i="4" s="1"/>
  <c r="AT46" i="4"/>
  <c r="AS46" i="4"/>
  <c r="AV46" i="4"/>
  <c r="AN61" i="3"/>
  <c r="CV60" i="3"/>
  <c r="BQ60" i="3"/>
  <c r="AP61" i="3"/>
  <c r="BZ60" i="3"/>
  <c r="DE60" i="3"/>
  <c r="AS60" i="3"/>
  <c r="BA60" i="3"/>
  <c r="AR60" i="3"/>
  <c r="CX60" i="3"/>
  <c r="BS60" i="3"/>
  <c r="BE61" i="3"/>
  <c r="AQ61" i="3"/>
  <c r="CK59" i="3"/>
  <c r="CL59" i="3" s="1"/>
  <c r="AJ61" i="3"/>
  <c r="CQ60" i="3"/>
  <c r="BL60" i="3"/>
  <c r="AI61" i="3"/>
  <c r="AX61" i="3"/>
  <c r="AW61" i="3"/>
  <c r="BD60" i="3"/>
  <c r="AW60" i="3"/>
  <c r="CY60" i="3"/>
  <c r="BT60" i="3"/>
  <c r="CU60" i="3"/>
  <c r="BP60" i="3"/>
  <c r="BB60" i="3"/>
  <c r="AZ61" i="3"/>
  <c r="AL61" i="3"/>
  <c r="CS60" i="3"/>
  <c r="BN60" i="3"/>
  <c r="DH60" i="3"/>
  <c r="CC60" i="3"/>
  <c r="CP60" i="3"/>
  <c r="BK60" i="3"/>
  <c r="BC61" i="3"/>
  <c r="AK61" i="3"/>
  <c r="BJ60" i="3"/>
  <c r="CO60" i="3"/>
  <c r="AY61" i="3"/>
  <c r="AG61" i="3"/>
  <c r="AO61" i="3"/>
  <c r="AU61" i="3"/>
  <c r="DG60" i="3"/>
  <c r="CB60" i="3"/>
  <c r="DC60" i="3"/>
  <c r="BX60" i="3"/>
  <c r="AU60" i="3"/>
  <c r="CN60" i="3"/>
  <c r="BI60" i="3"/>
  <c r="CT60" i="3"/>
  <c r="BO60" i="3"/>
  <c r="DO60" i="3"/>
  <c r="CJ60" i="3"/>
  <c r="BR60" i="3"/>
  <c r="CW60" i="3"/>
  <c r="BC60" i="3"/>
  <c r="AM61" i="3"/>
  <c r="AD61" i="3"/>
  <c r="BG60" i="3"/>
  <c r="BH60" i="3"/>
  <c r="BF61" i="3"/>
  <c r="AE61" i="3"/>
  <c r="CM60" i="3"/>
  <c r="AF61" i="3"/>
  <c r="AH61" i="3"/>
  <c r="I45" i="3"/>
  <c r="AB30" i="3"/>
  <c r="AC48" i="3"/>
  <c r="I56" i="3"/>
  <c r="W47" i="3"/>
  <c r="V47" i="3"/>
  <c r="N52" i="3"/>
  <c r="O52" i="3"/>
  <c r="P52" i="3"/>
  <c r="Q52" i="3"/>
  <c r="R52" i="3"/>
  <c r="S52" i="3"/>
  <c r="L52" i="3"/>
  <c r="U52" i="3"/>
  <c r="V52" i="3"/>
  <c r="W52" i="3"/>
  <c r="X52" i="3"/>
  <c r="Y52" i="3"/>
  <c r="Z52" i="3"/>
  <c r="AA52" i="3"/>
  <c r="K52" i="3"/>
  <c r="AB52" i="3"/>
  <c r="J52" i="3"/>
  <c r="M52" i="3"/>
  <c r="K55" i="3"/>
  <c r="AB55" i="3"/>
  <c r="J55" i="3"/>
  <c r="L55" i="3"/>
  <c r="M55" i="3"/>
  <c r="N55" i="3"/>
  <c r="O55" i="3"/>
  <c r="P55" i="3"/>
  <c r="Q55" i="3"/>
  <c r="R55" i="3"/>
  <c r="S55" i="3"/>
  <c r="U55" i="3"/>
  <c r="Z55" i="3"/>
  <c r="V55" i="3"/>
  <c r="W55" i="3"/>
  <c r="X55" i="3"/>
  <c r="Y55" i="3"/>
  <c r="AA55" i="3"/>
  <c r="W58" i="3"/>
  <c r="X58" i="3"/>
  <c r="Y58" i="3"/>
  <c r="Z58" i="3"/>
  <c r="J58" i="3"/>
  <c r="V58" i="3"/>
  <c r="K58" i="3"/>
  <c r="AA58" i="3"/>
  <c r="L58" i="3"/>
  <c r="AB58" i="3"/>
  <c r="M58" i="3"/>
  <c r="N58" i="3"/>
  <c r="O58" i="3"/>
  <c r="P58" i="3"/>
  <c r="Q58" i="3"/>
  <c r="R58" i="3"/>
  <c r="S58" i="3"/>
  <c r="U58" i="3"/>
  <c r="I55" i="3"/>
  <c r="S49" i="3"/>
  <c r="U49" i="3"/>
  <c r="V49" i="3"/>
  <c r="R49" i="3"/>
  <c r="W49" i="3"/>
  <c r="X49" i="3"/>
  <c r="Y49" i="3"/>
  <c r="Z49" i="3"/>
  <c r="AA49" i="3"/>
  <c r="K49" i="3"/>
  <c r="AB49" i="3"/>
  <c r="L49" i="3"/>
  <c r="M49" i="3"/>
  <c r="J49" i="3"/>
  <c r="Q49" i="3"/>
  <c r="N49" i="3"/>
  <c r="O49" i="3"/>
  <c r="P49" i="3"/>
  <c r="I49" i="3"/>
  <c r="I52" i="3"/>
  <c r="T47" i="3"/>
  <c r="M53" i="3"/>
  <c r="N53" i="3"/>
  <c r="O53" i="3"/>
  <c r="AB53" i="3"/>
  <c r="P53" i="3"/>
  <c r="K53" i="3"/>
  <c r="Q53" i="3"/>
  <c r="R53" i="3"/>
  <c r="S53" i="3"/>
  <c r="U53" i="3"/>
  <c r="V53" i="3"/>
  <c r="W53" i="3"/>
  <c r="J53" i="3"/>
  <c r="L53" i="3"/>
  <c r="X53" i="3"/>
  <c r="Y53" i="3"/>
  <c r="Z53" i="3"/>
  <c r="AA53" i="3"/>
  <c r="Z56" i="3"/>
  <c r="X56" i="3"/>
  <c r="K56" i="3"/>
  <c r="AA56" i="3"/>
  <c r="J56" i="3"/>
  <c r="L56" i="3"/>
  <c r="AB56" i="3"/>
  <c r="M56" i="3"/>
  <c r="N56" i="3"/>
  <c r="O56" i="3"/>
  <c r="P56" i="3"/>
  <c r="Q56" i="3"/>
  <c r="R56" i="3"/>
  <c r="S56" i="3"/>
  <c r="U56" i="3"/>
  <c r="Y56" i="3"/>
  <c r="V56" i="3"/>
  <c r="W56" i="3"/>
  <c r="Q50" i="3"/>
  <c r="R50" i="3"/>
  <c r="S50" i="3"/>
  <c r="U50" i="3"/>
  <c r="V50" i="3"/>
  <c r="W50" i="3"/>
  <c r="X50" i="3"/>
  <c r="Y50" i="3"/>
  <c r="O50" i="3"/>
  <c r="Z50" i="3"/>
  <c r="AA50" i="3"/>
  <c r="K50" i="3"/>
  <c r="AB50" i="3"/>
  <c r="P50" i="3"/>
  <c r="L50" i="3"/>
  <c r="J50" i="3"/>
  <c r="M50" i="3"/>
  <c r="N50" i="3"/>
  <c r="I53" i="3"/>
  <c r="I57" i="3"/>
  <c r="I50" i="3"/>
  <c r="Y57" i="3"/>
  <c r="Z57" i="3"/>
  <c r="AA57" i="3"/>
  <c r="J57" i="3"/>
  <c r="K57" i="3"/>
  <c r="AB57" i="3"/>
  <c r="L57" i="3"/>
  <c r="M57" i="3"/>
  <c r="N57" i="3"/>
  <c r="O57" i="3"/>
  <c r="P57" i="3"/>
  <c r="W57" i="3"/>
  <c r="Q57" i="3"/>
  <c r="X57" i="3"/>
  <c r="R57" i="3"/>
  <c r="S57" i="3"/>
  <c r="U57" i="3"/>
  <c r="V57" i="3"/>
  <c r="X45" i="3"/>
  <c r="Y45" i="3"/>
  <c r="Z45" i="3"/>
  <c r="AA45" i="3"/>
  <c r="K45" i="3"/>
  <c r="AB45" i="3"/>
  <c r="L45" i="3"/>
  <c r="M45" i="3"/>
  <c r="J45" i="3"/>
  <c r="N45" i="3"/>
  <c r="O45" i="3"/>
  <c r="P45" i="3"/>
  <c r="W45" i="3"/>
  <c r="Q45" i="3"/>
  <c r="R45" i="3"/>
  <c r="S45" i="3"/>
  <c r="U45" i="3"/>
  <c r="V45" i="3"/>
  <c r="W35" i="3"/>
  <c r="R35" i="3"/>
  <c r="L54" i="3"/>
  <c r="M54" i="3"/>
  <c r="AA54" i="3"/>
  <c r="AB54" i="3"/>
  <c r="N54" i="3"/>
  <c r="O54" i="3"/>
  <c r="P54" i="3"/>
  <c r="Q54" i="3"/>
  <c r="J54" i="3"/>
  <c r="R54" i="3"/>
  <c r="S54" i="3"/>
  <c r="U54" i="3"/>
  <c r="V54" i="3"/>
  <c r="W54" i="3"/>
  <c r="K54" i="3"/>
  <c r="X54" i="3"/>
  <c r="Y54" i="3"/>
  <c r="Z54" i="3"/>
  <c r="T48" i="3"/>
  <c r="X40" i="3"/>
  <c r="O51" i="3"/>
  <c r="P51" i="3"/>
  <c r="Q51" i="3"/>
  <c r="R51" i="3"/>
  <c r="S51" i="3"/>
  <c r="N51" i="3"/>
  <c r="U51" i="3"/>
  <c r="V51" i="3"/>
  <c r="M51" i="3"/>
  <c r="W51" i="3"/>
  <c r="X51" i="3"/>
  <c r="Y51" i="3"/>
  <c r="Z51" i="3"/>
  <c r="AA51" i="3"/>
  <c r="K51" i="3"/>
  <c r="AB51" i="3"/>
  <c r="J51" i="3"/>
  <c r="L51" i="3"/>
  <c r="I58" i="3"/>
  <c r="Z46" i="3"/>
  <c r="AA46" i="3"/>
  <c r="K46" i="3"/>
  <c r="AB46" i="3"/>
  <c r="L46" i="3"/>
  <c r="M46" i="3"/>
  <c r="N46" i="3"/>
  <c r="O46" i="3"/>
  <c r="P46" i="3"/>
  <c r="J46" i="3"/>
  <c r="Q46" i="3"/>
  <c r="R46" i="3"/>
  <c r="X46" i="3"/>
  <c r="S46" i="3"/>
  <c r="U46" i="3"/>
  <c r="V46" i="3"/>
  <c r="Y46" i="3"/>
  <c r="W46" i="3"/>
  <c r="Y42" i="3"/>
  <c r="Q10" i="3"/>
  <c r="Z30" i="3"/>
  <c r="O10" i="3"/>
  <c r="V25" i="3"/>
  <c r="W41" i="3"/>
  <c r="N41" i="3"/>
  <c r="AA23" i="3"/>
  <c r="U10" i="3"/>
  <c r="X10" i="3"/>
  <c r="U41" i="3"/>
  <c r="O14" i="3"/>
  <c r="M15" i="3"/>
  <c r="Y14" i="3"/>
  <c r="X14" i="3"/>
  <c r="Q14" i="3"/>
  <c r="U30" i="3"/>
  <c r="Q30" i="3"/>
  <c r="L11" i="3"/>
  <c r="I32" i="8"/>
  <c r="I38" i="8"/>
  <c r="I9" i="8"/>
  <c r="I18" i="8"/>
  <c r="I29" i="8"/>
  <c r="I41" i="8"/>
  <c r="AC16" i="8"/>
  <c r="T16" i="8"/>
  <c r="P6" i="8"/>
  <c r="O6" i="8"/>
  <c r="M6" i="8"/>
  <c r="AB6" i="8"/>
  <c r="J6" i="8"/>
  <c r="Q6" i="8"/>
  <c r="L6" i="8"/>
  <c r="N6" i="8"/>
  <c r="AA6" i="8"/>
  <c r="Z6" i="8"/>
  <c r="W6" i="8"/>
  <c r="R6" i="8"/>
  <c r="Y6" i="8"/>
  <c r="X6" i="8"/>
  <c r="V6" i="8"/>
  <c r="U6" i="8"/>
  <c r="S6" i="8"/>
  <c r="K6" i="8"/>
  <c r="W28" i="8"/>
  <c r="V28" i="8"/>
  <c r="S28" i="8"/>
  <c r="R28" i="8"/>
  <c r="N28" i="8"/>
  <c r="K28" i="8"/>
  <c r="X28" i="8"/>
  <c r="P28" i="8"/>
  <c r="O28" i="8"/>
  <c r="M28" i="8"/>
  <c r="L28" i="8"/>
  <c r="J28" i="8"/>
  <c r="Z28" i="8"/>
  <c r="Y28" i="8"/>
  <c r="U28" i="8"/>
  <c r="Q28" i="8"/>
  <c r="AB28" i="8"/>
  <c r="AA28" i="8"/>
  <c r="P16" i="3"/>
  <c r="U16" i="3"/>
  <c r="AZ4" i="3"/>
  <c r="DI4" i="3" s="1"/>
  <c r="BE4" i="3"/>
  <c r="DN4" i="3" s="1"/>
  <c r="CK3" i="8"/>
  <c r="S13" i="4"/>
  <c r="AA13" i="4"/>
  <c r="K13" i="4"/>
  <c r="BE4" i="5"/>
  <c r="P23" i="8"/>
  <c r="O23" i="8"/>
  <c r="W23" i="8"/>
  <c r="U23" i="8"/>
  <c r="V23" i="8"/>
  <c r="AB23" i="8"/>
  <c r="Y23" i="8"/>
  <c r="J23" i="8"/>
  <c r="R23" i="8"/>
  <c r="N23" i="8"/>
  <c r="Q23" i="8"/>
  <c r="S23" i="8"/>
  <c r="M23" i="8"/>
  <c r="L23" i="8"/>
  <c r="K23" i="8"/>
  <c r="AA23" i="8"/>
  <c r="X23" i="8"/>
  <c r="Z23" i="8"/>
  <c r="AL4" i="3"/>
  <c r="CU4" i="3" s="1"/>
  <c r="V25" i="8"/>
  <c r="U25" i="8"/>
  <c r="Z25" i="8"/>
  <c r="X25" i="8"/>
  <c r="Y25" i="8"/>
  <c r="O25" i="8"/>
  <c r="L25" i="8"/>
  <c r="W25" i="8"/>
  <c r="N25" i="8"/>
  <c r="M25" i="8"/>
  <c r="K25" i="8"/>
  <c r="J25" i="8"/>
  <c r="Q25" i="8"/>
  <c r="P25" i="8"/>
  <c r="AB25" i="8"/>
  <c r="AA25" i="8"/>
  <c r="S25" i="8"/>
  <c r="R25" i="8"/>
  <c r="Q20" i="3"/>
  <c r="Y17" i="8"/>
  <c r="X17" i="8"/>
  <c r="Q17" i="8"/>
  <c r="N17" i="8"/>
  <c r="S17" i="8"/>
  <c r="O17" i="8"/>
  <c r="M17" i="8"/>
  <c r="U17" i="8"/>
  <c r="R17" i="8"/>
  <c r="L17" i="8"/>
  <c r="K17" i="8"/>
  <c r="J17" i="8"/>
  <c r="AB17" i="8"/>
  <c r="AA17" i="8"/>
  <c r="W17" i="8"/>
  <c r="V17" i="8"/>
  <c r="Z17" i="8"/>
  <c r="P17" i="8"/>
  <c r="M41" i="4"/>
  <c r="Y41" i="4"/>
  <c r="W41" i="4"/>
  <c r="V41" i="4"/>
  <c r="L41" i="4"/>
  <c r="M36" i="8"/>
  <c r="AB36" i="8"/>
  <c r="L36" i="8"/>
  <c r="AA36" i="8"/>
  <c r="K36" i="8"/>
  <c r="Z36" i="8"/>
  <c r="Q36" i="8"/>
  <c r="O36" i="8"/>
  <c r="P36" i="8"/>
  <c r="J36" i="8"/>
  <c r="Y36" i="8"/>
  <c r="X36" i="8"/>
  <c r="W36" i="8"/>
  <c r="V36" i="8"/>
  <c r="U36" i="8"/>
  <c r="R36" i="8"/>
  <c r="N36" i="8"/>
  <c r="S36" i="8"/>
  <c r="T31" i="8"/>
  <c r="AC31" i="8"/>
  <c r="CI4" i="8"/>
  <c r="Q26" i="8"/>
  <c r="P26" i="8"/>
  <c r="S26" i="8"/>
  <c r="O26" i="8"/>
  <c r="R26" i="8"/>
  <c r="K26" i="8"/>
  <c r="M26" i="8"/>
  <c r="J26" i="8"/>
  <c r="L26" i="8"/>
  <c r="X26" i="8"/>
  <c r="W26" i="8"/>
  <c r="V26" i="8"/>
  <c r="U26" i="8"/>
  <c r="AB26" i="8"/>
  <c r="Z26" i="8"/>
  <c r="N26" i="8"/>
  <c r="AA26" i="8"/>
  <c r="Y26" i="8"/>
  <c r="U22" i="8"/>
  <c r="L22" i="8"/>
  <c r="K22" i="8"/>
  <c r="AB22" i="8"/>
  <c r="J22" i="8"/>
  <c r="AA22" i="8"/>
  <c r="W22" i="8"/>
  <c r="R22" i="8"/>
  <c r="Q22" i="8"/>
  <c r="M22" i="8"/>
  <c r="X22" i="8"/>
  <c r="V22" i="8"/>
  <c r="S22" i="8"/>
  <c r="P22" i="8"/>
  <c r="O22" i="8"/>
  <c r="N22" i="8"/>
  <c r="Y22" i="8"/>
  <c r="Z22" i="8"/>
  <c r="S41" i="8"/>
  <c r="R41" i="8"/>
  <c r="K41" i="8"/>
  <c r="J41" i="8"/>
  <c r="AA41" i="8"/>
  <c r="AB41" i="8"/>
  <c r="Z41" i="8"/>
  <c r="Y41" i="8"/>
  <c r="Q41" i="8"/>
  <c r="P41" i="8"/>
  <c r="O41" i="8"/>
  <c r="N41" i="8"/>
  <c r="M41" i="8"/>
  <c r="L41" i="8"/>
  <c r="U41" i="8"/>
  <c r="X41" i="8"/>
  <c r="W41" i="8"/>
  <c r="V41" i="8"/>
  <c r="W34" i="8"/>
  <c r="V34" i="8"/>
  <c r="U34" i="8"/>
  <c r="AA34" i="8"/>
  <c r="Z34" i="8"/>
  <c r="AB34" i="8"/>
  <c r="Y34" i="8"/>
  <c r="J34" i="8"/>
  <c r="N34" i="8"/>
  <c r="K34" i="8"/>
  <c r="L34" i="8"/>
  <c r="M34" i="8"/>
  <c r="S34" i="8"/>
  <c r="R34" i="8"/>
  <c r="Q34" i="8"/>
  <c r="X34" i="8"/>
  <c r="P34" i="8"/>
  <c r="O34" i="8"/>
  <c r="I42" i="6"/>
  <c r="Y40" i="8"/>
  <c r="X40" i="8"/>
  <c r="W40" i="8"/>
  <c r="K40" i="8"/>
  <c r="J40" i="8"/>
  <c r="N40" i="8"/>
  <c r="M40" i="8"/>
  <c r="L40" i="8"/>
  <c r="Q40" i="8"/>
  <c r="AB40" i="8"/>
  <c r="V40" i="8"/>
  <c r="S40" i="8"/>
  <c r="P40" i="8"/>
  <c r="O40" i="8"/>
  <c r="AA40" i="8"/>
  <c r="U40" i="8"/>
  <c r="R40" i="8"/>
  <c r="Z40" i="8"/>
  <c r="AB27" i="8"/>
  <c r="L27" i="8"/>
  <c r="AA27" i="8"/>
  <c r="K27" i="8"/>
  <c r="J27" i="8"/>
  <c r="Z27" i="8"/>
  <c r="N27" i="8"/>
  <c r="P27" i="8"/>
  <c r="X27" i="8"/>
  <c r="W27" i="8"/>
  <c r="V27" i="8"/>
  <c r="U27" i="8"/>
  <c r="O27" i="8"/>
  <c r="M27" i="8"/>
  <c r="Q27" i="8"/>
  <c r="Y27" i="8"/>
  <c r="S27" i="8"/>
  <c r="R27" i="8"/>
  <c r="T3" i="6"/>
  <c r="AK4" i="6" s="1"/>
  <c r="CT4" i="6" s="1"/>
  <c r="I28" i="8"/>
  <c r="I6" i="6"/>
  <c r="S19" i="8"/>
  <c r="O19" i="8"/>
  <c r="M19" i="8"/>
  <c r="N19" i="8"/>
  <c r="Z19" i="8"/>
  <c r="W19" i="8"/>
  <c r="R19" i="8"/>
  <c r="L19" i="8"/>
  <c r="K19" i="8"/>
  <c r="V19" i="8"/>
  <c r="Q19" i="8"/>
  <c r="U19" i="8"/>
  <c r="AB19" i="8"/>
  <c r="AA19" i="8"/>
  <c r="Y19" i="8"/>
  <c r="X19" i="8"/>
  <c r="P19" i="8"/>
  <c r="J19" i="8"/>
  <c r="V10" i="3"/>
  <c r="AA35" i="3"/>
  <c r="I43" i="5"/>
  <c r="Y10" i="5"/>
  <c r="I21" i="6"/>
  <c r="I29" i="6"/>
  <c r="I27" i="8"/>
  <c r="I37" i="8"/>
  <c r="N39" i="8"/>
  <c r="M39" i="8"/>
  <c r="AB39" i="8"/>
  <c r="L39" i="8"/>
  <c r="AA39" i="8"/>
  <c r="S39" i="8"/>
  <c r="Q39" i="8"/>
  <c r="R39" i="8"/>
  <c r="W39" i="8"/>
  <c r="X39" i="8"/>
  <c r="P39" i="8"/>
  <c r="Z39" i="8"/>
  <c r="Y39" i="8"/>
  <c r="J39" i="8"/>
  <c r="K39" i="8"/>
  <c r="V39" i="8"/>
  <c r="U39" i="8"/>
  <c r="O39" i="8"/>
  <c r="M10" i="3"/>
  <c r="P14" i="3"/>
  <c r="L10" i="5"/>
  <c r="T3" i="5"/>
  <c r="I39" i="8"/>
  <c r="I34" i="8"/>
  <c r="BU4" i="8"/>
  <c r="AC42" i="8"/>
  <c r="T42" i="8"/>
  <c r="S32" i="8"/>
  <c r="R32" i="8"/>
  <c r="AA32" i="8"/>
  <c r="Z32" i="8"/>
  <c r="Y32" i="8"/>
  <c r="U32" i="8"/>
  <c r="P32" i="8"/>
  <c r="N32" i="8"/>
  <c r="M32" i="8"/>
  <c r="K32" i="8"/>
  <c r="J32" i="8"/>
  <c r="O32" i="8"/>
  <c r="Q32" i="8"/>
  <c r="W32" i="8"/>
  <c r="V32" i="8"/>
  <c r="L32" i="8"/>
  <c r="AB32" i="8"/>
  <c r="X32" i="8"/>
  <c r="T14" i="8"/>
  <c r="AC14" i="8"/>
  <c r="T43" i="8"/>
  <c r="AC43" i="8"/>
  <c r="AC20" i="8"/>
  <c r="T20" i="8"/>
  <c r="R12" i="8"/>
  <c r="Q12" i="8"/>
  <c r="O12" i="8"/>
  <c r="W12" i="8"/>
  <c r="S12" i="8"/>
  <c r="P12" i="8"/>
  <c r="X12" i="8"/>
  <c r="U12" i="8"/>
  <c r="V12" i="8"/>
  <c r="AB12" i="8"/>
  <c r="AA12" i="8"/>
  <c r="L12" i="8"/>
  <c r="Z12" i="8"/>
  <c r="Y12" i="8"/>
  <c r="N12" i="8"/>
  <c r="M12" i="8"/>
  <c r="K12" i="8"/>
  <c r="J12" i="8"/>
  <c r="U44" i="8"/>
  <c r="S44" i="8"/>
  <c r="M44" i="8"/>
  <c r="L44" i="8"/>
  <c r="P44" i="8"/>
  <c r="N44" i="8"/>
  <c r="O44" i="8"/>
  <c r="K44" i="8"/>
  <c r="AA44" i="8"/>
  <c r="X44" i="8"/>
  <c r="J44" i="8"/>
  <c r="Y44" i="8"/>
  <c r="V44" i="8"/>
  <c r="R44" i="8"/>
  <c r="W44" i="8"/>
  <c r="AB44" i="8"/>
  <c r="Z44" i="8"/>
  <c r="Q44" i="8"/>
  <c r="I36" i="8"/>
  <c r="AB10" i="8"/>
  <c r="L10" i="8"/>
  <c r="AA10" i="8"/>
  <c r="K10" i="8"/>
  <c r="Q10" i="8"/>
  <c r="N10" i="8"/>
  <c r="Z10" i="8"/>
  <c r="W10" i="8"/>
  <c r="X10" i="8"/>
  <c r="Y10" i="8"/>
  <c r="V10" i="8"/>
  <c r="U10" i="8"/>
  <c r="R10" i="8"/>
  <c r="P10" i="8"/>
  <c r="O10" i="8"/>
  <c r="S10" i="8"/>
  <c r="M10" i="8"/>
  <c r="J10" i="8"/>
  <c r="W11" i="8"/>
  <c r="V11" i="8"/>
  <c r="AA11" i="8"/>
  <c r="X11" i="8"/>
  <c r="N11" i="8"/>
  <c r="K11" i="8"/>
  <c r="J11" i="8"/>
  <c r="L11" i="8"/>
  <c r="Z11" i="8"/>
  <c r="Y11" i="8"/>
  <c r="U11" i="8"/>
  <c r="S11" i="8"/>
  <c r="R11" i="8"/>
  <c r="Q11" i="8"/>
  <c r="P11" i="8"/>
  <c r="AB11" i="8"/>
  <c r="O11" i="8"/>
  <c r="M11" i="8"/>
  <c r="M35" i="3"/>
  <c r="I40" i="8"/>
  <c r="X37" i="8"/>
  <c r="W37" i="8"/>
  <c r="V37" i="8"/>
  <c r="AB37" i="8"/>
  <c r="AA37" i="8"/>
  <c r="J37" i="8"/>
  <c r="M37" i="8"/>
  <c r="L37" i="8"/>
  <c r="R37" i="8"/>
  <c r="Q37" i="8"/>
  <c r="O37" i="8"/>
  <c r="N37" i="8"/>
  <c r="Y37" i="8"/>
  <c r="U37" i="8"/>
  <c r="K37" i="8"/>
  <c r="Z37" i="8"/>
  <c r="S37" i="8"/>
  <c r="P37" i="8"/>
  <c r="AL4" i="4"/>
  <c r="CU4" i="4" s="1"/>
  <c r="I34" i="5"/>
  <c r="U10" i="5"/>
  <c r="AZ4" i="8"/>
  <c r="DI4" i="8" s="1"/>
  <c r="I6" i="8"/>
  <c r="Z21" i="8"/>
  <c r="J21" i="8"/>
  <c r="Y21" i="8"/>
  <c r="S21" i="8"/>
  <c r="Q21" i="8"/>
  <c r="R21" i="8"/>
  <c r="N21" i="8"/>
  <c r="K21" i="8"/>
  <c r="M21" i="8"/>
  <c r="X21" i="8"/>
  <c r="W21" i="8"/>
  <c r="V21" i="8"/>
  <c r="U21" i="8"/>
  <c r="P21" i="8"/>
  <c r="O21" i="8"/>
  <c r="AB21" i="8"/>
  <c r="AA21" i="8"/>
  <c r="L21" i="8"/>
  <c r="Q9" i="8"/>
  <c r="P9" i="8"/>
  <c r="X9" i="8"/>
  <c r="Z9" i="8"/>
  <c r="V9" i="8"/>
  <c r="K9" i="8"/>
  <c r="J9" i="8"/>
  <c r="AB9" i="8"/>
  <c r="Y9" i="8"/>
  <c r="W9" i="8"/>
  <c r="U9" i="8"/>
  <c r="O9" i="8"/>
  <c r="N9" i="8"/>
  <c r="M9" i="8"/>
  <c r="L9" i="8"/>
  <c r="S9" i="8"/>
  <c r="R9" i="8"/>
  <c r="AA9" i="8"/>
  <c r="V8" i="8"/>
  <c r="U8" i="8"/>
  <c r="M8" i="8"/>
  <c r="AA8" i="8"/>
  <c r="X8" i="8"/>
  <c r="Q8" i="8"/>
  <c r="O8" i="8"/>
  <c r="P8" i="8"/>
  <c r="L8" i="8"/>
  <c r="K8" i="8"/>
  <c r="J8" i="8"/>
  <c r="Z8" i="8"/>
  <c r="Y8" i="8"/>
  <c r="S8" i="8"/>
  <c r="AB8" i="8"/>
  <c r="R8" i="8"/>
  <c r="W8" i="8"/>
  <c r="N8" i="8"/>
  <c r="AC3" i="8"/>
  <c r="V10" i="5"/>
  <c r="I17" i="8"/>
  <c r="I23" i="8"/>
  <c r="R35" i="8"/>
  <c r="Q35" i="8"/>
  <c r="P35" i="8"/>
  <c r="AA35" i="8"/>
  <c r="Z35" i="8"/>
  <c r="V35" i="8"/>
  <c r="U35" i="8"/>
  <c r="AB35" i="8"/>
  <c r="L35" i="8"/>
  <c r="Y35" i="8"/>
  <c r="X35" i="8"/>
  <c r="S35" i="8"/>
  <c r="O35" i="8"/>
  <c r="N35" i="8"/>
  <c r="M35" i="8"/>
  <c r="W35" i="8"/>
  <c r="K35" i="8"/>
  <c r="J35" i="8"/>
  <c r="M30" i="8"/>
  <c r="AB30" i="8"/>
  <c r="L30" i="8"/>
  <c r="X30" i="8"/>
  <c r="W30" i="8"/>
  <c r="V30" i="8"/>
  <c r="R30" i="8"/>
  <c r="S30" i="8"/>
  <c r="O30" i="8"/>
  <c r="AA30" i="8"/>
  <c r="Q30" i="8"/>
  <c r="P30" i="8"/>
  <c r="N30" i="8"/>
  <c r="K30" i="8"/>
  <c r="J30" i="8"/>
  <c r="Z30" i="8"/>
  <c r="Y30" i="8"/>
  <c r="U30" i="8"/>
  <c r="R29" i="8"/>
  <c r="Q29" i="8"/>
  <c r="M29" i="8"/>
  <c r="K29" i="8"/>
  <c r="L29" i="8"/>
  <c r="X29" i="8"/>
  <c r="S29" i="8"/>
  <c r="N29" i="8"/>
  <c r="O29" i="8"/>
  <c r="W29" i="8"/>
  <c r="U29" i="8"/>
  <c r="V29" i="8"/>
  <c r="P29" i="8"/>
  <c r="J29" i="8"/>
  <c r="Z29" i="8"/>
  <c r="Y29" i="8"/>
  <c r="AB29" i="8"/>
  <c r="AA29" i="8"/>
  <c r="AC4" i="8"/>
  <c r="T4" i="8"/>
  <c r="AA7" i="8"/>
  <c r="K7" i="8"/>
  <c r="Z7" i="8"/>
  <c r="J7" i="8"/>
  <c r="U7" i="8"/>
  <c r="X7" i="8"/>
  <c r="Y7" i="8"/>
  <c r="V7" i="8"/>
  <c r="W7" i="8"/>
  <c r="S7" i="8"/>
  <c r="R7" i="8"/>
  <c r="P7" i="8"/>
  <c r="O7" i="8"/>
  <c r="N7" i="8"/>
  <c r="AB7" i="8"/>
  <c r="Q7" i="8"/>
  <c r="M7" i="8"/>
  <c r="L7" i="8"/>
  <c r="T3" i="8"/>
  <c r="AL4" i="8"/>
  <c r="CU4" i="8" s="1"/>
  <c r="M13" i="8"/>
  <c r="AB13" i="8"/>
  <c r="L13" i="8"/>
  <c r="K13" i="8"/>
  <c r="Z13" i="8"/>
  <c r="X13" i="8"/>
  <c r="W13" i="8"/>
  <c r="AA13" i="8"/>
  <c r="N13" i="8"/>
  <c r="J13" i="8"/>
  <c r="R13" i="8"/>
  <c r="Q13" i="8"/>
  <c r="P13" i="8"/>
  <c r="O13" i="8"/>
  <c r="U13" i="8"/>
  <c r="S13" i="8"/>
  <c r="V13" i="8"/>
  <c r="Y13" i="8"/>
  <c r="P15" i="3"/>
  <c r="U35" i="3"/>
  <c r="CD4" i="4"/>
  <c r="X10" i="5"/>
  <c r="I17" i="6"/>
  <c r="AA24" i="8"/>
  <c r="K24" i="8"/>
  <c r="Z24" i="8"/>
  <c r="J24" i="8"/>
  <c r="P24" i="8"/>
  <c r="N24" i="8"/>
  <c r="O24" i="8"/>
  <c r="W24" i="8"/>
  <c r="U24" i="8"/>
  <c r="Q24" i="8"/>
  <c r="M24" i="8"/>
  <c r="Y24" i="8"/>
  <c r="AB24" i="8"/>
  <c r="S24" i="8"/>
  <c r="R24" i="8"/>
  <c r="L24" i="8"/>
  <c r="X24" i="8"/>
  <c r="V24" i="8"/>
  <c r="I22" i="8"/>
  <c r="N33" i="8"/>
  <c r="M33" i="8"/>
  <c r="S33" i="8"/>
  <c r="R33" i="8"/>
  <c r="Y33" i="8"/>
  <c r="X33" i="8"/>
  <c r="U33" i="8"/>
  <c r="AB33" i="8"/>
  <c r="J33" i="8"/>
  <c r="V33" i="8"/>
  <c r="Q33" i="8"/>
  <c r="P33" i="8"/>
  <c r="O33" i="8"/>
  <c r="L33" i="8"/>
  <c r="K33" i="8"/>
  <c r="AA33" i="8"/>
  <c r="Z33" i="8"/>
  <c r="W33" i="8"/>
  <c r="L30" i="3"/>
  <c r="M14" i="3"/>
  <c r="U34" i="3"/>
  <c r="N14" i="3"/>
  <c r="AQ4" i="4"/>
  <c r="R10" i="5"/>
  <c r="I20" i="6"/>
  <c r="I28" i="6"/>
  <c r="I26" i="8"/>
  <c r="S18" i="8"/>
  <c r="AB18" i="8"/>
  <c r="J18" i="8"/>
  <c r="Y18" i="8"/>
  <c r="AA18" i="8"/>
  <c r="W18" i="8"/>
  <c r="V18" i="8"/>
  <c r="O18" i="8"/>
  <c r="N18" i="8"/>
  <c r="M18" i="8"/>
  <c r="L18" i="8"/>
  <c r="K18" i="8"/>
  <c r="Z18" i="8"/>
  <c r="U18" i="8"/>
  <c r="R18" i="8"/>
  <c r="Q18" i="8"/>
  <c r="X18" i="8"/>
  <c r="P18" i="8"/>
  <c r="S38" i="8"/>
  <c r="R38" i="8"/>
  <c r="Q38" i="8"/>
  <c r="AB38" i="8"/>
  <c r="AA38" i="8"/>
  <c r="X38" i="8"/>
  <c r="V38" i="8"/>
  <c r="W38" i="8"/>
  <c r="Z38" i="8"/>
  <c r="N38" i="8"/>
  <c r="K38" i="8"/>
  <c r="U38" i="8"/>
  <c r="P38" i="8"/>
  <c r="O38" i="8"/>
  <c r="Y38" i="8"/>
  <c r="M38" i="8"/>
  <c r="L38" i="8"/>
  <c r="J38" i="8"/>
  <c r="U5" i="8"/>
  <c r="V5" i="8"/>
  <c r="Q5" i="8"/>
  <c r="AB5" i="8"/>
  <c r="Z5" i="8"/>
  <c r="AA5" i="8"/>
  <c r="X5" i="8"/>
  <c r="W5" i="8"/>
  <c r="S5" i="8"/>
  <c r="P5" i="8"/>
  <c r="O5" i="8"/>
  <c r="L5" i="8"/>
  <c r="K5" i="8"/>
  <c r="J5" i="8"/>
  <c r="N5" i="8"/>
  <c r="Y5" i="8"/>
  <c r="R5" i="8"/>
  <c r="M5" i="8"/>
  <c r="AC15" i="8"/>
  <c r="T15" i="8"/>
  <c r="I10" i="8"/>
  <c r="I5" i="6"/>
  <c r="I9" i="6"/>
  <c r="I33" i="6"/>
  <c r="I40" i="6"/>
  <c r="I44" i="6"/>
  <c r="I38" i="6"/>
  <c r="I11" i="6"/>
  <c r="I35" i="6"/>
  <c r="I15" i="6"/>
  <c r="I30" i="6"/>
  <c r="I18" i="6"/>
  <c r="I32" i="6"/>
  <c r="AN4" i="6"/>
  <c r="CW4" i="6" s="1"/>
  <c r="BP4" i="6"/>
  <c r="X37" i="6"/>
  <c r="W37" i="6"/>
  <c r="V37" i="6"/>
  <c r="U37" i="6"/>
  <c r="S37" i="6"/>
  <c r="R37" i="6"/>
  <c r="P37" i="6"/>
  <c r="O37" i="6"/>
  <c r="N37" i="6"/>
  <c r="M37" i="6"/>
  <c r="L37" i="6"/>
  <c r="K37" i="6"/>
  <c r="J37" i="6"/>
  <c r="AB37" i="6"/>
  <c r="AA37" i="6"/>
  <c r="Z37" i="6"/>
  <c r="Y37" i="6"/>
  <c r="Q37" i="6"/>
  <c r="AZ4" i="6"/>
  <c r="DI4" i="6" s="1"/>
  <c r="I14" i="6"/>
  <c r="Y26" i="6"/>
  <c r="X26" i="6"/>
  <c r="W26" i="6"/>
  <c r="V26" i="6"/>
  <c r="U26" i="6"/>
  <c r="S26" i="6"/>
  <c r="R26" i="6"/>
  <c r="Q26" i="6"/>
  <c r="P26" i="6"/>
  <c r="O26" i="6"/>
  <c r="N26" i="6"/>
  <c r="M26" i="6"/>
  <c r="AB26" i="6"/>
  <c r="L26" i="6"/>
  <c r="AA26" i="6"/>
  <c r="Z26" i="6"/>
  <c r="K26" i="6"/>
  <c r="J26" i="6"/>
  <c r="U44" i="6"/>
  <c r="S44" i="6"/>
  <c r="R44" i="6"/>
  <c r="Q44" i="6"/>
  <c r="P44" i="6"/>
  <c r="O44" i="6"/>
  <c r="N44" i="6"/>
  <c r="M44" i="6"/>
  <c r="AB44" i="6"/>
  <c r="L44" i="6"/>
  <c r="AA44" i="6"/>
  <c r="K44" i="6"/>
  <c r="Z44" i="6"/>
  <c r="J44" i="6"/>
  <c r="Y44" i="6"/>
  <c r="X44" i="6"/>
  <c r="W44" i="6"/>
  <c r="V44" i="6"/>
  <c r="T4" i="6"/>
  <c r="AC4" i="6"/>
  <c r="W34" i="6"/>
  <c r="U34" i="6"/>
  <c r="S34" i="6"/>
  <c r="Q34" i="6"/>
  <c r="R34" i="6"/>
  <c r="P34" i="6"/>
  <c r="O34" i="6"/>
  <c r="M34" i="6"/>
  <c r="L34" i="6"/>
  <c r="K34" i="6"/>
  <c r="J34" i="6"/>
  <c r="AB34" i="6"/>
  <c r="AA34" i="6"/>
  <c r="Z34" i="6"/>
  <c r="Y34" i="6"/>
  <c r="X34" i="6"/>
  <c r="V34" i="6"/>
  <c r="N34" i="6"/>
  <c r="J16" i="3"/>
  <c r="U26" i="3"/>
  <c r="AA41" i="4"/>
  <c r="L16" i="4"/>
  <c r="I37" i="5"/>
  <c r="M10" i="5"/>
  <c r="AC3" i="6"/>
  <c r="AU4" i="6" s="1"/>
  <c r="DD4" i="6" s="1"/>
  <c r="BE4" i="6"/>
  <c r="DN4" i="6" s="1"/>
  <c r="X23" i="6"/>
  <c r="W23" i="6"/>
  <c r="V23" i="6"/>
  <c r="U23" i="6"/>
  <c r="S23" i="6"/>
  <c r="R23" i="6"/>
  <c r="P23" i="6"/>
  <c r="O23" i="6"/>
  <c r="N23" i="6"/>
  <c r="AB23" i="6"/>
  <c r="L23" i="6"/>
  <c r="AA23" i="6"/>
  <c r="K23" i="6"/>
  <c r="Z23" i="6"/>
  <c r="Y23" i="6"/>
  <c r="Q23" i="6"/>
  <c r="M23" i="6"/>
  <c r="J23" i="6"/>
  <c r="P14" i="6"/>
  <c r="O14" i="6"/>
  <c r="N14" i="6"/>
  <c r="M14" i="6"/>
  <c r="AA14" i="6"/>
  <c r="K14" i="6"/>
  <c r="Z14" i="6"/>
  <c r="J14" i="6"/>
  <c r="Y14" i="6"/>
  <c r="X14" i="6"/>
  <c r="W14" i="6"/>
  <c r="V14" i="6"/>
  <c r="S14" i="6"/>
  <c r="AB14" i="6"/>
  <c r="U14" i="6"/>
  <c r="R14" i="6"/>
  <c r="Q14" i="6"/>
  <c r="L14" i="6"/>
  <c r="M36" i="6"/>
  <c r="AB36" i="6"/>
  <c r="L36" i="6"/>
  <c r="AA36" i="6"/>
  <c r="K36" i="6"/>
  <c r="Y36" i="6"/>
  <c r="X36" i="6"/>
  <c r="W36" i="6"/>
  <c r="Z36" i="6"/>
  <c r="V36" i="6"/>
  <c r="U36" i="6"/>
  <c r="S36" i="6"/>
  <c r="R36" i="6"/>
  <c r="Q36" i="6"/>
  <c r="P36" i="6"/>
  <c r="O36" i="6"/>
  <c r="N36" i="6"/>
  <c r="J36" i="6"/>
  <c r="AB24" i="3"/>
  <c r="R41" i="4"/>
  <c r="M16" i="4"/>
  <c r="N10" i="5"/>
  <c r="N9" i="6"/>
  <c r="M9" i="6"/>
  <c r="AB9" i="6"/>
  <c r="L9" i="6"/>
  <c r="AA9" i="6"/>
  <c r="K9" i="6"/>
  <c r="Z9" i="6"/>
  <c r="J9" i="6"/>
  <c r="Y9" i="6"/>
  <c r="X9" i="6"/>
  <c r="W9" i="6"/>
  <c r="V9" i="6"/>
  <c r="U9" i="6"/>
  <c r="S9" i="6"/>
  <c r="R9" i="6"/>
  <c r="Q9" i="6"/>
  <c r="P9" i="6"/>
  <c r="O9" i="6"/>
  <c r="Q17" i="6"/>
  <c r="P17" i="6"/>
  <c r="O17" i="6"/>
  <c r="N17" i="6"/>
  <c r="AB17" i="6"/>
  <c r="L17" i="6"/>
  <c r="AA17" i="6"/>
  <c r="K17" i="6"/>
  <c r="Z17" i="6"/>
  <c r="J17" i="6"/>
  <c r="Y17" i="6"/>
  <c r="X17" i="6"/>
  <c r="W17" i="6"/>
  <c r="V17" i="6"/>
  <c r="U17" i="6"/>
  <c r="S17" i="6"/>
  <c r="R17" i="6"/>
  <c r="M17" i="6"/>
  <c r="V20" i="6"/>
  <c r="U20" i="6"/>
  <c r="S20" i="6"/>
  <c r="Q20" i="6"/>
  <c r="N20" i="6"/>
  <c r="AA20" i="6"/>
  <c r="K20" i="6"/>
  <c r="Z20" i="6"/>
  <c r="J20" i="6"/>
  <c r="X20" i="6"/>
  <c r="W20" i="6"/>
  <c r="R20" i="6"/>
  <c r="P20" i="6"/>
  <c r="O20" i="6"/>
  <c r="M20" i="6"/>
  <c r="L20" i="6"/>
  <c r="AB20" i="6"/>
  <c r="Y20" i="6"/>
  <c r="U40" i="3"/>
  <c r="BE4" i="4"/>
  <c r="DN4" i="4" s="1"/>
  <c r="S41" i="4"/>
  <c r="N16" i="4"/>
  <c r="T3" i="4"/>
  <c r="AM4" i="4" s="1"/>
  <c r="CV4" i="4" s="1"/>
  <c r="O10" i="5"/>
  <c r="AA19" i="6"/>
  <c r="K19" i="6"/>
  <c r="Z19" i="6"/>
  <c r="J19" i="6"/>
  <c r="X19" i="6"/>
  <c r="V19" i="6"/>
  <c r="S19" i="6"/>
  <c r="P19" i="6"/>
  <c r="O19" i="6"/>
  <c r="AB19" i="6"/>
  <c r="Y19" i="6"/>
  <c r="W19" i="6"/>
  <c r="U19" i="6"/>
  <c r="R19" i="6"/>
  <c r="Q19" i="6"/>
  <c r="N19" i="6"/>
  <c r="M19" i="6"/>
  <c r="L19" i="6"/>
  <c r="O11" i="6"/>
  <c r="N11" i="6"/>
  <c r="M11" i="6"/>
  <c r="AB11" i="6"/>
  <c r="L11" i="6"/>
  <c r="Z11" i="6"/>
  <c r="J11" i="6"/>
  <c r="Y11" i="6"/>
  <c r="W11" i="6"/>
  <c r="V11" i="6"/>
  <c r="U11" i="6"/>
  <c r="S11" i="6"/>
  <c r="R11" i="6"/>
  <c r="AA11" i="6"/>
  <c r="X11" i="6"/>
  <c r="Q11" i="6"/>
  <c r="P11" i="6"/>
  <c r="K11" i="6"/>
  <c r="AB31" i="6"/>
  <c r="L31" i="6"/>
  <c r="AA31" i="6"/>
  <c r="K31" i="6"/>
  <c r="Z31" i="6"/>
  <c r="J31" i="6"/>
  <c r="X31" i="6"/>
  <c r="W31" i="6"/>
  <c r="V31" i="6"/>
  <c r="S31" i="6"/>
  <c r="R31" i="6"/>
  <c r="P31" i="6"/>
  <c r="Y31" i="6"/>
  <c r="U31" i="6"/>
  <c r="Q31" i="6"/>
  <c r="O31" i="6"/>
  <c r="N31" i="6"/>
  <c r="M31" i="6"/>
  <c r="Y40" i="3"/>
  <c r="M26" i="4"/>
  <c r="O16" i="4"/>
  <c r="R5" i="6"/>
  <c r="Q5" i="6"/>
  <c r="P5" i="6"/>
  <c r="O5" i="6"/>
  <c r="N5" i="6"/>
  <c r="M5" i="6"/>
  <c r="AB5" i="6"/>
  <c r="L5" i="6"/>
  <c r="AA5" i="6"/>
  <c r="K5" i="6"/>
  <c r="Z5" i="6"/>
  <c r="J5" i="6"/>
  <c r="Y5" i="6"/>
  <c r="X5" i="6"/>
  <c r="W5" i="6"/>
  <c r="V5" i="6"/>
  <c r="U5" i="6"/>
  <c r="S5" i="6"/>
  <c r="Z10" i="6"/>
  <c r="Y10" i="6"/>
  <c r="X10" i="6"/>
  <c r="W10" i="6"/>
  <c r="V10" i="6"/>
  <c r="U10" i="6"/>
  <c r="S10" i="6"/>
  <c r="R10" i="6"/>
  <c r="Q10" i="6"/>
  <c r="P10" i="6"/>
  <c r="O10" i="6"/>
  <c r="N10" i="6"/>
  <c r="M10" i="6"/>
  <c r="L10" i="6"/>
  <c r="AB10" i="6"/>
  <c r="AA10" i="6"/>
  <c r="K10" i="6"/>
  <c r="J10" i="6"/>
  <c r="AB18" i="6"/>
  <c r="L18" i="6"/>
  <c r="AA18" i="6"/>
  <c r="K18" i="6"/>
  <c r="Z18" i="6"/>
  <c r="J18" i="6"/>
  <c r="Y18" i="6"/>
  <c r="X18" i="6"/>
  <c r="W18" i="6"/>
  <c r="V18" i="6"/>
  <c r="U18" i="6"/>
  <c r="S18" i="6"/>
  <c r="R18" i="6"/>
  <c r="Q18" i="6"/>
  <c r="P18" i="6"/>
  <c r="O18" i="6"/>
  <c r="N18" i="6"/>
  <c r="M18" i="6"/>
  <c r="Q30" i="6"/>
  <c r="P30" i="6"/>
  <c r="O30" i="6"/>
  <c r="M30" i="6"/>
  <c r="AB30" i="6"/>
  <c r="L30" i="6"/>
  <c r="Y30" i="6"/>
  <c r="X30" i="6"/>
  <c r="W30" i="6"/>
  <c r="U30" i="6"/>
  <c r="K30" i="6"/>
  <c r="J30" i="6"/>
  <c r="AA30" i="6"/>
  <c r="Z30" i="6"/>
  <c r="V30" i="6"/>
  <c r="S30" i="6"/>
  <c r="R30" i="6"/>
  <c r="N30" i="6"/>
  <c r="K34" i="3"/>
  <c r="J15" i="3"/>
  <c r="W15" i="3"/>
  <c r="R40" i="3"/>
  <c r="N26" i="4"/>
  <c r="Q16" i="4"/>
  <c r="AA15" i="6"/>
  <c r="K15" i="6"/>
  <c r="Z15" i="6"/>
  <c r="J15" i="6"/>
  <c r="Y15" i="6"/>
  <c r="X15" i="6"/>
  <c r="V15" i="6"/>
  <c r="U15" i="6"/>
  <c r="S15" i="6"/>
  <c r="R15" i="6"/>
  <c r="Q15" i="6"/>
  <c r="O15" i="6"/>
  <c r="N15" i="6"/>
  <c r="AB15" i="6"/>
  <c r="W15" i="6"/>
  <c r="P15" i="6"/>
  <c r="M15" i="6"/>
  <c r="L15" i="6"/>
  <c r="S38" i="6"/>
  <c r="R38" i="6"/>
  <c r="Q38" i="6"/>
  <c r="P38" i="6"/>
  <c r="O38" i="6"/>
  <c r="N38" i="6"/>
  <c r="M38" i="6"/>
  <c r="L38" i="6"/>
  <c r="K38" i="6"/>
  <c r="J38" i="6"/>
  <c r="AB38" i="6"/>
  <c r="AA38" i="6"/>
  <c r="Z38" i="6"/>
  <c r="Y38" i="6"/>
  <c r="X38" i="6"/>
  <c r="W38" i="6"/>
  <c r="V38" i="6"/>
  <c r="U38" i="6"/>
  <c r="L34" i="3"/>
  <c r="K15" i="3"/>
  <c r="J40" i="3"/>
  <c r="R16" i="4"/>
  <c r="BP4" i="5"/>
  <c r="CK3" i="6"/>
  <c r="I36" i="6"/>
  <c r="Z12" i="6"/>
  <c r="J12" i="6"/>
  <c r="Y12" i="6"/>
  <c r="X12" i="6"/>
  <c r="W12" i="6"/>
  <c r="U12" i="6"/>
  <c r="S12" i="6"/>
  <c r="R12" i="6"/>
  <c r="Q12" i="6"/>
  <c r="P12" i="6"/>
  <c r="N12" i="6"/>
  <c r="M12" i="6"/>
  <c r="AB12" i="6"/>
  <c r="AA12" i="6"/>
  <c r="V12" i="6"/>
  <c r="O12" i="6"/>
  <c r="L12" i="6"/>
  <c r="K12" i="6"/>
  <c r="R35" i="6"/>
  <c r="P35" i="6"/>
  <c r="N35" i="6"/>
  <c r="AB35" i="6"/>
  <c r="L35" i="6"/>
  <c r="AA35" i="6"/>
  <c r="Z35" i="6"/>
  <c r="Y35" i="6"/>
  <c r="X35" i="6"/>
  <c r="W35" i="6"/>
  <c r="V35" i="6"/>
  <c r="U35" i="6"/>
  <c r="S35" i="6"/>
  <c r="Q35" i="6"/>
  <c r="O35" i="6"/>
  <c r="M35" i="6"/>
  <c r="K35" i="6"/>
  <c r="J35" i="6"/>
  <c r="O34" i="3"/>
  <c r="P41" i="3"/>
  <c r="AA14" i="3"/>
  <c r="S16" i="4"/>
  <c r="Q10" i="5"/>
  <c r="M22" i="6"/>
  <c r="AB22" i="6"/>
  <c r="L22" i="6"/>
  <c r="AA22" i="6"/>
  <c r="K22" i="6"/>
  <c r="Z22" i="6"/>
  <c r="Y22" i="6"/>
  <c r="X22" i="6"/>
  <c r="W22" i="6"/>
  <c r="S22" i="6"/>
  <c r="Q22" i="6"/>
  <c r="P22" i="6"/>
  <c r="V22" i="6"/>
  <c r="U22" i="6"/>
  <c r="R22" i="6"/>
  <c r="O22" i="6"/>
  <c r="N22" i="6"/>
  <c r="J22" i="6"/>
  <c r="I25" i="6"/>
  <c r="I43" i="6"/>
  <c r="M6" i="6"/>
  <c r="AB6" i="6"/>
  <c r="L6" i="6"/>
  <c r="AA6" i="6"/>
  <c r="K6" i="6"/>
  <c r="Z6" i="6"/>
  <c r="J6" i="6"/>
  <c r="Y6" i="6"/>
  <c r="X6" i="6"/>
  <c r="W6" i="6"/>
  <c r="V6" i="6"/>
  <c r="U6" i="6"/>
  <c r="S6" i="6"/>
  <c r="R6" i="6"/>
  <c r="Q6" i="6"/>
  <c r="P6" i="6"/>
  <c r="O6" i="6"/>
  <c r="N6" i="6"/>
  <c r="X7" i="6"/>
  <c r="W7" i="6"/>
  <c r="V7" i="6"/>
  <c r="U7" i="6"/>
  <c r="S7" i="6"/>
  <c r="R7" i="6"/>
  <c r="Q7" i="6"/>
  <c r="P7" i="6"/>
  <c r="O7" i="6"/>
  <c r="N7" i="6"/>
  <c r="M7" i="6"/>
  <c r="AB7" i="6"/>
  <c r="L7" i="6"/>
  <c r="AA7" i="6"/>
  <c r="K7" i="6"/>
  <c r="Z7" i="6"/>
  <c r="Y7" i="6"/>
  <c r="J7" i="6"/>
  <c r="S24" i="6"/>
  <c r="R24" i="6"/>
  <c r="Q24" i="6"/>
  <c r="P24" i="6"/>
  <c r="O24" i="6"/>
  <c r="N24" i="6"/>
  <c r="M24" i="6"/>
  <c r="AB24" i="6"/>
  <c r="L24" i="6"/>
  <c r="AA24" i="6"/>
  <c r="K24" i="6"/>
  <c r="Z24" i="6"/>
  <c r="J24" i="6"/>
  <c r="Y24" i="6"/>
  <c r="X24" i="6"/>
  <c r="W24" i="6"/>
  <c r="V24" i="6"/>
  <c r="U24" i="6"/>
  <c r="W32" i="6"/>
  <c r="V32" i="6"/>
  <c r="U32" i="6"/>
  <c r="S32" i="6"/>
  <c r="R32" i="6"/>
  <c r="Q32" i="6"/>
  <c r="O32" i="6"/>
  <c r="N32" i="6"/>
  <c r="M32" i="6"/>
  <c r="AA32" i="6"/>
  <c r="K32" i="6"/>
  <c r="AB32" i="6"/>
  <c r="Z32" i="6"/>
  <c r="Y32" i="6"/>
  <c r="X32" i="6"/>
  <c r="P32" i="6"/>
  <c r="L32" i="6"/>
  <c r="J32" i="6"/>
  <c r="V16" i="6"/>
  <c r="U16" i="6"/>
  <c r="S16" i="6"/>
  <c r="Q16" i="6"/>
  <c r="P16" i="6"/>
  <c r="O16" i="6"/>
  <c r="N16" i="6"/>
  <c r="M16" i="6"/>
  <c r="AB16" i="6"/>
  <c r="L16" i="6"/>
  <c r="Z16" i="6"/>
  <c r="J16" i="6"/>
  <c r="Y16" i="6"/>
  <c r="K16" i="6"/>
  <c r="AA16" i="6"/>
  <c r="X16" i="6"/>
  <c r="W16" i="6"/>
  <c r="R16" i="6"/>
  <c r="N39" i="6"/>
  <c r="M39" i="6"/>
  <c r="AB39" i="6"/>
  <c r="L39" i="6"/>
  <c r="AA39" i="6"/>
  <c r="K39" i="6"/>
  <c r="Z39" i="6"/>
  <c r="J39" i="6"/>
  <c r="Y39" i="6"/>
  <c r="X39" i="6"/>
  <c r="W39" i="6"/>
  <c r="V39" i="6"/>
  <c r="U39" i="6"/>
  <c r="S39" i="6"/>
  <c r="R39" i="6"/>
  <c r="Q39" i="6"/>
  <c r="P39" i="6"/>
  <c r="O39" i="6"/>
  <c r="N25" i="6"/>
  <c r="M25" i="6"/>
  <c r="AB25" i="6"/>
  <c r="L25" i="6"/>
  <c r="AA25" i="6"/>
  <c r="K25" i="6"/>
  <c r="Z25" i="6"/>
  <c r="J25" i="6"/>
  <c r="Y25" i="6"/>
  <c r="X25" i="6"/>
  <c r="W25" i="6"/>
  <c r="V25" i="6"/>
  <c r="U25" i="6"/>
  <c r="S25" i="6"/>
  <c r="R25" i="6"/>
  <c r="Q25" i="6"/>
  <c r="P25" i="6"/>
  <c r="O25" i="6"/>
  <c r="Z34" i="3"/>
  <c r="N40" i="3"/>
  <c r="U15" i="3"/>
  <c r="AA34" i="3"/>
  <c r="X41" i="3"/>
  <c r="Z16" i="4"/>
  <c r="I13" i="5"/>
  <c r="J10" i="5"/>
  <c r="T10" i="5" s="1"/>
  <c r="S10" i="5"/>
  <c r="AC8" i="6"/>
  <c r="T8" i="6"/>
  <c r="I10" i="6"/>
  <c r="I22" i="6"/>
  <c r="I37" i="6"/>
  <c r="S27" i="6"/>
  <c r="R27" i="6"/>
  <c r="Q27" i="6"/>
  <c r="P27" i="6"/>
  <c r="O27" i="6"/>
  <c r="N27" i="6"/>
  <c r="M27" i="6"/>
  <c r="AB27" i="6"/>
  <c r="L27" i="6"/>
  <c r="AA27" i="6"/>
  <c r="K27" i="6"/>
  <c r="Z27" i="6"/>
  <c r="J27" i="6"/>
  <c r="Y27" i="6"/>
  <c r="X27" i="6"/>
  <c r="W27" i="6"/>
  <c r="V27" i="6"/>
  <c r="U27" i="6"/>
  <c r="S41" i="6"/>
  <c r="R41" i="6"/>
  <c r="Q41" i="6"/>
  <c r="P41" i="6"/>
  <c r="O41" i="6"/>
  <c r="N41" i="6"/>
  <c r="M41" i="6"/>
  <c r="AB41" i="6"/>
  <c r="L41" i="6"/>
  <c r="AA41" i="6"/>
  <c r="K41" i="6"/>
  <c r="Z41" i="6"/>
  <c r="J41" i="6"/>
  <c r="Y41" i="6"/>
  <c r="X41" i="6"/>
  <c r="W41" i="6"/>
  <c r="V41" i="6"/>
  <c r="U41" i="6"/>
  <c r="AZ4" i="5"/>
  <c r="L40" i="3"/>
  <c r="I14" i="3"/>
  <c r="I26" i="6"/>
  <c r="I34" i="6"/>
  <c r="U13" i="6"/>
  <c r="S13" i="6"/>
  <c r="R13" i="6"/>
  <c r="P13" i="6"/>
  <c r="O13" i="6"/>
  <c r="N13" i="6"/>
  <c r="M13" i="6"/>
  <c r="AB13" i="6"/>
  <c r="L13" i="6"/>
  <c r="AA13" i="6"/>
  <c r="K13" i="6"/>
  <c r="Y13" i="6"/>
  <c r="X13" i="6"/>
  <c r="Z13" i="6"/>
  <c r="W13" i="6"/>
  <c r="V13" i="6"/>
  <c r="Q13" i="6"/>
  <c r="J13" i="6"/>
  <c r="V29" i="6"/>
  <c r="U29" i="6"/>
  <c r="R29" i="6"/>
  <c r="Q29" i="6"/>
  <c r="N29" i="6"/>
  <c r="M29" i="6"/>
  <c r="AB29" i="6"/>
  <c r="L29" i="6"/>
  <c r="Z29" i="6"/>
  <c r="J29" i="6"/>
  <c r="W29" i="6"/>
  <c r="S29" i="6"/>
  <c r="P29" i="6"/>
  <c r="O29" i="6"/>
  <c r="K29" i="6"/>
  <c r="AA29" i="6"/>
  <c r="Y29" i="6"/>
  <c r="X29" i="6"/>
  <c r="P40" i="3"/>
  <c r="Q41" i="3"/>
  <c r="W14" i="3"/>
  <c r="K24" i="3"/>
  <c r="K40" i="3"/>
  <c r="I11" i="5"/>
  <c r="AQ4" i="5"/>
  <c r="CZ4" i="5" s="1"/>
  <c r="Z10" i="5"/>
  <c r="BU4" i="6"/>
  <c r="I7" i="6"/>
  <c r="I23" i="6"/>
  <c r="C31" i="5"/>
  <c r="I31" i="5" s="1"/>
  <c r="C21" i="5"/>
  <c r="C8" i="5"/>
  <c r="R21" i="6"/>
  <c r="Q21" i="6"/>
  <c r="P21" i="6"/>
  <c r="N21" i="6"/>
  <c r="AB21" i="6"/>
  <c r="L21" i="6"/>
  <c r="Y21" i="6"/>
  <c r="X21" i="6"/>
  <c r="V21" i="6"/>
  <c r="U21" i="6"/>
  <c r="AA21" i="6"/>
  <c r="Z21" i="6"/>
  <c r="W21" i="6"/>
  <c r="S21" i="6"/>
  <c r="O21" i="6"/>
  <c r="M21" i="6"/>
  <c r="K21" i="6"/>
  <c r="J21" i="6"/>
  <c r="O42" i="6"/>
  <c r="N42" i="6"/>
  <c r="M42" i="6"/>
  <c r="AB42" i="6"/>
  <c r="L42" i="6"/>
  <c r="AA42" i="6"/>
  <c r="K42" i="6"/>
  <c r="Z42" i="6"/>
  <c r="J42" i="6"/>
  <c r="Y42" i="6"/>
  <c r="X42" i="6"/>
  <c r="W42" i="6"/>
  <c r="V42" i="6"/>
  <c r="U42" i="6"/>
  <c r="Q42" i="6"/>
  <c r="P42" i="6"/>
  <c r="S42" i="6"/>
  <c r="R42" i="6"/>
  <c r="Q40" i="3"/>
  <c r="M40" i="3"/>
  <c r="V16" i="4"/>
  <c r="W40" i="3"/>
  <c r="I27" i="5"/>
  <c r="AA28" i="6"/>
  <c r="K28" i="6"/>
  <c r="Z28" i="6"/>
  <c r="J28" i="6"/>
  <c r="Y28" i="6"/>
  <c r="W28" i="6"/>
  <c r="V28" i="6"/>
  <c r="S28" i="6"/>
  <c r="R28" i="6"/>
  <c r="Q28" i="6"/>
  <c r="O28" i="6"/>
  <c r="AB28" i="6"/>
  <c r="X28" i="6"/>
  <c r="U28" i="6"/>
  <c r="P28" i="6"/>
  <c r="N28" i="6"/>
  <c r="M28" i="6"/>
  <c r="L28" i="6"/>
  <c r="Z43" i="6"/>
  <c r="J43" i="6"/>
  <c r="Y43" i="6"/>
  <c r="X43" i="6"/>
  <c r="W43" i="6"/>
  <c r="V43" i="6"/>
  <c r="U43" i="6"/>
  <c r="S43" i="6"/>
  <c r="R43" i="6"/>
  <c r="Q43" i="6"/>
  <c r="P43" i="6"/>
  <c r="O43" i="6"/>
  <c r="N43" i="6"/>
  <c r="M43" i="6"/>
  <c r="L43" i="6"/>
  <c r="K43" i="6"/>
  <c r="AB43" i="6"/>
  <c r="AA43" i="6"/>
  <c r="O40" i="3"/>
  <c r="J14" i="3"/>
  <c r="K11" i="3"/>
  <c r="U41" i="4"/>
  <c r="W16" i="4"/>
  <c r="I32" i="5"/>
  <c r="AB10" i="5"/>
  <c r="I19" i="6"/>
  <c r="I31" i="6"/>
  <c r="R33" i="6"/>
  <c r="Q33" i="6"/>
  <c r="P33" i="6"/>
  <c r="N33" i="6"/>
  <c r="M33" i="6"/>
  <c r="AB33" i="6"/>
  <c r="L33" i="6"/>
  <c r="AA33" i="6"/>
  <c r="K33" i="6"/>
  <c r="Z33" i="6"/>
  <c r="J33" i="6"/>
  <c r="Y33" i="6"/>
  <c r="X33" i="6"/>
  <c r="V33" i="6"/>
  <c r="W33" i="6"/>
  <c r="U33" i="6"/>
  <c r="S33" i="6"/>
  <c r="O33" i="6"/>
  <c r="Y40" i="6"/>
  <c r="X40" i="6"/>
  <c r="W40" i="6"/>
  <c r="V40" i="6"/>
  <c r="U40" i="6"/>
  <c r="S40" i="6"/>
  <c r="AB40" i="6"/>
  <c r="AA40" i="6"/>
  <c r="Z40" i="6"/>
  <c r="R40" i="6"/>
  <c r="Q40" i="6"/>
  <c r="P40" i="6"/>
  <c r="O40" i="6"/>
  <c r="N40" i="6"/>
  <c r="M40" i="6"/>
  <c r="L40" i="6"/>
  <c r="K40" i="6"/>
  <c r="J40" i="6"/>
  <c r="I16" i="5"/>
  <c r="I14" i="5"/>
  <c r="I18" i="5"/>
  <c r="I28" i="5"/>
  <c r="I12" i="5"/>
  <c r="I35" i="5"/>
  <c r="R23" i="5"/>
  <c r="Q23" i="5"/>
  <c r="O23" i="5"/>
  <c r="Z23" i="5"/>
  <c r="J23" i="5"/>
  <c r="N23" i="5"/>
  <c r="M23" i="5"/>
  <c r="L23" i="5"/>
  <c r="K23" i="5"/>
  <c r="X23" i="5"/>
  <c r="W23" i="5"/>
  <c r="P23" i="5"/>
  <c r="V23" i="5"/>
  <c r="S23" i="5"/>
  <c r="U23" i="5"/>
  <c r="AB23" i="5"/>
  <c r="AA23" i="5"/>
  <c r="Y23" i="5"/>
  <c r="T3" i="3"/>
  <c r="I20" i="5"/>
  <c r="I22" i="5"/>
  <c r="S41" i="5"/>
  <c r="Q41" i="5"/>
  <c r="P41" i="5"/>
  <c r="K41" i="5"/>
  <c r="J41" i="5"/>
  <c r="AA41" i="5"/>
  <c r="X41" i="5"/>
  <c r="W41" i="5"/>
  <c r="V41" i="5"/>
  <c r="R41" i="5"/>
  <c r="L41" i="5"/>
  <c r="Y41" i="5"/>
  <c r="U41" i="5"/>
  <c r="O41" i="5"/>
  <c r="N41" i="5"/>
  <c r="AB41" i="5"/>
  <c r="Z41" i="5"/>
  <c r="M41" i="5"/>
  <c r="O42" i="5"/>
  <c r="N42" i="5"/>
  <c r="AB42" i="5"/>
  <c r="L42" i="5"/>
  <c r="AA42" i="5"/>
  <c r="K42" i="5"/>
  <c r="V42" i="5"/>
  <c r="U42" i="5"/>
  <c r="R42" i="5"/>
  <c r="W42" i="5"/>
  <c r="S42" i="5"/>
  <c r="Q42" i="5"/>
  <c r="M42" i="5"/>
  <c r="Z42" i="5"/>
  <c r="Y42" i="5"/>
  <c r="X42" i="5"/>
  <c r="P42" i="5"/>
  <c r="J42" i="5"/>
  <c r="X30" i="5"/>
  <c r="W30" i="5"/>
  <c r="V30" i="5"/>
  <c r="P30" i="5"/>
  <c r="AA30" i="5"/>
  <c r="R30" i="5"/>
  <c r="U30" i="5"/>
  <c r="S30" i="5"/>
  <c r="Q30" i="5"/>
  <c r="O30" i="5"/>
  <c r="AB30" i="5"/>
  <c r="Z30" i="5"/>
  <c r="M30" i="5"/>
  <c r="L30" i="5"/>
  <c r="Y30" i="5"/>
  <c r="K30" i="5"/>
  <c r="J30" i="5"/>
  <c r="N30" i="5"/>
  <c r="P17" i="5"/>
  <c r="O17" i="5"/>
  <c r="M17" i="5"/>
  <c r="X17" i="5"/>
  <c r="R17" i="5"/>
  <c r="Q17" i="5"/>
  <c r="N17" i="5"/>
  <c r="L17" i="5"/>
  <c r="V17" i="5"/>
  <c r="J17" i="5"/>
  <c r="U17" i="5"/>
  <c r="S17" i="5"/>
  <c r="K17" i="5"/>
  <c r="AB17" i="5"/>
  <c r="AA17" i="5"/>
  <c r="Z17" i="5"/>
  <c r="Y17" i="5"/>
  <c r="W17" i="5"/>
  <c r="T3" i="2"/>
  <c r="AC3" i="4"/>
  <c r="AY4" i="4" s="1"/>
  <c r="DH4" i="4" s="1"/>
  <c r="I20" i="4"/>
  <c r="K41" i="4"/>
  <c r="T41" i="4" s="1"/>
  <c r="I26" i="5"/>
  <c r="I29" i="5"/>
  <c r="Y9" i="5"/>
  <c r="X9" i="5"/>
  <c r="W9" i="5"/>
  <c r="V9" i="5"/>
  <c r="M9" i="5"/>
  <c r="Z9" i="5"/>
  <c r="U9" i="5"/>
  <c r="L9" i="5"/>
  <c r="AB9" i="5"/>
  <c r="K9" i="5"/>
  <c r="J9" i="5"/>
  <c r="AA9" i="5"/>
  <c r="N9" i="5"/>
  <c r="P9" i="5"/>
  <c r="Q9" i="5"/>
  <c r="S9" i="5"/>
  <c r="R9" i="5"/>
  <c r="O9" i="5"/>
  <c r="N39" i="5"/>
  <c r="M39" i="5"/>
  <c r="AA39" i="5"/>
  <c r="K39" i="5"/>
  <c r="Z39" i="5"/>
  <c r="J39" i="5"/>
  <c r="O39" i="5"/>
  <c r="L39" i="5"/>
  <c r="AB39" i="5"/>
  <c r="X39" i="5"/>
  <c r="P39" i="5"/>
  <c r="W39" i="5"/>
  <c r="V39" i="5"/>
  <c r="Y39" i="5"/>
  <c r="S39" i="5"/>
  <c r="U39" i="5"/>
  <c r="R39" i="5"/>
  <c r="Q39" i="5"/>
  <c r="X41" i="4"/>
  <c r="I42" i="5"/>
  <c r="I7" i="5"/>
  <c r="R28" i="5"/>
  <c r="Q28" i="5"/>
  <c r="P28" i="5"/>
  <c r="N28" i="5"/>
  <c r="Z28" i="5"/>
  <c r="J28" i="5"/>
  <c r="K28" i="5"/>
  <c r="W28" i="5"/>
  <c r="S28" i="5"/>
  <c r="O28" i="5"/>
  <c r="M28" i="5"/>
  <c r="L28" i="5"/>
  <c r="V28" i="5"/>
  <c r="U28" i="5"/>
  <c r="X28" i="5"/>
  <c r="AB28" i="5"/>
  <c r="Y28" i="5"/>
  <c r="AA28" i="5"/>
  <c r="V19" i="5"/>
  <c r="U19" i="5"/>
  <c r="S19" i="5"/>
  <c r="N19" i="5"/>
  <c r="O19" i="5"/>
  <c r="M19" i="5"/>
  <c r="L19" i="5"/>
  <c r="K19" i="5"/>
  <c r="AB19" i="5"/>
  <c r="Z19" i="5"/>
  <c r="Y19" i="5"/>
  <c r="AA19" i="5"/>
  <c r="W19" i="5"/>
  <c r="R19" i="5"/>
  <c r="Q19" i="5"/>
  <c r="X19" i="5"/>
  <c r="J19" i="5"/>
  <c r="P19" i="5"/>
  <c r="AC34" i="2"/>
  <c r="T34" i="2"/>
  <c r="R35" i="5"/>
  <c r="Q35" i="5"/>
  <c r="O35" i="5"/>
  <c r="N35" i="5"/>
  <c r="L35" i="5"/>
  <c r="K35" i="5"/>
  <c r="J35" i="5"/>
  <c r="AB35" i="5"/>
  <c r="U35" i="5"/>
  <c r="S35" i="5"/>
  <c r="M35" i="5"/>
  <c r="AA35" i="5"/>
  <c r="Z35" i="5"/>
  <c r="Y35" i="5"/>
  <c r="X35" i="5"/>
  <c r="W35" i="5"/>
  <c r="P35" i="5"/>
  <c r="V35" i="5"/>
  <c r="T10" i="2"/>
  <c r="I44" i="5"/>
  <c r="Z5" i="5"/>
  <c r="J5" i="5"/>
  <c r="V5" i="5"/>
  <c r="U5" i="5"/>
  <c r="S5" i="5"/>
  <c r="R5" i="5"/>
  <c r="Y5" i="5"/>
  <c r="X5" i="5"/>
  <c r="W5" i="5"/>
  <c r="P5" i="5"/>
  <c r="O5" i="5"/>
  <c r="N5" i="5"/>
  <c r="M5" i="5"/>
  <c r="K5" i="5"/>
  <c r="L5" i="5"/>
  <c r="AB5" i="5"/>
  <c r="AA5" i="5"/>
  <c r="Q5" i="5"/>
  <c r="M29" i="5"/>
  <c r="AB29" i="5"/>
  <c r="L29" i="5"/>
  <c r="AA29" i="5"/>
  <c r="K29" i="5"/>
  <c r="Y29" i="5"/>
  <c r="U29" i="5"/>
  <c r="J29" i="5"/>
  <c r="V29" i="5"/>
  <c r="S29" i="5"/>
  <c r="R29" i="5"/>
  <c r="Q29" i="5"/>
  <c r="P29" i="5"/>
  <c r="X29" i="5"/>
  <c r="W29" i="5"/>
  <c r="N29" i="5"/>
  <c r="O29" i="5"/>
  <c r="Z29" i="5"/>
  <c r="AB41" i="4"/>
  <c r="I30" i="5"/>
  <c r="I5" i="5"/>
  <c r="X6" i="5"/>
  <c r="W6" i="5"/>
  <c r="V6" i="5"/>
  <c r="U6" i="5"/>
  <c r="Z6" i="5"/>
  <c r="Y6" i="5"/>
  <c r="R6" i="5"/>
  <c r="O6" i="5"/>
  <c r="N6" i="5"/>
  <c r="S6" i="5"/>
  <c r="Q6" i="5"/>
  <c r="P6" i="5"/>
  <c r="AA6" i="5"/>
  <c r="AB6" i="5"/>
  <c r="L6" i="5"/>
  <c r="M6" i="5"/>
  <c r="J6" i="5"/>
  <c r="K6" i="5"/>
  <c r="Z26" i="3"/>
  <c r="BP4" i="4"/>
  <c r="N41" i="4"/>
  <c r="I39" i="5"/>
  <c r="O11" i="5"/>
  <c r="N11" i="5"/>
  <c r="M11" i="5"/>
  <c r="AB11" i="5"/>
  <c r="L11" i="5"/>
  <c r="K11" i="5"/>
  <c r="AA11" i="5"/>
  <c r="Z11" i="5"/>
  <c r="Y11" i="5"/>
  <c r="J11" i="5"/>
  <c r="X11" i="5"/>
  <c r="W11" i="5"/>
  <c r="Q11" i="5"/>
  <c r="P11" i="5"/>
  <c r="V11" i="5"/>
  <c r="U11" i="5"/>
  <c r="R11" i="5"/>
  <c r="S11" i="5"/>
  <c r="Y12" i="5"/>
  <c r="X12" i="5"/>
  <c r="V12" i="5"/>
  <c r="Q12" i="5"/>
  <c r="AB12" i="5"/>
  <c r="AA12" i="5"/>
  <c r="Z12" i="5"/>
  <c r="W12" i="5"/>
  <c r="O12" i="5"/>
  <c r="J12" i="5"/>
  <c r="N12" i="5"/>
  <c r="M12" i="5"/>
  <c r="K12" i="5"/>
  <c r="L12" i="5"/>
  <c r="U12" i="5"/>
  <c r="S12" i="5"/>
  <c r="R12" i="5"/>
  <c r="P12" i="5"/>
  <c r="W27" i="5"/>
  <c r="V27" i="5"/>
  <c r="U27" i="5"/>
  <c r="S27" i="5"/>
  <c r="P27" i="5"/>
  <c r="O27" i="5"/>
  <c r="M27" i="5"/>
  <c r="AB27" i="5"/>
  <c r="N27" i="5"/>
  <c r="L27" i="5"/>
  <c r="K27" i="5"/>
  <c r="J27" i="5"/>
  <c r="R27" i="5"/>
  <c r="Q27" i="5"/>
  <c r="Y27" i="5"/>
  <c r="Z27" i="5"/>
  <c r="AA27" i="5"/>
  <c r="X27" i="5"/>
  <c r="M36" i="5"/>
  <c r="AB36" i="5"/>
  <c r="L36" i="5"/>
  <c r="Z36" i="5"/>
  <c r="J36" i="5"/>
  <c r="Y36" i="5"/>
  <c r="W36" i="5"/>
  <c r="V36" i="5"/>
  <c r="U36" i="5"/>
  <c r="S36" i="5"/>
  <c r="P36" i="5"/>
  <c r="O36" i="5"/>
  <c r="N36" i="5"/>
  <c r="R36" i="5"/>
  <c r="K36" i="5"/>
  <c r="X36" i="5"/>
  <c r="Q36" i="5"/>
  <c r="AA36" i="5"/>
  <c r="AB23" i="3"/>
  <c r="M24" i="5"/>
  <c r="AB24" i="5"/>
  <c r="L24" i="5"/>
  <c r="Z24" i="5"/>
  <c r="J24" i="5"/>
  <c r="U24" i="5"/>
  <c r="Y24" i="5"/>
  <c r="X24" i="5"/>
  <c r="W24" i="5"/>
  <c r="V24" i="5"/>
  <c r="S24" i="5"/>
  <c r="K24" i="5"/>
  <c r="R24" i="5"/>
  <c r="O24" i="5"/>
  <c r="N24" i="5"/>
  <c r="Q24" i="5"/>
  <c r="P24" i="5"/>
  <c r="AA24" i="5"/>
  <c r="CK3" i="5"/>
  <c r="S7" i="5"/>
  <c r="R7" i="5"/>
  <c r="Q7" i="5"/>
  <c r="P7" i="5"/>
  <c r="M7" i="5"/>
  <c r="AA7" i="5"/>
  <c r="L7" i="5"/>
  <c r="AB7" i="5"/>
  <c r="K7" i="5"/>
  <c r="Y7" i="5"/>
  <c r="J7" i="5"/>
  <c r="Z7" i="5"/>
  <c r="X7" i="5"/>
  <c r="W7" i="5"/>
  <c r="V7" i="5"/>
  <c r="U7" i="5"/>
  <c r="O7" i="5"/>
  <c r="N7" i="5"/>
  <c r="X33" i="5"/>
  <c r="W33" i="5"/>
  <c r="V33" i="5"/>
  <c r="N33" i="5"/>
  <c r="M33" i="5"/>
  <c r="L33" i="5"/>
  <c r="J33" i="5"/>
  <c r="Z33" i="5"/>
  <c r="AA33" i="5"/>
  <c r="Q33" i="5"/>
  <c r="R33" i="5"/>
  <c r="P33" i="5"/>
  <c r="O33" i="5"/>
  <c r="K33" i="5"/>
  <c r="AB33" i="5"/>
  <c r="Y33" i="5"/>
  <c r="U33" i="5"/>
  <c r="S33" i="5"/>
  <c r="M26" i="3"/>
  <c r="O41" i="4"/>
  <c r="I9" i="5"/>
  <c r="I41" i="5"/>
  <c r="AC3" i="5"/>
  <c r="AC4" i="5"/>
  <c r="T4" i="5"/>
  <c r="O14" i="5"/>
  <c r="N14" i="5"/>
  <c r="AB14" i="5"/>
  <c r="L14" i="5"/>
  <c r="W14" i="5"/>
  <c r="AA14" i="5"/>
  <c r="Z14" i="5"/>
  <c r="Y14" i="5"/>
  <c r="X14" i="5"/>
  <c r="V14" i="5"/>
  <c r="U14" i="5"/>
  <c r="J14" i="5"/>
  <c r="S14" i="5"/>
  <c r="K14" i="5"/>
  <c r="Q14" i="5"/>
  <c r="M14" i="5"/>
  <c r="P14" i="5"/>
  <c r="R14" i="5"/>
  <c r="M32" i="5"/>
  <c r="AB32" i="5"/>
  <c r="L32" i="5"/>
  <c r="AA32" i="5"/>
  <c r="K32" i="5"/>
  <c r="Y32" i="5"/>
  <c r="Z32" i="5"/>
  <c r="X32" i="5"/>
  <c r="W32" i="5"/>
  <c r="U32" i="5"/>
  <c r="Q32" i="5"/>
  <c r="N32" i="5"/>
  <c r="O32" i="5"/>
  <c r="J32" i="5"/>
  <c r="S32" i="5"/>
  <c r="R32" i="5"/>
  <c r="P32" i="5"/>
  <c r="V32" i="5"/>
  <c r="W22" i="5"/>
  <c r="V22" i="5"/>
  <c r="O22" i="5"/>
  <c r="Z22" i="5"/>
  <c r="Y22" i="5"/>
  <c r="X22" i="5"/>
  <c r="U22" i="5"/>
  <c r="AB22" i="5"/>
  <c r="N22" i="5"/>
  <c r="AA22" i="5"/>
  <c r="Q22" i="5"/>
  <c r="P22" i="5"/>
  <c r="M22" i="5"/>
  <c r="S22" i="5"/>
  <c r="R22" i="5"/>
  <c r="L22" i="5"/>
  <c r="K22" i="5"/>
  <c r="J22" i="5"/>
  <c r="AC28" i="2"/>
  <c r="AC29" i="2"/>
  <c r="I36" i="5"/>
  <c r="AB26" i="5"/>
  <c r="L26" i="5"/>
  <c r="AA26" i="5"/>
  <c r="K26" i="5"/>
  <c r="Z26" i="5"/>
  <c r="J26" i="5"/>
  <c r="X26" i="5"/>
  <c r="W26" i="5"/>
  <c r="R26" i="5"/>
  <c r="S26" i="5"/>
  <c r="Q26" i="5"/>
  <c r="P26" i="5"/>
  <c r="Y26" i="5"/>
  <c r="V26" i="5"/>
  <c r="U26" i="5"/>
  <c r="M26" i="5"/>
  <c r="O26" i="5"/>
  <c r="N26" i="5"/>
  <c r="N26" i="3"/>
  <c r="CI4" i="4"/>
  <c r="P41" i="4"/>
  <c r="I33" i="5"/>
  <c r="Z15" i="5"/>
  <c r="J15" i="5"/>
  <c r="Y15" i="5"/>
  <c r="W15" i="5"/>
  <c r="R15" i="5"/>
  <c r="Q15" i="5"/>
  <c r="P15" i="5"/>
  <c r="O15" i="5"/>
  <c r="N15" i="5"/>
  <c r="V15" i="5"/>
  <c r="X15" i="5"/>
  <c r="U15" i="5"/>
  <c r="AB15" i="5"/>
  <c r="AA15" i="5"/>
  <c r="L15" i="5"/>
  <c r="K15" i="5"/>
  <c r="S15" i="5"/>
  <c r="M15" i="5"/>
  <c r="AA18" i="5"/>
  <c r="K18" i="5"/>
  <c r="Z18" i="5"/>
  <c r="J18" i="5"/>
  <c r="X18" i="5"/>
  <c r="S18" i="5"/>
  <c r="AB18" i="5"/>
  <c r="Y18" i="5"/>
  <c r="W18" i="5"/>
  <c r="V18" i="5"/>
  <c r="O18" i="5"/>
  <c r="N18" i="5"/>
  <c r="M18" i="5"/>
  <c r="L18" i="5"/>
  <c r="Q18" i="5"/>
  <c r="P18" i="5"/>
  <c r="U18" i="5"/>
  <c r="R18" i="5"/>
  <c r="Z43" i="5"/>
  <c r="J43" i="5"/>
  <c r="Y43" i="5"/>
  <c r="W43" i="5"/>
  <c r="V43" i="5"/>
  <c r="L43" i="5"/>
  <c r="K43" i="5"/>
  <c r="AB43" i="5"/>
  <c r="P43" i="5"/>
  <c r="O43" i="5"/>
  <c r="N43" i="5"/>
  <c r="AA43" i="5"/>
  <c r="X43" i="5"/>
  <c r="U43" i="5"/>
  <c r="M43" i="5"/>
  <c r="R43" i="5"/>
  <c r="S43" i="5"/>
  <c r="Q43" i="5"/>
  <c r="X37" i="5"/>
  <c r="W37" i="5"/>
  <c r="U37" i="5"/>
  <c r="M37" i="5"/>
  <c r="L37" i="5"/>
  <c r="K37" i="5"/>
  <c r="N37" i="5"/>
  <c r="J37" i="5"/>
  <c r="Z37" i="5"/>
  <c r="S37" i="5"/>
  <c r="AB37" i="5"/>
  <c r="AA37" i="5"/>
  <c r="Y37" i="5"/>
  <c r="R37" i="5"/>
  <c r="O37" i="5"/>
  <c r="V37" i="5"/>
  <c r="Q37" i="5"/>
  <c r="P37" i="5"/>
  <c r="Q20" i="5"/>
  <c r="P20" i="5"/>
  <c r="N20" i="5"/>
  <c r="Y20" i="5"/>
  <c r="Z20" i="5"/>
  <c r="X20" i="5"/>
  <c r="W20" i="5"/>
  <c r="V20" i="5"/>
  <c r="U20" i="5"/>
  <c r="AA20" i="5"/>
  <c r="AB20" i="5"/>
  <c r="O20" i="5"/>
  <c r="R20" i="5"/>
  <c r="S20" i="5"/>
  <c r="L20" i="5"/>
  <c r="K20" i="5"/>
  <c r="J20" i="5"/>
  <c r="M20" i="5"/>
  <c r="U44" i="5"/>
  <c r="R44" i="5"/>
  <c r="Q44" i="5"/>
  <c r="W44" i="5"/>
  <c r="V44" i="5"/>
  <c r="S44" i="5"/>
  <c r="O44" i="5"/>
  <c r="K44" i="5"/>
  <c r="J44" i="5"/>
  <c r="AA44" i="5"/>
  <c r="P44" i="5"/>
  <c r="Y44" i="5"/>
  <c r="L44" i="5"/>
  <c r="X44" i="5"/>
  <c r="N44" i="5"/>
  <c r="M44" i="5"/>
  <c r="Z44" i="5"/>
  <c r="AB44" i="5"/>
  <c r="AC37" i="2"/>
  <c r="U16" i="5"/>
  <c r="R16" i="5"/>
  <c r="M16" i="5"/>
  <c r="AB16" i="5"/>
  <c r="AA16" i="5"/>
  <c r="Z16" i="5"/>
  <c r="Y16" i="5"/>
  <c r="X16" i="5"/>
  <c r="W16" i="5"/>
  <c r="Q16" i="5"/>
  <c r="P16" i="5"/>
  <c r="O16" i="5"/>
  <c r="V16" i="5"/>
  <c r="N16" i="5"/>
  <c r="L16" i="5"/>
  <c r="S16" i="5"/>
  <c r="J16" i="5"/>
  <c r="K16" i="5"/>
  <c r="Q25" i="5"/>
  <c r="P25" i="5"/>
  <c r="O25" i="5"/>
  <c r="M25" i="5"/>
  <c r="S25" i="5"/>
  <c r="N25" i="5"/>
  <c r="AB25" i="5"/>
  <c r="Z25" i="5"/>
  <c r="Y25" i="5"/>
  <c r="X25" i="5"/>
  <c r="W25" i="5"/>
  <c r="L25" i="5"/>
  <c r="J25" i="5"/>
  <c r="U25" i="5"/>
  <c r="AA25" i="5"/>
  <c r="R25" i="5"/>
  <c r="V25" i="5"/>
  <c r="K25" i="5"/>
  <c r="I25" i="5"/>
  <c r="Z41" i="4"/>
  <c r="I17" i="5"/>
  <c r="S38" i="5"/>
  <c r="R38" i="5"/>
  <c r="P38" i="5"/>
  <c r="O38" i="5"/>
  <c r="X38" i="5"/>
  <c r="W38" i="5"/>
  <c r="V38" i="5"/>
  <c r="Y38" i="5"/>
  <c r="Z38" i="5"/>
  <c r="U38" i="5"/>
  <c r="Q38" i="5"/>
  <c r="J38" i="5"/>
  <c r="N38" i="5"/>
  <c r="K38" i="5"/>
  <c r="M38" i="5"/>
  <c r="L38" i="5"/>
  <c r="AB38" i="5"/>
  <c r="AA38" i="5"/>
  <c r="Y26" i="3"/>
  <c r="K31" i="3"/>
  <c r="Q23" i="3"/>
  <c r="I41" i="4"/>
  <c r="Q41" i="4"/>
  <c r="I6" i="5"/>
  <c r="S13" i="5"/>
  <c r="Q13" i="5"/>
  <c r="AB13" i="5"/>
  <c r="L13" i="5"/>
  <c r="P13" i="5"/>
  <c r="O13" i="5"/>
  <c r="N13" i="5"/>
  <c r="M13" i="5"/>
  <c r="J13" i="5"/>
  <c r="AA13" i="5"/>
  <c r="Z13" i="5"/>
  <c r="Y13" i="5"/>
  <c r="X13" i="5"/>
  <c r="W13" i="5"/>
  <c r="V13" i="5"/>
  <c r="U13" i="5"/>
  <c r="R13" i="5"/>
  <c r="K13" i="5"/>
  <c r="W34" i="5"/>
  <c r="V34" i="5"/>
  <c r="S34" i="5"/>
  <c r="Y34" i="5"/>
  <c r="X34" i="5"/>
  <c r="U34" i="5"/>
  <c r="Q34" i="5"/>
  <c r="AA34" i="5"/>
  <c r="Z34" i="5"/>
  <c r="R34" i="5"/>
  <c r="O34" i="5"/>
  <c r="K34" i="5"/>
  <c r="AB34" i="5"/>
  <c r="J34" i="5"/>
  <c r="P34" i="5"/>
  <c r="N34" i="5"/>
  <c r="M34" i="5"/>
  <c r="L34" i="5"/>
  <c r="Y40" i="5"/>
  <c r="X40" i="5"/>
  <c r="V40" i="5"/>
  <c r="U40" i="5"/>
  <c r="S40" i="5"/>
  <c r="R40" i="5"/>
  <c r="P40" i="5"/>
  <c r="AB40" i="5"/>
  <c r="AA40" i="5"/>
  <c r="W40" i="5"/>
  <c r="M40" i="5"/>
  <c r="N40" i="5"/>
  <c r="L40" i="5"/>
  <c r="K40" i="5"/>
  <c r="J40" i="5"/>
  <c r="Z40" i="5"/>
  <c r="Q40" i="5"/>
  <c r="O40" i="5"/>
  <c r="Y11" i="3"/>
  <c r="O11" i="3"/>
  <c r="P11" i="3"/>
  <c r="L31" i="3"/>
  <c r="Z11" i="3"/>
  <c r="X16" i="3"/>
  <c r="J41" i="4"/>
  <c r="Q31" i="3"/>
  <c r="AA11" i="3"/>
  <c r="L16" i="3"/>
  <c r="O44" i="3"/>
  <c r="S7" i="3"/>
  <c r="N16" i="3"/>
  <c r="M42" i="3"/>
  <c r="Z31" i="3"/>
  <c r="J11" i="3"/>
  <c r="M16" i="3"/>
  <c r="I32" i="3"/>
  <c r="O42" i="3"/>
  <c r="Q16" i="3"/>
  <c r="AB11" i="3"/>
  <c r="K16" i="3"/>
  <c r="W42" i="3"/>
  <c r="O16" i="3"/>
  <c r="J32" i="3"/>
  <c r="Z40" i="3"/>
  <c r="AA40" i="3"/>
  <c r="X42" i="3"/>
  <c r="I11" i="3"/>
  <c r="N7" i="3"/>
  <c r="L32" i="3"/>
  <c r="J42" i="3"/>
  <c r="N11" i="3"/>
  <c r="V16" i="3"/>
  <c r="L42" i="3"/>
  <c r="Q11" i="3"/>
  <c r="Y16" i="3"/>
  <c r="W11" i="3"/>
  <c r="Z16" i="3"/>
  <c r="U11" i="3"/>
  <c r="AA16" i="3"/>
  <c r="M31" i="3"/>
  <c r="V35" i="3"/>
  <c r="W16" i="3"/>
  <c r="V11" i="3"/>
  <c r="AB16" i="3"/>
  <c r="Y18" i="3"/>
  <c r="O26" i="4"/>
  <c r="AB13" i="4"/>
  <c r="AA18" i="3"/>
  <c r="O15" i="3"/>
  <c r="O18" i="3"/>
  <c r="V18" i="3"/>
  <c r="L15" i="3"/>
  <c r="V40" i="3"/>
  <c r="P26" i="4"/>
  <c r="K16" i="4"/>
  <c r="S40" i="3"/>
  <c r="L13" i="4"/>
  <c r="W32" i="3"/>
  <c r="V15" i="3"/>
  <c r="L8" i="3"/>
  <c r="P16" i="4"/>
  <c r="L18" i="3"/>
  <c r="W18" i="3"/>
  <c r="Z15" i="3"/>
  <c r="U8" i="3"/>
  <c r="I42" i="3"/>
  <c r="M18" i="3"/>
  <c r="AA26" i="3"/>
  <c r="AA15" i="3"/>
  <c r="W7" i="3"/>
  <c r="X27" i="3"/>
  <c r="P42" i="3"/>
  <c r="K8" i="3"/>
  <c r="Z43" i="3"/>
  <c r="N15" i="3"/>
  <c r="I7" i="3"/>
  <c r="X15" i="3"/>
  <c r="I16" i="4"/>
  <c r="U16" i="4"/>
  <c r="L7" i="3"/>
  <c r="M7" i="3"/>
  <c r="Y32" i="3"/>
  <c r="I40" i="3"/>
  <c r="I34" i="3"/>
  <c r="P25" i="3"/>
  <c r="X25" i="3"/>
  <c r="Y25" i="3"/>
  <c r="K25" i="3"/>
  <c r="P7" i="3"/>
  <c r="X22" i="3"/>
  <c r="X18" i="3"/>
  <c r="O19" i="3"/>
  <c r="AB7" i="3"/>
  <c r="N25" i="3"/>
  <c r="X29" i="3"/>
  <c r="O25" i="3"/>
  <c r="L25" i="3"/>
  <c r="O7" i="3"/>
  <c r="K44" i="3"/>
  <c r="J25" i="3"/>
  <c r="X21" i="3"/>
  <c r="U7" i="3"/>
  <c r="I36" i="3"/>
  <c r="AB18" i="3"/>
  <c r="Y29" i="3"/>
  <c r="V19" i="3"/>
  <c r="Z21" i="3"/>
  <c r="P13" i="4"/>
  <c r="AB25" i="3"/>
  <c r="J7" i="3"/>
  <c r="I22" i="3"/>
  <c r="O36" i="3"/>
  <c r="Q18" i="3"/>
  <c r="Q26" i="4"/>
  <c r="V22" i="3"/>
  <c r="Z36" i="3"/>
  <c r="K7" i="3"/>
  <c r="U18" i="3"/>
  <c r="K18" i="3"/>
  <c r="R26" i="4"/>
  <c r="J19" i="3"/>
  <c r="V7" i="3"/>
  <c r="AB8" i="3"/>
  <c r="AA36" i="3"/>
  <c r="Y8" i="3"/>
  <c r="Z7" i="3"/>
  <c r="Q25" i="3"/>
  <c r="Z18" i="3"/>
  <c r="Y7" i="3"/>
  <c r="I18" i="3"/>
  <c r="I39" i="4"/>
  <c r="S26" i="4"/>
  <c r="Z25" i="3"/>
  <c r="AB36" i="3"/>
  <c r="Z8" i="3"/>
  <c r="AA7" i="3"/>
  <c r="N18" i="3"/>
  <c r="J18" i="3"/>
  <c r="I13" i="4"/>
  <c r="U26" i="4"/>
  <c r="M13" i="4"/>
  <c r="Y13" i="4"/>
  <c r="Q7" i="3"/>
  <c r="O13" i="3"/>
  <c r="P36" i="3"/>
  <c r="J8" i="3"/>
  <c r="X7" i="3"/>
  <c r="Q22" i="3"/>
  <c r="W26" i="4"/>
  <c r="S25" i="3"/>
  <c r="P13" i="3"/>
  <c r="M8" i="3"/>
  <c r="U25" i="3"/>
  <c r="Y26" i="4"/>
  <c r="AA24" i="3"/>
  <c r="I24" i="3"/>
  <c r="R19" i="3"/>
  <c r="O22" i="3"/>
  <c r="N13" i="4"/>
  <c r="M24" i="3"/>
  <c r="P33" i="3"/>
  <c r="V36" i="3"/>
  <c r="M20" i="3"/>
  <c r="U23" i="3"/>
  <c r="M22" i="3"/>
  <c r="O8" i="3"/>
  <c r="P28" i="3"/>
  <c r="S19" i="3"/>
  <c r="I21" i="4"/>
  <c r="P22" i="3"/>
  <c r="X26" i="4"/>
  <c r="O13" i="4"/>
  <c r="Z24" i="3"/>
  <c r="L24" i="3"/>
  <c r="P44" i="3"/>
  <c r="N39" i="3"/>
  <c r="W33" i="3"/>
  <c r="Y19" i="3"/>
  <c r="W36" i="3"/>
  <c r="AA20" i="3"/>
  <c r="AA8" i="3"/>
  <c r="U33" i="3"/>
  <c r="N33" i="3"/>
  <c r="J22" i="3"/>
  <c r="J24" i="3"/>
  <c r="X19" i="3"/>
  <c r="W8" i="3"/>
  <c r="J26" i="4"/>
  <c r="X36" i="3"/>
  <c r="W13" i="4"/>
  <c r="W19" i="3"/>
  <c r="O24" i="3"/>
  <c r="P23" i="3"/>
  <c r="K33" i="3"/>
  <c r="Z19" i="3"/>
  <c r="U44" i="3"/>
  <c r="U36" i="3"/>
  <c r="Q24" i="3"/>
  <c r="K19" i="3"/>
  <c r="AB22" i="3"/>
  <c r="R8" i="3"/>
  <c r="I26" i="4"/>
  <c r="Z26" i="4"/>
  <c r="Q19" i="3"/>
  <c r="R13" i="4"/>
  <c r="L39" i="3"/>
  <c r="V23" i="3"/>
  <c r="M33" i="3"/>
  <c r="I19" i="3"/>
  <c r="K36" i="3"/>
  <c r="Y20" i="3"/>
  <c r="P24" i="3"/>
  <c r="W22" i="3"/>
  <c r="R36" i="3"/>
  <c r="AB19" i="3"/>
  <c r="AA19" i="3"/>
  <c r="X44" i="3"/>
  <c r="L36" i="3"/>
  <c r="U24" i="3"/>
  <c r="K23" i="3"/>
  <c r="O23" i="3"/>
  <c r="V8" i="3"/>
  <c r="S8" i="3"/>
  <c r="K26" i="4"/>
  <c r="N24" i="3"/>
  <c r="Y22" i="3"/>
  <c r="I23" i="3"/>
  <c r="M23" i="3"/>
  <c r="S23" i="3"/>
  <c r="N22" i="3"/>
  <c r="S22" i="3"/>
  <c r="P19" i="3"/>
  <c r="X24" i="3"/>
  <c r="Q36" i="3"/>
  <c r="Y23" i="3"/>
  <c r="V33" i="3"/>
  <c r="Q33" i="3"/>
  <c r="V13" i="4"/>
  <c r="X13" i="4"/>
  <c r="J33" i="3"/>
  <c r="Q13" i="4"/>
  <c r="U19" i="3"/>
  <c r="Y44" i="3"/>
  <c r="M36" i="3"/>
  <c r="M32" i="3"/>
  <c r="AA32" i="3"/>
  <c r="L23" i="3"/>
  <c r="K22" i="3"/>
  <c r="AA26" i="4"/>
  <c r="U13" i="4"/>
  <c r="Y33" i="3"/>
  <c r="Y24" i="3"/>
  <c r="U22" i="3"/>
  <c r="Q44" i="3"/>
  <c r="M39" i="3"/>
  <c r="N36" i="3"/>
  <c r="Z22" i="3"/>
  <c r="K13" i="3"/>
  <c r="V26" i="4"/>
  <c r="L19" i="3"/>
  <c r="M44" i="3"/>
  <c r="Y36" i="3"/>
  <c r="N9" i="3"/>
  <c r="AB32" i="3"/>
  <c r="L22" i="3"/>
  <c r="M19" i="3"/>
  <c r="X8" i="3"/>
  <c r="I8" i="3"/>
  <c r="I33" i="3"/>
  <c r="L26" i="4"/>
  <c r="S24" i="3"/>
  <c r="J13" i="4"/>
  <c r="W24" i="3"/>
  <c r="W23" i="3"/>
  <c r="Z23" i="3"/>
  <c r="X23" i="3"/>
  <c r="J36" i="3"/>
  <c r="U13" i="3"/>
  <c r="J44" i="3"/>
  <c r="Q8" i="3"/>
  <c r="Z5" i="3"/>
  <c r="AA22" i="3"/>
  <c r="P8" i="3"/>
  <c r="R24" i="3"/>
  <c r="Z13" i="4"/>
  <c r="AB29" i="3"/>
  <c r="AB5" i="3"/>
  <c r="I17" i="3"/>
  <c r="N29" i="3"/>
  <c r="W29" i="3"/>
  <c r="L9" i="3"/>
  <c r="P5" i="3"/>
  <c r="X35" i="3"/>
  <c r="L33" i="3"/>
  <c r="Q39" i="3"/>
  <c r="AB44" i="3"/>
  <c r="AA29" i="3"/>
  <c r="M9" i="3"/>
  <c r="Q5" i="3"/>
  <c r="AB9" i="3"/>
  <c r="Z35" i="3"/>
  <c r="Y35" i="3"/>
  <c r="N34" i="3"/>
  <c r="W39" i="3"/>
  <c r="AB20" i="3"/>
  <c r="S35" i="3"/>
  <c r="O5" i="3"/>
  <c r="P9" i="3"/>
  <c r="AB39" i="3"/>
  <c r="AA43" i="3"/>
  <c r="V34" i="3"/>
  <c r="M5" i="3"/>
  <c r="AA33" i="3"/>
  <c r="K35" i="3"/>
  <c r="Y5" i="3"/>
  <c r="I39" i="3"/>
  <c r="S13" i="3"/>
  <c r="I38" i="3"/>
  <c r="AB43" i="3"/>
  <c r="J20" i="3"/>
  <c r="AB34" i="3"/>
  <c r="AC4" i="3"/>
  <c r="L13" i="3"/>
  <c r="Q29" i="3"/>
  <c r="J5" i="3"/>
  <c r="N5" i="3"/>
  <c r="Z20" i="3"/>
  <c r="X20" i="3"/>
  <c r="N13" i="3"/>
  <c r="R33" i="3"/>
  <c r="U20" i="3"/>
  <c r="I30" i="4"/>
  <c r="I26" i="3"/>
  <c r="I21" i="3"/>
  <c r="I12" i="3"/>
  <c r="R23" i="3"/>
  <c r="N23" i="3"/>
  <c r="V13" i="3"/>
  <c r="P39" i="3"/>
  <c r="L5" i="3"/>
  <c r="V29" i="3"/>
  <c r="J39" i="3"/>
  <c r="U29" i="3"/>
  <c r="L35" i="3"/>
  <c r="O38" i="3"/>
  <c r="Z29" i="3"/>
  <c r="V20" i="3"/>
  <c r="W34" i="3"/>
  <c r="M13" i="3"/>
  <c r="L29" i="3"/>
  <c r="J9" i="3"/>
  <c r="U5" i="3"/>
  <c r="Q13" i="3"/>
  <c r="O35" i="3"/>
  <c r="I31" i="3"/>
  <c r="I44" i="3"/>
  <c r="V9" i="3"/>
  <c r="I8" i="4"/>
  <c r="X39" i="3"/>
  <c r="K39" i="3"/>
  <c r="S29" i="3"/>
  <c r="K5" i="3"/>
  <c r="P20" i="3"/>
  <c r="Q35" i="3"/>
  <c r="P38" i="3"/>
  <c r="K29" i="3"/>
  <c r="K20" i="3"/>
  <c r="X34" i="3"/>
  <c r="J13" i="3"/>
  <c r="K9" i="3"/>
  <c r="V5" i="3"/>
  <c r="L43" i="3"/>
  <c r="X33" i="3"/>
  <c r="AB35" i="3"/>
  <c r="I25" i="4"/>
  <c r="I25" i="3"/>
  <c r="S33" i="3"/>
  <c r="AA39" i="3"/>
  <c r="I9" i="3"/>
  <c r="Y39" i="3"/>
  <c r="V44" i="3"/>
  <c r="M29" i="3"/>
  <c r="N20" i="3"/>
  <c r="Y34" i="3"/>
  <c r="AA13" i="3"/>
  <c r="Z9" i="3"/>
  <c r="W5" i="3"/>
  <c r="W20" i="3"/>
  <c r="K17" i="3"/>
  <c r="I13" i="3"/>
  <c r="R34" i="3"/>
  <c r="S34" i="3"/>
  <c r="I16" i="3"/>
  <c r="I20" i="3"/>
  <c r="Z33" i="3"/>
  <c r="W9" i="3"/>
  <c r="X9" i="3"/>
  <c r="O9" i="3"/>
  <c r="I5" i="3"/>
  <c r="Q9" i="3"/>
  <c r="W44" i="3"/>
  <c r="O29" i="3"/>
  <c r="O20" i="3"/>
  <c r="J34" i="3"/>
  <c r="U9" i="3"/>
  <c r="AA5" i="3"/>
  <c r="Y13" i="3"/>
  <c r="AB38" i="3"/>
  <c r="P35" i="3"/>
  <c r="N35" i="3"/>
  <c r="P34" i="3"/>
  <c r="I15" i="3"/>
  <c r="I35" i="3"/>
  <c r="J29" i="3"/>
  <c r="AA9" i="3"/>
  <c r="I29" i="3"/>
  <c r="O33" i="3"/>
  <c r="AB13" i="3"/>
  <c r="P29" i="3"/>
  <c r="M34" i="3"/>
  <c r="X13" i="3"/>
  <c r="O41" i="3"/>
  <c r="I10" i="4"/>
  <c r="I7" i="4"/>
  <c r="I24" i="4"/>
  <c r="I33" i="4"/>
  <c r="I38" i="4"/>
  <c r="I35" i="4"/>
  <c r="I34" i="4"/>
  <c r="I32" i="4"/>
  <c r="S6" i="3"/>
  <c r="R6" i="3"/>
  <c r="U9" i="4"/>
  <c r="M9" i="4"/>
  <c r="S9" i="4"/>
  <c r="R9" i="4"/>
  <c r="Q9" i="4"/>
  <c r="P9" i="4"/>
  <c r="O9" i="4"/>
  <c r="N9" i="4"/>
  <c r="X9" i="4"/>
  <c r="W9" i="4"/>
  <c r="V9" i="4"/>
  <c r="L9" i="4"/>
  <c r="K9" i="4"/>
  <c r="J9" i="4"/>
  <c r="AB9" i="4"/>
  <c r="AA9" i="4"/>
  <c r="Z9" i="4"/>
  <c r="Y9" i="4"/>
  <c r="R38" i="3"/>
  <c r="S38" i="3"/>
  <c r="Z6" i="3"/>
  <c r="O42" i="4"/>
  <c r="N42" i="4"/>
  <c r="M42" i="4"/>
  <c r="AB42" i="4"/>
  <c r="L42" i="4"/>
  <c r="AA42" i="4"/>
  <c r="K42" i="4"/>
  <c r="Z42" i="4"/>
  <c r="J42" i="4"/>
  <c r="Y42" i="4"/>
  <c r="X42" i="4"/>
  <c r="U42" i="4"/>
  <c r="W42" i="4"/>
  <c r="V42" i="4"/>
  <c r="S42" i="4"/>
  <c r="R42" i="4"/>
  <c r="Q42" i="4"/>
  <c r="P42" i="4"/>
  <c r="X12" i="3"/>
  <c r="O43" i="3"/>
  <c r="M6" i="3"/>
  <c r="AA12" i="3"/>
  <c r="Y30" i="3"/>
  <c r="Y10" i="3"/>
  <c r="R32" i="3"/>
  <c r="S32" i="3"/>
  <c r="J27" i="3"/>
  <c r="S27" i="3"/>
  <c r="R27" i="3"/>
  <c r="Z27" i="3"/>
  <c r="Y27" i="3"/>
  <c r="AA27" i="3"/>
  <c r="M27" i="3"/>
  <c r="O27" i="3"/>
  <c r="N27" i="3"/>
  <c r="L27" i="3"/>
  <c r="K27" i="3"/>
  <c r="S22" i="4"/>
  <c r="R22" i="4"/>
  <c r="Q22" i="4"/>
  <c r="P22" i="4"/>
  <c r="O22" i="4"/>
  <c r="Z22" i="4"/>
  <c r="J22" i="4"/>
  <c r="AB22" i="4"/>
  <c r="AA22" i="4"/>
  <c r="Y22" i="4"/>
  <c r="X22" i="4"/>
  <c r="W22" i="4"/>
  <c r="V22" i="4"/>
  <c r="U22" i="4"/>
  <c r="N22" i="4"/>
  <c r="M22" i="4"/>
  <c r="L22" i="4"/>
  <c r="K22" i="4"/>
  <c r="Y40" i="4"/>
  <c r="X40" i="4"/>
  <c r="W40" i="4"/>
  <c r="V40" i="4"/>
  <c r="U40" i="4"/>
  <c r="S40" i="4"/>
  <c r="R40" i="4"/>
  <c r="O40" i="4"/>
  <c r="J40" i="4"/>
  <c r="Q40" i="4"/>
  <c r="N40" i="4"/>
  <c r="M40" i="4"/>
  <c r="L40" i="4"/>
  <c r="K40" i="4"/>
  <c r="AB40" i="4"/>
  <c r="AA40" i="4"/>
  <c r="Z40" i="4"/>
  <c r="P40" i="4"/>
  <c r="I23" i="4"/>
  <c r="AP4" i="4"/>
  <c r="CY4" i="4" s="1"/>
  <c r="AO4" i="4"/>
  <c r="CX4" i="4" s="1"/>
  <c r="AN4" i="4"/>
  <c r="CW4" i="4" s="1"/>
  <c r="AH4" i="4"/>
  <c r="CQ4" i="4" s="1"/>
  <c r="AK4" i="4"/>
  <c r="CT4" i="4" s="1"/>
  <c r="AJ4" i="4"/>
  <c r="CS4" i="4" s="1"/>
  <c r="AI4" i="4"/>
  <c r="CR4" i="4" s="1"/>
  <c r="AG4" i="4"/>
  <c r="CP4" i="4" s="1"/>
  <c r="Q42" i="3"/>
  <c r="P43" i="3"/>
  <c r="X30" i="3"/>
  <c r="P10" i="3"/>
  <c r="Y21" i="3"/>
  <c r="N6" i="3"/>
  <c r="J41" i="3"/>
  <c r="U14" i="3"/>
  <c r="Z32" i="3"/>
  <c r="AA38" i="3"/>
  <c r="I28" i="3"/>
  <c r="AB28" i="3"/>
  <c r="U28" i="3"/>
  <c r="R16" i="3"/>
  <c r="S16" i="3"/>
  <c r="S11" i="3"/>
  <c r="R11" i="3"/>
  <c r="N31" i="4"/>
  <c r="M31" i="4"/>
  <c r="AB31" i="4"/>
  <c r="L31" i="4"/>
  <c r="AA31" i="4"/>
  <c r="K31" i="4"/>
  <c r="Z31" i="4"/>
  <c r="J31" i="4"/>
  <c r="Y31" i="4"/>
  <c r="U31" i="4"/>
  <c r="S31" i="4"/>
  <c r="R31" i="4"/>
  <c r="Q31" i="4"/>
  <c r="P31" i="4"/>
  <c r="O31" i="4"/>
  <c r="X31" i="4"/>
  <c r="W31" i="4"/>
  <c r="V31" i="4"/>
  <c r="X37" i="4"/>
  <c r="W37" i="4"/>
  <c r="V37" i="4"/>
  <c r="U37" i="4"/>
  <c r="S37" i="4"/>
  <c r="R37" i="4"/>
  <c r="Q37" i="4"/>
  <c r="N37" i="4"/>
  <c r="AB37" i="4"/>
  <c r="AA37" i="4"/>
  <c r="Z37" i="4"/>
  <c r="L37" i="4"/>
  <c r="Y37" i="4"/>
  <c r="O37" i="4"/>
  <c r="M37" i="4"/>
  <c r="K37" i="4"/>
  <c r="J37" i="4"/>
  <c r="P37" i="4"/>
  <c r="I9" i="4"/>
  <c r="BA4" i="4"/>
  <c r="DJ4" i="4" s="1"/>
  <c r="Y5" i="4"/>
  <c r="X5" i="4"/>
  <c r="W5" i="4"/>
  <c r="V5" i="4"/>
  <c r="U5" i="4"/>
  <c r="S5" i="4"/>
  <c r="R5" i="4"/>
  <c r="AA5" i="4"/>
  <c r="J5" i="4"/>
  <c r="Z5" i="4"/>
  <c r="Q5" i="4"/>
  <c r="P5" i="4"/>
  <c r="O5" i="4"/>
  <c r="N5" i="4"/>
  <c r="M5" i="4"/>
  <c r="L5" i="4"/>
  <c r="K5" i="4"/>
  <c r="AB5" i="4"/>
  <c r="X29" i="4"/>
  <c r="W29" i="4"/>
  <c r="V29" i="4"/>
  <c r="U29" i="4"/>
  <c r="S29" i="4"/>
  <c r="N29" i="4"/>
  <c r="AB29" i="4"/>
  <c r="AA29" i="4"/>
  <c r="Z29" i="4"/>
  <c r="Y29" i="4"/>
  <c r="O29" i="4"/>
  <c r="R29" i="4"/>
  <c r="Q29" i="4"/>
  <c r="P29" i="4"/>
  <c r="M29" i="4"/>
  <c r="L29" i="4"/>
  <c r="K29" i="4"/>
  <c r="J29" i="4"/>
  <c r="O28" i="3"/>
  <c r="W12" i="3"/>
  <c r="S12" i="3"/>
  <c r="R12" i="3"/>
  <c r="M12" i="3"/>
  <c r="J12" i="3"/>
  <c r="P6" i="3"/>
  <c r="AB21" i="3"/>
  <c r="K6" i="3"/>
  <c r="N12" i="3"/>
  <c r="P30" i="3"/>
  <c r="R31" i="3"/>
  <c r="S31" i="3"/>
  <c r="U31" i="3"/>
  <c r="AB42" i="3"/>
  <c r="R42" i="3"/>
  <c r="AA42" i="3"/>
  <c r="S42" i="3"/>
  <c r="AC28" i="4"/>
  <c r="T28" i="4"/>
  <c r="AB14" i="4"/>
  <c r="L14" i="4"/>
  <c r="AA14" i="4"/>
  <c r="K14" i="4"/>
  <c r="Z14" i="4"/>
  <c r="J14" i="4"/>
  <c r="Y14" i="4"/>
  <c r="X14" i="4"/>
  <c r="W14" i="4"/>
  <c r="V14" i="4"/>
  <c r="U14" i="4"/>
  <c r="M14" i="4"/>
  <c r="S14" i="4"/>
  <c r="Q14" i="4"/>
  <c r="P14" i="4"/>
  <c r="O14" i="4"/>
  <c r="R14" i="4"/>
  <c r="N14" i="4"/>
  <c r="V20" i="4"/>
  <c r="U20" i="4"/>
  <c r="S20" i="4"/>
  <c r="R20" i="4"/>
  <c r="Q20" i="4"/>
  <c r="P20" i="4"/>
  <c r="O20" i="4"/>
  <c r="X20" i="4"/>
  <c r="W20" i="4"/>
  <c r="N20" i="4"/>
  <c r="M20" i="4"/>
  <c r="L20" i="4"/>
  <c r="K20" i="4"/>
  <c r="J20" i="4"/>
  <c r="Z20" i="4"/>
  <c r="AA20" i="4"/>
  <c r="Y20" i="4"/>
  <c r="AB20" i="4"/>
  <c r="V34" i="4"/>
  <c r="U34" i="4"/>
  <c r="S34" i="4"/>
  <c r="Q34" i="4"/>
  <c r="P34" i="4"/>
  <c r="M34" i="4"/>
  <c r="Y34" i="4"/>
  <c r="X34" i="4"/>
  <c r="W34" i="4"/>
  <c r="R34" i="4"/>
  <c r="O34" i="4"/>
  <c r="N34" i="4"/>
  <c r="K34" i="4"/>
  <c r="J34" i="4"/>
  <c r="Z34" i="4"/>
  <c r="L34" i="4"/>
  <c r="AB34" i="4"/>
  <c r="AA34" i="4"/>
  <c r="I14" i="4"/>
  <c r="Q43" i="3"/>
  <c r="K42" i="3"/>
  <c r="W10" i="3"/>
  <c r="M21" i="3"/>
  <c r="L6" i="3"/>
  <c r="V41" i="3"/>
  <c r="O12" i="3"/>
  <c r="V14" i="3"/>
  <c r="K32" i="3"/>
  <c r="I43" i="3"/>
  <c r="T4" i="3"/>
  <c r="Y15" i="3"/>
  <c r="AB15" i="3"/>
  <c r="S15" i="3"/>
  <c r="R15" i="3"/>
  <c r="S26" i="3"/>
  <c r="AB26" i="3"/>
  <c r="X26" i="3"/>
  <c r="W26" i="3"/>
  <c r="Q26" i="3"/>
  <c r="P26" i="3"/>
  <c r="O26" i="3"/>
  <c r="J26" i="3"/>
  <c r="R26" i="3"/>
  <c r="L26" i="3"/>
  <c r="K26" i="3"/>
  <c r="U17" i="4"/>
  <c r="S17" i="4"/>
  <c r="R17" i="4"/>
  <c r="Q17" i="4"/>
  <c r="P17" i="4"/>
  <c r="O17" i="4"/>
  <c r="N17" i="4"/>
  <c r="Z17" i="4"/>
  <c r="J17" i="4"/>
  <c r="Y17" i="4"/>
  <c r="X17" i="4"/>
  <c r="W17" i="4"/>
  <c r="V17" i="4"/>
  <c r="M17" i="4"/>
  <c r="L17" i="4"/>
  <c r="K17" i="4"/>
  <c r="AA17" i="4"/>
  <c r="AB17" i="4"/>
  <c r="I17" i="4"/>
  <c r="U44" i="4"/>
  <c r="S44" i="4"/>
  <c r="R44" i="4"/>
  <c r="Q44" i="4"/>
  <c r="P44" i="4"/>
  <c r="O44" i="4"/>
  <c r="N44" i="4"/>
  <c r="AA44" i="4"/>
  <c r="K44" i="4"/>
  <c r="W44" i="4"/>
  <c r="AB44" i="4"/>
  <c r="Z44" i="4"/>
  <c r="Y44" i="4"/>
  <c r="X44" i="4"/>
  <c r="V44" i="4"/>
  <c r="M44" i="4"/>
  <c r="L44" i="4"/>
  <c r="J44" i="4"/>
  <c r="I11" i="4"/>
  <c r="AA28" i="3"/>
  <c r="R28" i="3"/>
  <c r="V28" i="3"/>
  <c r="N28" i="3"/>
  <c r="S28" i="3"/>
  <c r="M28" i="3"/>
  <c r="L28" i="3"/>
  <c r="K28" i="3"/>
  <c r="J28" i="3"/>
  <c r="W28" i="3"/>
  <c r="Y6" i="3"/>
  <c r="AA17" i="3"/>
  <c r="N17" i="3"/>
  <c r="W17" i="3"/>
  <c r="S17" i="3"/>
  <c r="Y17" i="3"/>
  <c r="R17" i="3"/>
  <c r="R30" i="3"/>
  <c r="S30" i="3"/>
  <c r="W15" i="4"/>
  <c r="V15" i="4"/>
  <c r="U15" i="4"/>
  <c r="S15" i="4"/>
  <c r="R15" i="4"/>
  <c r="Q15" i="4"/>
  <c r="P15" i="4"/>
  <c r="O15" i="4"/>
  <c r="AB15" i="4"/>
  <c r="AA15" i="4"/>
  <c r="Z15" i="4"/>
  <c r="N15" i="4"/>
  <c r="M15" i="4"/>
  <c r="L15" i="4"/>
  <c r="Y15" i="4"/>
  <c r="X15" i="4"/>
  <c r="J15" i="4"/>
  <c r="K15" i="4"/>
  <c r="X28" i="3"/>
  <c r="P17" i="3"/>
  <c r="U27" i="3"/>
  <c r="M43" i="3"/>
  <c r="U42" i="3"/>
  <c r="W30" i="3"/>
  <c r="N31" i="3"/>
  <c r="K41" i="3"/>
  <c r="Q21" i="3"/>
  <c r="AA6" i="3"/>
  <c r="P12" i="3"/>
  <c r="Y43" i="3"/>
  <c r="P32" i="3"/>
  <c r="X32" i="3"/>
  <c r="Z38" i="3"/>
  <c r="J17" i="3"/>
  <c r="L41" i="3"/>
  <c r="W25" i="3"/>
  <c r="M25" i="3"/>
  <c r="R25" i="3"/>
  <c r="I18" i="4"/>
  <c r="S33" i="4"/>
  <c r="R33" i="4"/>
  <c r="Q33" i="4"/>
  <c r="P33" i="4"/>
  <c r="O33" i="4"/>
  <c r="Z33" i="4"/>
  <c r="J33" i="4"/>
  <c r="K33" i="4"/>
  <c r="AB33" i="4"/>
  <c r="W33" i="4"/>
  <c r="AA33" i="4"/>
  <c r="Y33" i="4"/>
  <c r="X33" i="4"/>
  <c r="V33" i="4"/>
  <c r="U33" i="4"/>
  <c r="L33" i="4"/>
  <c r="N33" i="4"/>
  <c r="M33" i="4"/>
  <c r="AD4" i="4"/>
  <c r="CM4" i="4" s="1"/>
  <c r="I42" i="4"/>
  <c r="I44" i="4"/>
  <c r="Q6" i="3"/>
  <c r="P18" i="4"/>
  <c r="O18" i="4"/>
  <c r="N18" i="4"/>
  <c r="M18" i="4"/>
  <c r="AB18" i="4"/>
  <c r="L18" i="4"/>
  <c r="AA18" i="4"/>
  <c r="K18" i="4"/>
  <c r="Z18" i="4"/>
  <c r="J18" i="4"/>
  <c r="Y18" i="4"/>
  <c r="X18" i="4"/>
  <c r="U18" i="4"/>
  <c r="W18" i="4"/>
  <c r="V18" i="4"/>
  <c r="S18" i="4"/>
  <c r="R18" i="4"/>
  <c r="Q18" i="4"/>
  <c r="AC3" i="2"/>
  <c r="BQ4" i="4"/>
  <c r="S14" i="3"/>
  <c r="R14" i="3"/>
  <c r="Q28" i="3"/>
  <c r="Z17" i="3"/>
  <c r="AB27" i="3"/>
  <c r="N43" i="3"/>
  <c r="V42" i="3"/>
  <c r="J30" i="3"/>
  <c r="O31" i="3"/>
  <c r="V21" i="3"/>
  <c r="I41" i="3"/>
  <c r="Q12" i="3"/>
  <c r="J43" i="3"/>
  <c r="J10" i="3"/>
  <c r="AB31" i="3"/>
  <c r="Q17" i="3"/>
  <c r="X6" i="3"/>
  <c r="X11" i="3"/>
  <c r="R5" i="3"/>
  <c r="S5" i="3"/>
  <c r="S9" i="3"/>
  <c r="R9" i="3"/>
  <c r="P10" i="4"/>
  <c r="O10" i="4"/>
  <c r="N10" i="4"/>
  <c r="M10" i="4"/>
  <c r="AB10" i="4"/>
  <c r="L10" i="4"/>
  <c r="AA10" i="4"/>
  <c r="K10" i="4"/>
  <c r="X10" i="4"/>
  <c r="Z10" i="4"/>
  <c r="J10" i="4"/>
  <c r="Y10" i="4"/>
  <c r="Q10" i="4"/>
  <c r="W10" i="4"/>
  <c r="U10" i="4"/>
  <c r="V10" i="4"/>
  <c r="S10" i="4"/>
  <c r="R10" i="4"/>
  <c r="S38" i="4"/>
  <c r="R38" i="4"/>
  <c r="Q38" i="4"/>
  <c r="P38" i="4"/>
  <c r="O38" i="4"/>
  <c r="N38" i="4"/>
  <c r="M38" i="4"/>
  <c r="AB38" i="4"/>
  <c r="L38" i="4"/>
  <c r="Y38" i="4"/>
  <c r="Z38" i="4"/>
  <c r="X38" i="4"/>
  <c r="W38" i="4"/>
  <c r="V38" i="4"/>
  <c r="U38" i="4"/>
  <c r="AA38" i="4"/>
  <c r="K38" i="4"/>
  <c r="J38" i="4"/>
  <c r="I15" i="4"/>
  <c r="Z28" i="3"/>
  <c r="M38" i="3"/>
  <c r="R27" i="4"/>
  <c r="Q27" i="4"/>
  <c r="P27" i="4"/>
  <c r="O27" i="4"/>
  <c r="X27" i="4"/>
  <c r="W27" i="4"/>
  <c r="V27" i="4"/>
  <c r="U27" i="4"/>
  <c r="S27" i="4"/>
  <c r="N27" i="4"/>
  <c r="M27" i="4"/>
  <c r="AA27" i="4"/>
  <c r="Z27" i="4"/>
  <c r="Y27" i="4"/>
  <c r="L27" i="4"/>
  <c r="K27" i="4"/>
  <c r="J27" i="4"/>
  <c r="AB27" i="4"/>
  <c r="Z43" i="4"/>
  <c r="J43" i="4"/>
  <c r="Y43" i="4"/>
  <c r="X43" i="4"/>
  <c r="W43" i="4"/>
  <c r="V43" i="4"/>
  <c r="U43" i="4"/>
  <c r="S43" i="4"/>
  <c r="P43" i="4"/>
  <c r="N43" i="4"/>
  <c r="M43" i="4"/>
  <c r="L43" i="4"/>
  <c r="K43" i="4"/>
  <c r="AB43" i="4"/>
  <c r="AA43" i="4"/>
  <c r="R43" i="4"/>
  <c r="Q43" i="4"/>
  <c r="O43" i="4"/>
  <c r="V6" i="3"/>
  <c r="O23" i="4"/>
  <c r="N23" i="4"/>
  <c r="M23" i="4"/>
  <c r="AB23" i="4"/>
  <c r="L23" i="4"/>
  <c r="AA23" i="4"/>
  <c r="K23" i="4"/>
  <c r="Z23" i="4"/>
  <c r="J23" i="4"/>
  <c r="Y23" i="4"/>
  <c r="U23" i="4"/>
  <c r="X23" i="4"/>
  <c r="W23" i="4"/>
  <c r="S23" i="4"/>
  <c r="R23" i="4"/>
  <c r="Q23" i="4"/>
  <c r="P23" i="4"/>
  <c r="V23" i="4"/>
  <c r="P27" i="3"/>
  <c r="N42" i="3"/>
  <c r="P21" i="3"/>
  <c r="Z24" i="4"/>
  <c r="J24" i="4"/>
  <c r="Y24" i="4"/>
  <c r="X24" i="4"/>
  <c r="W24" i="4"/>
  <c r="V24" i="4"/>
  <c r="U24" i="4"/>
  <c r="P24" i="4"/>
  <c r="N24" i="4"/>
  <c r="M24" i="4"/>
  <c r="L24" i="4"/>
  <c r="K24" i="4"/>
  <c r="AA24" i="4"/>
  <c r="S24" i="4"/>
  <c r="R24" i="4"/>
  <c r="Q24" i="4"/>
  <c r="O24" i="4"/>
  <c r="AB24" i="4"/>
  <c r="I5" i="4"/>
  <c r="DQ3" i="4"/>
  <c r="Q27" i="3"/>
  <c r="N38" i="3"/>
  <c r="N30" i="3"/>
  <c r="P31" i="3"/>
  <c r="W21" i="3"/>
  <c r="BU4" i="3"/>
  <c r="K12" i="3"/>
  <c r="K43" i="3"/>
  <c r="J6" i="3"/>
  <c r="U21" i="3"/>
  <c r="AA31" i="3"/>
  <c r="O6" i="3"/>
  <c r="CK3" i="4"/>
  <c r="S6" i="4"/>
  <c r="R6" i="4"/>
  <c r="Q6" i="4"/>
  <c r="P6" i="4"/>
  <c r="O6" i="4"/>
  <c r="N6" i="4"/>
  <c r="M6" i="4"/>
  <c r="AB6" i="4"/>
  <c r="AA6" i="4"/>
  <c r="Z6" i="4"/>
  <c r="Y6" i="4"/>
  <c r="X6" i="4"/>
  <c r="V6" i="4"/>
  <c r="W6" i="4"/>
  <c r="U6" i="4"/>
  <c r="J6" i="4"/>
  <c r="L6" i="4"/>
  <c r="I6" i="4"/>
  <c r="K6" i="4"/>
  <c r="O7" i="4"/>
  <c r="N7" i="4"/>
  <c r="M7" i="4"/>
  <c r="AB7" i="4"/>
  <c r="L7" i="4"/>
  <c r="AA7" i="4"/>
  <c r="K7" i="4"/>
  <c r="Z7" i="4"/>
  <c r="J7" i="4"/>
  <c r="Y7" i="4"/>
  <c r="X7" i="4"/>
  <c r="P7" i="4"/>
  <c r="W7" i="4"/>
  <c r="Q7" i="4"/>
  <c r="R7" i="4"/>
  <c r="V7" i="4"/>
  <c r="U7" i="4"/>
  <c r="S7" i="4"/>
  <c r="Z8" i="4"/>
  <c r="J8" i="4"/>
  <c r="Y8" i="4"/>
  <c r="X8" i="4"/>
  <c r="R8" i="4"/>
  <c r="W8" i="4"/>
  <c r="V8" i="4"/>
  <c r="U8" i="4"/>
  <c r="S8" i="4"/>
  <c r="AB8" i="4"/>
  <c r="AA8" i="4"/>
  <c r="Q8" i="4"/>
  <c r="P8" i="4"/>
  <c r="L8" i="4"/>
  <c r="O8" i="4"/>
  <c r="M8" i="4"/>
  <c r="N8" i="4"/>
  <c r="K8" i="4"/>
  <c r="V12" i="4"/>
  <c r="U12" i="4"/>
  <c r="S12" i="4"/>
  <c r="R12" i="4"/>
  <c r="Q12" i="4"/>
  <c r="P12" i="4"/>
  <c r="N12" i="4"/>
  <c r="O12" i="4"/>
  <c r="AA12" i="4"/>
  <c r="Z12" i="4"/>
  <c r="J12" i="4"/>
  <c r="Y12" i="4"/>
  <c r="X12" i="4"/>
  <c r="W12" i="4"/>
  <c r="M12" i="4"/>
  <c r="L12" i="4"/>
  <c r="K12" i="4"/>
  <c r="AB12" i="4"/>
  <c r="N39" i="4"/>
  <c r="M39" i="4"/>
  <c r="AB39" i="4"/>
  <c r="L39" i="4"/>
  <c r="AA39" i="4"/>
  <c r="K39" i="4"/>
  <c r="Z39" i="4"/>
  <c r="J39" i="4"/>
  <c r="Y39" i="4"/>
  <c r="X39" i="4"/>
  <c r="W39" i="4"/>
  <c r="R39" i="4"/>
  <c r="Q39" i="4"/>
  <c r="P39" i="4"/>
  <c r="O39" i="4"/>
  <c r="S39" i="4"/>
  <c r="V39" i="4"/>
  <c r="U39" i="4"/>
  <c r="I27" i="4"/>
  <c r="I36" i="4"/>
  <c r="I12" i="4"/>
  <c r="L38" i="3"/>
  <c r="I6" i="3"/>
  <c r="S10" i="3"/>
  <c r="R10" i="3"/>
  <c r="K10" i="3"/>
  <c r="W6" i="3"/>
  <c r="Z12" i="3"/>
  <c r="V32" i="3"/>
  <c r="U38" i="3"/>
  <c r="N10" i="3"/>
  <c r="S41" i="3"/>
  <c r="R41" i="3"/>
  <c r="AB41" i="3"/>
  <c r="Q21" i="4"/>
  <c r="P21" i="4"/>
  <c r="O21" i="4"/>
  <c r="N21" i="4"/>
  <c r="M21" i="4"/>
  <c r="AB21" i="4"/>
  <c r="L21" i="4"/>
  <c r="AA21" i="4"/>
  <c r="K21" i="4"/>
  <c r="Z21" i="4"/>
  <c r="J21" i="4"/>
  <c r="Y21" i="4"/>
  <c r="X21" i="4"/>
  <c r="W21" i="4"/>
  <c r="S21" i="4"/>
  <c r="V21" i="4"/>
  <c r="U21" i="4"/>
  <c r="R21" i="4"/>
  <c r="AA11" i="4"/>
  <c r="K11" i="4"/>
  <c r="S11" i="4"/>
  <c r="Z11" i="4"/>
  <c r="J11" i="4"/>
  <c r="Y11" i="4"/>
  <c r="X11" i="4"/>
  <c r="W11" i="4"/>
  <c r="V11" i="4"/>
  <c r="U11" i="4"/>
  <c r="O11" i="4"/>
  <c r="Q11" i="4"/>
  <c r="AB11" i="4"/>
  <c r="P11" i="4"/>
  <c r="R11" i="4"/>
  <c r="M11" i="4"/>
  <c r="N11" i="4"/>
  <c r="L11" i="4"/>
  <c r="V27" i="3"/>
  <c r="Q38" i="3"/>
  <c r="O30" i="3"/>
  <c r="V31" i="3"/>
  <c r="V17" i="3"/>
  <c r="K21" i="3"/>
  <c r="Y41" i="3"/>
  <c r="W38" i="3"/>
  <c r="L12" i="3"/>
  <c r="Q32" i="3"/>
  <c r="I30" i="3"/>
  <c r="AB6" i="3"/>
  <c r="I10" i="3"/>
  <c r="R13" i="3"/>
  <c r="Z13" i="3"/>
  <c r="U25" i="4"/>
  <c r="S25" i="4"/>
  <c r="R25" i="4"/>
  <c r="Q25" i="4"/>
  <c r="P25" i="4"/>
  <c r="O25" i="4"/>
  <c r="AA25" i="4"/>
  <c r="K25" i="4"/>
  <c r="Y25" i="4"/>
  <c r="X25" i="4"/>
  <c r="W25" i="4"/>
  <c r="V25" i="4"/>
  <c r="N25" i="4"/>
  <c r="M25" i="4"/>
  <c r="L25" i="4"/>
  <c r="J25" i="4"/>
  <c r="AB25" i="4"/>
  <c r="Z25" i="4"/>
  <c r="R20" i="3"/>
  <c r="S20" i="3"/>
  <c r="I19" i="4"/>
  <c r="I43" i="4"/>
  <c r="M36" i="4"/>
  <c r="AB36" i="4"/>
  <c r="L36" i="4"/>
  <c r="AA36" i="4"/>
  <c r="K36" i="4"/>
  <c r="Z36" i="4"/>
  <c r="J36" i="4"/>
  <c r="Y36" i="4"/>
  <c r="X36" i="4"/>
  <c r="W36" i="4"/>
  <c r="V36" i="4"/>
  <c r="S36" i="4"/>
  <c r="N36" i="4"/>
  <c r="U36" i="4"/>
  <c r="R36" i="4"/>
  <c r="P36" i="4"/>
  <c r="Q36" i="4"/>
  <c r="O36" i="4"/>
  <c r="S30" i="4"/>
  <c r="R30" i="4"/>
  <c r="Q30" i="4"/>
  <c r="P30" i="4"/>
  <c r="O30" i="4"/>
  <c r="N30" i="4"/>
  <c r="Y30" i="4"/>
  <c r="X30" i="4"/>
  <c r="W30" i="4"/>
  <c r="V30" i="4"/>
  <c r="U30" i="4"/>
  <c r="M30" i="4"/>
  <c r="L30" i="4"/>
  <c r="Z30" i="4"/>
  <c r="K30" i="4"/>
  <c r="J30" i="4"/>
  <c r="AB30" i="4"/>
  <c r="AA30" i="4"/>
  <c r="W43" i="3"/>
  <c r="O21" i="3"/>
  <c r="M17" i="3"/>
  <c r="I29" i="4"/>
  <c r="J38" i="3"/>
  <c r="K30" i="3"/>
  <c r="W31" i="3"/>
  <c r="AB17" i="3"/>
  <c r="L21" i="3"/>
  <c r="Z41" i="3"/>
  <c r="X38" i="3"/>
  <c r="Y12" i="3"/>
  <c r="AB14" i="3"/>
  <c r="O32" i="3"/>
  <c r="L17" i="3"/>
  <c r="M30" i="3"/>
  <c r="K14" i="3"/>
  <c r="AB10" i="3"/>
  <c r="R21" i="3"/>
  <c r="Q35" i="4"/>
  <c r="P35" i="4"/>
  <c r="O35" i="4"/>
  <c r="N35" i="4"/>
  <c r="M35" i="4"/>
  <c r="AB35" i="4"/>
  <c r="L35" i="4"/>
  <c r="AA35" i="4"/>
  <c r="K35" i="4"/>
  <c r="X35" i="4"/>
  <c r="Y35" i="4"/>
  <c r="W35" i="4"/>
  <c r="V35" i="4"/>
  <c r="U35" i="4"/>
  <c r="S35" i="4"/>
  <c r="Z35" i="4"/>
  <c r="R35" i="4"/>
  <c r="J35" i="4"/>
  <c r="I22" i="4"/>
  <c r="I40" i="4"/>
  <c r="U12" i="3"/>
  <c r="AA19" i="4"/>
  <c r="K19" i="4"/>
  <c r="Z19" i="4"/>
  <c r="J19" i="4"/>
  <c r="Y19" i="4"/>
  <c r="X19" i="4"/>
  <c r="W19" i="4"/>
  <c r="V19" i="4"/>
  <c r="U19" i="4"/>
  <c r="N19" i="4"/>
  <c r="M19" i="4"/>
  <c r="L19" i="4"/>
  <c r="AB19" i="4"/>
  <c r="S19" i="4"/>
  <c r="R19" i="4"/>
  <c r="Q19" i="4"/>
  <c r="P19" i="4"/>
  <c r="O19" i="4"/>
  <c r="R43" i="3"/>
  <c r="S43" i="3"/>
  <c r="U43" i="3"/>
  <c r="V12" i="3"/>
  <c r="U6" i="3"/>
  <c r="O17" i="3"/>
  <c r="X43" i="3"/>
  <c r="V30" i="3"/>
  <c r="K38" i="3"/>
  <c r="J31" i="3"/>
  <c r="X17" i="3"/>
  <c r="J21" i="3"/>
  <c r="AA41" i="3"/>
  <c r="Y38" i="3"/>
  <c r="L14" i="3"/>
  <c r="N32" i="3"/>
  <c r="N21" i="3"/>
  <c r="Z10" i="3"/>
  <c r="AA21" i="3"/>
  <c r="Y31" i="3"/>
  <c r="AC4" i="4"/>
  <c r="T4" i="4"/>
  <c r="N44" i="3"/>
  <c r="AA44" i="3"/>
  <c r="R44" i="3"/>
  <c r="S44" i="3"/>
  <c r="L44" i="3"/>
  <c r="R39" i="3"/>
  <c r="V39" i="3"/>
  <c r="U39" i="3"/>
  <c r="S39" i="3"/>
  <c r="O39" i="3"/>
  <c r="R18" i="3"/>
  <c r="S18" i="3"/>
  <c r="Y32" i="4"/>
  <c r="X32" i="4"/>
  <c r="W32" i="4"/>
  <c r="V32" i="4"/>
  <c r="U32" i="4"/>
  <c r="O32" i="4"/>
  <c r="N32" i="4"/>
  <c r="M32" i="4"/>
  <c r="L32" i="4"/>
  <c r="K32" i="4"/>
  <c r="J32" i="4"/>
  <c r="AA32" i="4"/>
  <c r="AB32" i="4"/>
  <c r="Q32" i="4"/>
  <c r="P32" i="4"/>
  <c r="Z32" i="4"/>
  <c r="S32" i="4"/>
  <c r="R32" i="4"/>
  <c r="I31" i="4"/>
  <c r="I37" i="4"/>
  <c r="I27" i="3"/>
  <c r="AC37" i="3"/>
  <c r="T37" i="3"/>
  <c r="T44" i="2"/>
  <c r="AC42" i="2"/>
  <c r="AC44" i="2"/>
  <c r="AC10" i="2"/>
  <c r="T37" i="2"/>
  <c r="T5" i="2"/>
  <c r="T11" i="2"/>
  <c r="AC4" i="2"/>
  <c r="AC12" i="2"/>
  <c r="T12" i="2"/>
  <c r="AC33" i="2"/>
  <c r="T13" i="2"/>
  <c r="T26" i="2"/>
  <c r="AC9" i="2"/>
  <c r="T28" i="2"/>
  <c r="T42" i="2"/>
  <c r="T27" i="2"/>
  <c r="T17" i="2"/>
  <c r="AC18" i="2"/>
  <c r="T41" i="2"/>
  <c r="AC25" i="2"/>
  <c r="AC13" i="2"/>
  <c r="AC26" i="2"/>
  <c r="T43" i="2"/>
  <c r="AC17" i="2"/>
  <c r="T21" i="2"/>
  <c r="AC11" i="2"/>
  <c r="AC41" i="2"/>
  <c r="AC43" i="2"/>
  <c r="T9" i="2"/>
  <c r="T4" i="2"/>
  <c r="AC21" i="2"/>
  <c r="T18" i="2"/>
  <c r="T33" i="2"/>
  <c r="T25" i="2"/>
  <c r="T7" i="2"/>
  <c r="T29" i="2"/>
  <c r="AC27" i="2"/>
  <c r="T30" i="2"/>
  <c r="AC30" i="2"/>
  <c r="T16" i="2"/>
  <c r="AC16" i="2"/>
  <c r="AC36" i="2"/>
  <c r="T36" i="2"/>
  <c r="T22" i="2"/>
  <c r="AC23" i="2"/>
  <c r="T32" i="2"/>
  <c r="AC32" i="2"/>
  <c r="AC14" i="2"/>
  <c r="T14" i="2"/>
  <c r="AC40" i="2"/>
  <c r="AC38" i="2"/>
  <c r="T40" i="2"/>
  <c r="T6" i="2"/>
  <c r="AC24" i="2"/>
  <c r="T20" i="2"/>
  <c r="AC20" i="2"/>
  <c r="T38" i="2"/>
  <c r="AC7" i="2"/>
  <c r="AC39" i="2"/>
  <c r="T8" i="2"/>
  <c r="T39" i="2"/>
  <c r="AC31" i="2"/>
  <c r="T31" i="2"/>
  <c r="T35" i="2"/>
  <c r="AC35" i="2"/>
  <c r="AC6" i="2"/>
  <c r="AC8" i="2"/>
  <c r="T23" i="2"/>
  <c r="AC22" i="2"/>
  <c r="T19" i="2"/>
  <c r="AC19" i="2"/>
  <c r="T24" i="2"/>
  <c r="T15" i="2"/>
  <c r="AC15" i="2"/>
  <c r="AC5" i="2"/>
  <c r="AC3" i="3"/>
  <c r="CK3" i="3"/>
  <c r="DQ3" i="3"/>
  <c r="DN4" i="2"/>
  <c r="DQ3" i="2"/>
  <c r="CK3" i="2"/>
  <c r="CL3" i="2" s="1"/>
  <c r="AQ4" i="2"/>
  <c r="BU4" i="2" s="1"/>
  <c r="AZ4" i="2"/>
  <c r="CD4" i="2" s="1"/>
  <c r="AL4" i="2"/>
  <c r="BP4" i="2" s="1"/>
  <c r="CF47" i="8" l="1"/>
  <c r="DK47" i="8"/>
  <c r="DD47" i="8"/>
  <c r="BY47" i="8"/>
  <c r="BC47" i="8"/>
  <c r="AY47" i="8"/>
  <c r="CX47" i="8"/>
  <c r="BE48" i="8"/>
  <c r="AQ48" i="8"/>
  <c r="BS47" i="8"/>
  <c r="CV47" i="8"/>
  <c r="BQ47" i="8"/>
  <c r="AP48" i="8"/>
  <c r="AN48" i="8"/>
  <c r="BD48" i="8"/>
  <c r="BD47" i="8"/>
  <c r="AO48" i="8"/>
  <c r="BJ47" i="8"/>
  <c r="CO47" i="8"/>
  <c r="AG48" i="8"/>
  <c r="AK48" i="8"/>
  <c r="AU48" i="8"/>
  <c r="DC46" i="8"/>
  <c r="DP46" i="8" s="1"/>
  <c r="DQ46" i="8" s="1"/>
  <c r="BX46" i="8"/>
  <c r="BZ46" i="8"/>
  <c r="DE46" i="8"/>
  <c r="BA47" i="8"/>
  <c r="BB48" i="8" s="1"/>
  <c r="BV46" i="8"/>
  <c r="CK46" i="8" s="1"/>
  <c r="CL46" i="8" s="1"/>
  <c r="AS47" i="8"/>
  <c r="AR47" i="8"/>
  <c r="AT47" i="8"/>
  <c r="DA46" i="8"/>
  <c r="AV47" i="8"/>
  <c r="CH46" i="8"/>
  <c r="DM46" i="8"/>
  <c r="BG46" i="8"/>
  <c r="BW46" i="8"/>
  <c r="DB46" i="8"/>
  <c r="BI47" i="8"/>
  <c r="CN47" i="8"/>
  <c r="AH48" i="8"/>
  <c r="AM48" i="8"/>
  <c r="BH47" i="8"/>
  <c r="CM47" i="8"/>
  <c r="AD48" i="8"/>
  <c r="AF48" i="8"/>
  <c r="AE48" i="8"/>
  <c r="BF47" i="8"/>
  <c r="BP47" i="8"/>
  <c r="CU47" i="8"/>
  <c r="BU47" i="8"/>
  <c r="CZ47" i="8"/>
  <c r="AI48" i="8"/>
  <c r="AJ48" i="8"/>
  <c r="CQ47" i="8"/>
  <c r="BL47" i="8"/>
  <c r="AW48" i="8"/>
  <c r="CP47" i="8"/>
  <c r="BK47" i="8"/>
  <c r="CE46" i="8"/>
  <c r="DJ46" i="8"/>
  <c r="CW47" i="8"/>
  <c r="BR47" i="8"/>
  <c r="DI47" i="8"/>
  <c r="CD47" i="8"/>
  <c r="BE47" i="8"/>
  <c r="AX47" i="8"/>
  <c r="CR47" i="8"/>
  <c r="BM47" i="8"/>
  <c r="AZ48" i="8"/>
  <c r="AL48" i="8"/>
  <c r="BN47" i="8"/>
  <c r="CS47" i="8"/>
  <c r="BT47" i="8"/>
  <c r="CY47" i="8"/>
  <c r="CT47" i="8"/>
  <c r="BO47" i="8"/>
  <c r="AW47" i="8"/>
  <c r="AX48" i="8" s="1"/>
  <c r="DH47" i="6"/>
  <c r="CC47" i="6"/>
  <c r="DG47" i="6"/>
  <c r="CB47" i="6"/>
  <c r="DB46" i="6"/>
  <c r="BW46" i="6"/>
  <c r="CE46" i="6"/>
  <c r="DJ46" i="6"/>
  <c r="BA47" i="6"/>
  <c r="DA46" i="6"/>
  <c r="DP46" i="6" s="1"/>
  <c r="DQ46" i="6" s="1"/>
  <c r="AV47" i="6"/>
  <c r="AS47" i="6"/>
  <c r="AT47" i="6"/>
  <c r="BV46" i="6"/>
  <c r="CK46" i="6" s="1"/>
  <c r="CL46" i="6" s="1"/>
  <c r="AR47" i="6"/>
  <c r="BG47" i="6" s="1"/>
  <c r="BB47" i="6"/>
  <c r="DN47" i="6"/>
  <c r="CI47" i="6"/>
  <c r="CR47" i="6"/>
  <c r="BM47" i="6"/>
  <c r="BD47" i="6"/>
  <c r="CZ47" i="6"/>
  <c r="BU47" i="6"/>
  <c r="AW47" i="6"/>
  <c r="AI48" i="6"/>
  <c r="AJ48" i="6"/>
  <c r="CQ47" i="6"/>
  <c r="BL47" i="6"/>
  <c r="AW48" i="6"/>
  <c r="AH48" i="6"/>
  <c r="CM47" i="6"/>
  <c r="AM48" i="6"/>
  <c r="AE48" i="6"/>
  <c r="AF48" i="6"/>
  <c r="AD48" i="6"/>
  <c r="BH47" i="6"/>
  <c r="CX47" i="6"/>
  <c r="BS47" i="6"/>
  <c r="BE48" i="6"/>
  <c r="AQ48" i="6"/>
  <c r="BF47" i="6"/>
  <c r="BK47" i="6"/>
  <c r="CP47" i="6"/>
  <c r="DL47" i="6"/>
  <c r="CG47" i="6"/>
  <c r="CW47" i="6"/>
  <c r="BR47" i="6"/>
  <c r="BP47" i="6"/>
  <c r="CU47" i="6"/>
  <c r="CY47" i="6"/>
  <c r="BT47" i="6"/>
  <c r="BO47" i="6"/>
  <c r="CT47" i="6"/>
  <c r="BZ46" i="6"/>
  <c r="DE46" i="6"/>
  <c r="CN47" i="6"/>
  <c r="BI47" i="6"/>
  <c r="AL48" i="6"/>
  <c r="CV47" i="6"/>
  <c r="BQ47" i="6"/>
  <c r="AP48" i="6"/>
  <c r="AN48" i="6"/>
  <c r="BX46" i="6"/>
  <c r="DC46" i="6"/>
  <c r="CD47" i="6"/>
  <c r="DI47" i="6"/>
  <c r="BG46" i="6"/>
  <c r="AK48" i="6"/>
  <c r="BJ47" i="6"/>
  <c r="AG48" i="6"/>
  <c r="AO48" i="6"/>
  <c r="CO47" i="6"/>
  <c r="AU47" i="6"/>
  <c r="AZ48" i="6"/>
  <c r="CH46" i="5"/>
  <c r="DM46" i="5"/>
  <c r="DL47" i="5"/>
  <c r="CG47" i="5"/>
  <c r="CV47" i="5"/>
  <c r="BQ47" i="5"/>
  <c r="AN48" i="5"/>
  <c r="AP48" i="5"/>
  <c r="DJ46" i="5"/>
  <c r="CE46" i="5"/>
  <c r="CZ47" i="5"/>
  <c r="BU47" i="5"/>
  <c r="BO47" i="5"/>
  <c r="CT47" i="5"/>
  <c r="DE46" i="5"/>
  <c r="BZ46" i="5"/>
  <c r="BE47" i="5"/>
  <c r="BP47" i="5"/>
  <c r="CU47" i="5"/>
  <c r="DC46" i="5"/>
  <c r="BX46" i="5"/>
  <c r="CX47" i="5"/>
  <c r="BS47" i="5"/>
  <c r="AQ48" i="5"/>
  <c r="DB46" i="5"/>
  <c r="BW46" i="5"/>
  <c r="BA47" i="5"/>
  <c r="DA46" i="5"/>
  <c r="DP46" i="5" s="1"/>
  <c r="DQ46" i="5" s="1"/>
  <c r="BV46" i="5"/>
  <c r="CK46" i="5" s="1"/>
  <c r="CL46" i="5" s="1"/>
  <c r="AR47" i="5"/>
  <c r="AS47" i="5"/>
  <c r="AT47" i="5"/>
  <c r="BC48" i="5" s="1"/>
  <c r="AV47" i="5"/>
  <c r="AX47" i="5"/>
  <c r="AW47" i="5"/>
  <c r="AX48" i="5" s="1"/>
  <c r="DG46" i="5"/>
  <c r="CB46" i="5"/>
  <c r="AI48" i="5"/>
  <c r="AJ48" i="5"/>
  <c r="CQ47" i="5"/>
  <c r="BL47" i="5"/>
  <c r="AW48" i="5"/>
  <c r="CR47" i="5"/>
  <c r="BM47" i="5"/>
  <c r="CY47" i="5"/>
  <c r="BT47" i="5"/>
  <c r="AK48" i="5"/>
  <c r="AO48" i="5"/>
  <c r="CO47" i="5"/>
  <c r="BJ47" i="5"/>
  <c r="AG48" i="5"/>
  <c r="AU48" i="5"/>
  <c r="BD47" i="5"/>
  <c r="CN47" i="5"/>
  <c r="BI47" i="5"/>
  <c r="CW47" i="5"/>
  <c r="BR47" i="5"/>
  <c r="AH48" i="5"/>
  <c r="AM48" i="5"/>
  <c r="CM47" i="5"/>
  <c r="BH47" i="5"/>
  <c r="AD48" i="5"/>
  <c r="AE48" i="5"/>
  <c r="AF48" i="5"/>
  <c r="CP47" i="5"/>
  <c r="BK47" i="5"/>
  <c r="AL48" i="5"/>
  <c r="BN47" i="5"/>
  <c r="CS47" i="5"/>
  <c r="BB47" i="5"/>
  <c r="BF47" i="5"/>
  <c r="AY47" i="5"/>
  <c r="AU47" i="5"/>
  <c r="BF48" i="5" s="1"/>
  <c r="BG46" i="5"/>
  <c r="AZ47" i="5"/>
  <c r="AZ48" i="5" s="1"/>
  <c r="DO47" i="2"/>
  <c r="CJ47" i="2"/>
  <c r="AK48" i="2"/>
  <c r="BJ47" i="2"/>
  <c r="AG48" i="2"/>
  <c r="AO48" i="2"/>
  <c r="CO47" i="2"/>
  <c r="CX47" i="2"/>
  <c r="BS47" i="2"/>
  <c r="AQ48" i="2"/>
  <c r="BP47" i="2"/>
  <c r="CU47" i="2"/>
  <c r="CN47" i="2"/>
  <c r="BI47" i="2"/>
  <c r="CB47" i="2"/>
  <c r="DG47" i="2"/>
  <c r="DI47" i="2"/>
  <c r="CD47" i="2"/>
  <c r="AH48" i="2"/>
  <c r="AD48" i="2"/>
  <c r="AE48" i="2"/>
  <c r="AF48" i="2"/>
  <c r="CM47" i="2"/>
  <c r="AM48" i="2"/>
  <c r="BH47" i="2"/>
  <c r="CZ47" i="2"/>
  <c r="BU47" i="2"/>
  <c r="CC47" i="2"/>
  <c r="DH47" i="2"/>
  <c r="CH46" i="2"/>
  <c r="DM46" i="2"/>
  <c r="CY47" i="2"/>
  <c r="BT47" i="2"/>
  <c r="CE46" i="2"/>
  <c r="DJ46" i="2"/>
  <c r="CF47" i="2"/>
  <c r="DK47" i="2"/>
  <c r="CV47" i="2"/>
  <c r="BQ47" i="2"/>
  <c r="BB48" i="2"/>
  <c r="AP48" i="2"/>
  <c r="AN48" i="2"/>
  <c r="CT47" i="2"/>
  <c r="BO47" i="2"/>
  <c r="DB46" i="2"/>
  <c r="BW46" i="2"/>
  <c r="BY47" i="2"/>
  <c r="DD47" i="2"/>
  <c r="CP47" i="2"/>
  <c r="BK47" i="2"/>
  <c r="BA47" i="2"/>
  <c r="DA46" i="2"/>
  <c r="DP46" i="2" s="1"/>
  <c r="DQ46" i="2" s="1"/>
  <c r="BV46" i="2"/>
  <c r="CK46" i="2" s="1"/>
  <c r="CL46" i="2" s="1"/>
  <c r="AT47" i="2"/>
  <c r="AU48" i="2" s="1"/>
  <c r="AR47" i="2"/>
  <c r="BG47" i="2" s="1"/>
  <c r="AS47" i="2"/>
  <c r="AV47" i="2"/>
  <c r="AI48" i="2"/>
  <c r="AJ48" i="2"/>
  <c r="CQ47" i="2"/>
  <c r="BL47" i="2"/>
  <c r="DK46" i="2"/>
  <c r="CF46" i="2"/>
  <c r="DL47" i="2"/>
  <c r="CG47" i="2"/>
  <c r="BD47" i="2"/>
  <c r="BX46" i="2"/>
  <c r="DC46" i="2"/>
  <c r="AL48" i="2"/>
  <c r="BE47" i="2"/>
  <c r="CW47" i="2"/>
  <c r="BR47" i="2"/>
  <c r="BZ46" i="2"/>
  <c r="DE46" i="2"/>
  <c r="AW47" i="2"/>
  <c r="AW48" i="2" s="1"/>
  <c r="AZ48" i="2"/>
  <c r="BO47" i="4"/>
  <c r="CT47" i="4"/>
  <c r="CI47" i="4"/>
  <c r="DN47" i="4"/>
  <c r="DC46" i="4"/>
  <c r="BX46" i="4"/>
  <c r="DJ46" i="4"/>
  <c r="CE46" i="4"/>
  <c r="AH48" i="4"/>
  <c r="BG47" i="4"/>
  <c r="BH47" i="4"/>
  <c r="AE48" i="4"/>
  <c r="CM47" i="4"/>
  <c r="AD48" i="4"/>
  <c r="AF48" i="4"/>
  <c r="AM48" i="4"/>
  <c r="AU47" i="4"/>
  <c r="AY47" i="4"/>
  <c r="AZ48" i="4" s="1"/>
  <c r="CW47" i="4"/>
  <c r="BR47" i="4"/>
  <c r="BC47" i="4"/>
  <c r="AI48" i="4"/>
  <c r="AW48" i="4"/>
  <c r="BL47" i="4"/>
  <c r="CQ47" i="4"/>
  <c r="AJ48" i="4"/>
  <c r="CZ47" i="4"/>
  <c r="BU47" i="4"/>
  <c r="BP47" i="4"/>
  <c r="CU47" i="4"/>
  <c r="BA47" i="4"/>
  <c r="BV46" i="4"/>
  <c r="DA46" i="4"/>
  <c r="AR47" i="4"/>
  <c r="AT47" i="4"/>
  <c r="AV47" i="4"/>
  <c r="AS47" i="4"/>
  <c r="CO47" i="4"/>
  <c r="AG48" i="4"/>
  <c r="AU48" i="4"/>
  <c r="BC48" i="4"/>
  <c r="AO48" i="4"/>
  <c r="AK48" i="4"/>
  <c r="AY48" i="4"/>
  <c r="BJ47" i="4"/>
  <c r="AQ48" i="4"/>
  <c r="CX47" i="4"/>
  <c r="BS47" i="4"/>
  <c r="BF47" i="4"/>
  <c r="BB47" i="4"/>
  <c r="CV47" i="4"/>
  <c r="BQ47" i="4"/>
  <c r="BB48" i="4"/>
  <c r="AN48" i="4"/>
  <c r="AP48" i="4"/>
  <c r="BD48" i="4"/>
  <c r="CP47" i="4"/>
  <c r="BK47" i="4"/>
  <c r="CA47" i="4"/>
  <c r="DF47" i="4"/>
  <c r="CR47" i="4"/>
  <c r="BM47" i="4"/>
  <c r="AL48" i="4"/>
  <c r="BN47" i="4"/>
  <c r="CS47" i="4"/>
  <c r="DE46" i="4"/>
  <c r="BZ46" i="4"/>
  <c r="DB46" i="4"/>
  <c r="DP46" i="4" s="1"/>
  <c r="DQ46" i="4" s="1"/>
  <c r="BW46" i="4"/>
  <c r="CK46" i="4" s="1"/>
  <c r="CL46" i="4" s="1"/>
  <c r="DI47" i="4"/>
  <c r="CD47" i="4"/>
  <c r="BI47" i="4"/>
  <c r="CN47" i="4"/>
  <c r="BT47" i="4"/>
  <c r="CY47" i="4"/>
  <c r="BD47" i="4"/>
  <c r="AX47" i="4"/>
  <c r="DL60" i="3"/>
  <c r="CG60" i="3"/>
  <c r="CC61" i="3"/>
  <c r="DH61" i="3"/>
  <c r="DJ60" i="3"/>
  <c r="CE60" i="3"/>
  <c r="CV61" i="3"/>
  <c r="BQ61" i="3"/>
  <c r="AP62" i="3"/>
  <c r="AN62" i="3"/>
  <c r="DA60" i="3"/>
  <c r="DP60" i="3" s="1"/>
  <c r="DQ60" i="3" s="1"/>
  <c r="BA61" i="3"/>
  <c r="BB62" i="3" s="1"/>
  <c r="BV60" i="3"/>
  <c r="CK60" i="3" s="1"/>
  <c r="CL60" i="3" s="1"/>
  <c r="AR61" i="3"/>
  <c r="AT61" i="3"/>
  <c r="AS61" i="3"/>
  <c r="AV61" i="3"/>
  <c r="DB60" i="3"/>
  <c r="BW60" i="3"/>
  <c r="BP61" i="3"/>
  <c r="CU61" i="3"/>
  <c r="BS61" i="3"/>
  <c r="CX61" i="3"/>
  <c r="AQ62" i="3"/>
  <c r="BE62" i="3"/>
  <c r="CP61" i="3"/>
  <c r="BK61" i="3"/>
  <c r="DF60" i="3"/>
  <c r="CA60" i="3"/>
  <c r="CD61" i="3"/>
  <c r="DI61" i="3"/>
  <c r="BO61" i="3"/>
  <c r="CT61" i="3"/>
  <c r="CH60" i="3"/>
  <c r="DM60" i="3"/>
  <c r="DK60" i="3"/>
  <c r="CF60" i="3"/>
  <c r="CY61" i="3"/>
  <c r="BT61" i="3"/>
  <c r="DG61" i="3"/>
  <c r="CB61" i="3"/>
  <c r="CZ61" i="3"/>
  <c r="BU61" i="3"/>
  <c r="CI61" i="3"/>
  <c r="DN61" i="3"/>
  <c r="DL61" i="3"/>
  <c r="CG61" i="3"/>
  <c r="AX62" i="3"/>
  <c r="AI62" i="3"/>
  <c r="AJ62" i="3"/>
  <c r="AW62" i="3"/>
  <c r="CQ61" i="3"/>
  <c r="BL61" i="3"/>
  <c r="CR61" i="3"/>
  <c r="BM61" i="3"/>
  <c r="DD61" i="3"/>
  <c r="BY61" i="3"/>
  <c r="AY62" i="3"/>
  <c r="AK62" i="3"/>
  <c r="BJ61" i="3"/>
  <c r="CO61" i="3"/>
  <c r="AG62" i="3"/>
  <c r="BC62" i="3"/>
  <c r="AO62" i="3"/>
  <c r="AU62" i="3"/>
  <c r="BD61" i="3"/>
  <c r="DO61" i="3"/>
  <c r="CJ61" i="3"/>
  <c r="AH62" i="3"/>
  <c r="BH61" i="3"/>
  <c r="AM62" i="3"/>
  <c r="CM61" i="3"/>
  <c r="AE62" i="3"/>
  <c r="AD62" i="3"/>
  <c r="AF62" i="3"/>
  <c r="DF61" i="3"/>
  <c r="CA61" i="3"/>
  <c r="BY60" i="3"/>
  <c r="DD60" i="3"/>
  <c r="CW61" i="3"/>
  <c r="BR61" i="3"/>
  <c r="CN61" i="3"/>
  <c r="BI61" i="3"/>
  <c r="AL62" i="3"/>
  <c r="AZ62" i="3"/>
  <c r="CS61" i="3"/>
  <c r="BN61" i="3"/>
  <c r="BB61" i="3"/>
  <c r="T55" i="3"/>
  <c r="AC47" i="3"/>
  <c r="T45" i="3"/>
  <c r="AC45" i="3"/>
  <c r="T46" i="3"/>
  <c r="T54" i="3"/>
  <c r="AC54" i="3"/>
  <c r="AC56" i="3"/>
  <c r="T56" i="3"/>
  <c r="AC49" i="3"/>
  <c r="T49" i="3"/>
  <c r="AC51" i="3"/>
  <c r="T51" i="3"/>
  <c r="AC46" i="3"/>
  <c r="T57" i="3"/>
  <c r="AC57" i="3"/>
  <c r="T52" i="3"/>
  <c r="AC52" i="3"/>
  <c r="AC53" i="3"/>
  <c r="T53" i="3"/>
  <c r="T58" i="3"/>
  <c r="AC58" i="3"/>
  <c r="AC55" i="3"/>
  <c r="CL3" i="3"/>
  <c r="AC50" i="3"/>
  <c r="T50" i="3"/>
  <c r="AC40" i="3"/>
  <c r="CI4" i="3"/>
  <c r="CD4" i="3"/>
  <c r="AC29" i="8"/>
  <c r="T29" i="8"/>
  <c r="DN4" i="5"/>
  <c r="CI4" i="5"/>
  <c r="AF4" i="5"/>
  <c r="BF4" i="5"/>
  <c r="DO4" i="5" s="1"/>
  <c r="AP4" i="5"/>
  <c r="CY4" i="5" s="1"/>
  <c r="AG4" i="5"/>
  <c r="CP4" i="5" s="1"/>
  <c r="AN4" i="5"/>
  <c r="CW4" i="5" s="1"/>
  <c r="AE4" i="5"/>
  <c r="CN4" i="5" s="1"/>
  <c r="AO4" i="5"/>
  <c r="CX4" i="5" s="1"/>
  <c r="AI4" i="5"/>
  <c r="CR4" i="5" s="1"/>
  <c r="AY4" i="5"/>
  <c r="DH4" i="5" s="1"/>
  <c r="AK4" i="5"/>
  <c r="CT4" i="5" s="1"/>
  <c r="AD4" i="5"/>
  <c r="CM4" i="5" s="1"/>
  <c r="AH4" i="5"/>
  <c r="CQ4" i="5" s="1"/>
  <c r="AM4" i="5"/>
  <c r="CV4" i="5" s="1"/>
  <c r="T5" i="8"/>
  <c r="AC5" i="8"/>
  <c r="AJ4" i="5"/>
  <c r="CS4" i="5" s="1"/>
  <c r="T38" i="8"/>
  <c r="AC38" i="8"/>
  <c r="T41" i="8"/>
  <c r="AC41" i="8"/>
  <c r="AC23" i="8"/>
  <c r="T23" i="8"/>
  <c r="AR4" i="8"/>
  <c r="DA4" i="8" s="1"/>
  <c r="BA4" i="8"/>
  <c r="DJ4" i="8" s="1"/>
  <c r="AT4" i="8"/>
  <c r="DC4" i="8" s="1"/>
  <c r="AV4" i="8"/>
  <c r="DE4" i="8" s="1"/>
  <c r="AS4" i="8"/>
  <c r="DB4" i="8" s="1"/>
  <c r="T24" i="8"/>
  <c r="AC24" i="8"/>
  <c r="AC40" i="8"/>
  <c r="T40" i="8"/>
  <c r="T28" i="8"/>
  <c r="AC28" i="8"/>
  <c r="AF4" i="6"/>
  <c r="CO4" i="6" s="1"/>
  <c r="AC39" i="8"/>
  <c r="T39" i="8"/>
  <c r="AD4" i="6"/>
  <c r="CM4" i="6" s="1"/>
  <c r="AC9" i="8"/>
  <c r="T9" i="8"/>
  <c r="T40" i="3"/>
  <c r="AC11" i="8"/>
  <c r="T11" i="8"/>
  <c r="AP4" i="6"/>
  <c r="CY4" i="6" s="1"/>
  <c r="AC21" i="8"/>
  <c r="T21" i="8"/>
  <c r="AC37" i="8"/>
  <c r="T37" i="8"/>
  <c r="T18" i="8"/>
  <c r="AC18" i="8"/>
  <c r="AC30" i="8"/>
  <c r="T30" i="8"/>
  <c r="AC10" i="8"/>
  <c r="T10" i="8"/>
  <c r="CD4" i="8"/>
  <c r="AC8" i="8"/>
  <c r="T8" i="8"/>
  <c r="AJ4" i="6"/>
  <c r="CS4" i="6" s="1"/>
  <c r="AI4" i="6"/>
  <c r="CR4" i="6" s="1"/>
  <c r="AE4" i="6"/>
  <c r="CN4" i="6" s="1"/>
  <c r="AH4" i="6"/>
  <c r="CQ4" i="6" s="1"/>
  <c r="AG4" i="6"/>
  <c r="CP4" i="6" s="1"/>
  <c r="BB4" i="4"/>
  <c r="DK4" i="4" s="1"/>
  <c r="AO4" i="6"/>
  <c r="CX4" i="6" s="1"/>
  <c r="BP4" i="8"/>
  <c r="AM4" i="6"/>
  <c r="CV4" i="6" s="1"/>
  <c r="T12" i="8"/>
  <c r="AC12" i="8"/>
  <c r="AC27" i="8"/>
  <c r="T27" i="8"/>
  <c r="AC34" i="8"/>
  <c r="T34" i="8"/>
  <c r="T22" i="8"/>
  <c r="AC22" i="8"/>
  <c r="BD4" i="6"/>
  <c r="DM4" i="6" s="1"/>
  <c r="AC10" i="5"/>
  <c r="AP4" i="8"/>
  <c r="AO4" i="8"/>
  <c r="AU4" i="8"/>
  <c r="DD4" i="8" s="1"/>
  <c r="AM4" i="8"/>
  <c r="CV4" i="8" s="1"/>
  <c r="AK4" i="8"/>
  <c r="AN4" i="8"/>
  <c r="CW4" i="8" s="1"/>
  <c r="AJ4" i="8"/>
  <c r="AH4" i="8"/>
  <c r="CQ4" i="8" s="1"/>
  <c r="BD4" i="8"/>
  <c r="AG4" i="8"/>
  <c r="CP4" i="8" s="1"/>
  <c r="BB4" i="8"/>
  <c r="DK4" i="8" s="1"/>
  <c r="AY4" i="8"/>
  <c r="AF4" i="8"/>
  <c r="CO4" i="8" s="1"/>
  <c r="AX4" i="8"/>
  <c r="AW4" i="8"/>
  <c r="DF4" i="8" s="1"/>
  <c r="AI4" i="8"/>
  <c r="CR4" i="8" s="1"/>
  <c r="AD4" i="8"/>
  <c r="CM4" i="8" s="1"/>
  <c r="AE4" i="8"/>
  <c r="CN4" i="8" s="1"/>
  <c r="BC4" i="8"/>
  <c r="BF4" i="8"/>
  <c r="AC33" i="8"/>
  <c r="T33" i="8"/>
  <c r="AC13" i="8"/>
  <c r="T13" i="8"/>
  <c r="T17" i="8"/>
  <c r="AC17" i="8"/>
  <c r="AC7" i="8"/>
  <c r="T7" i="8"/>
  <c r="T44" i="8"/>
  <c r="AC44" i="8"/>
  <c r="T19" i="8"/>
  <c r="AC19" i="8"/>
  <c r="AC25" i="8"/>
  <c r="T25" i="8"/>
  <c r="AC6" i="8"/>
  <c r="T6" i="8"/>
  <c r="T32" i="8"/>
  <c r="AC32" i="8"/>
  <c r="CL3" i="8"/>
  <c r="AE4" i="4"/>
  <c r="CN4" i="4" s="1"/>
  <c r="BP4" i="3"/>
  <c r="T35" i="8"/>
  <c r="AC35" i="8"/>
  <c r="T26" i="8"/>
  <c r="AC26" i="8"/>
  <c r="AF4" i="4"/>
  <c r="CO4" i="4" s="1"/>
  <c r="CZ4" i="4"/>
  <c r="BU4" i="4"/>
  <c r="AC36" i="8"/>
  <c r="T36" i="8"/>
  <c r="T44" i="6"/>
  <c r="AC44" i="6"/>
  <c r="T41" i="6"/>
  <c r="AC41" i="6"/>
  <c r="BY4" i="6"/>
  <c r="AC22" i="6"/>
  <c r="T22" i="6"/>
  <c r="T27" i="6"/>
  <c r="AC27" i="6"/>
  <c r="AC17" i="6"/>
  <c r="T17" i="6"/>
  <c r="T40" i="6"/>
  <c r="AC40" i="6"/>
  <c r="AC30" i="6"/>
  <c r="T30" i="6"/>
  <c r="T16" i="4"/>
  <c r="T43" i="6"/>
  <c r="AC43" i="6"/>
  <c r="T12" i="6"/>
  <c r="AC12" i="6"/>
  <c r="T15" i="6"/>
  <c r="AC15" i="6"/>
  <c r="T26" i="6"/>
  <c r="AC26" i="6"/>
  <c r="BU4" i="5"/>
  <c r="CI4" i="6"/>
  <c r="BK4" i="6"/>
  <c r="AC16" i="4"/>
  <c r="AC9" i="6"/>
  <c r="T9" i="6"/>
  <c r="BH4" i="6"/>
  <c r="AC28" i="6"/>
  <c r="T28" i="6"/>
  <c r="AC24" i="6"/>
  <c r="T24" i="6"/>
  <c r="AC6" i="6"/>
  <c r="T6" i="6"/>
  <c r="BA4" i="6"/>
  <c r="DJ4" i="6" s="1"/>
  <c r="AV4" i="6"/>
  <c r="DE4" i="6" s="1"/>
  <c r="AT4" i="6"/>
  <c r="DC4" i="6" s="1"/>
  <c r="AS4" i="6"/>
  <c r="DB4" i="6" s="1"/>
  <c r="AR4" i="6"/>
  <c r="DA4" i="6" s="1"/>
  <c r="AW4" i="6"/>
  <c r="DF4" i="6" s="1"/>
  <c r="T7" i="6"/>
  <c r="AC7" i="6"/>
  <c r="AC5" i="6"/>
  <c r="T5" i="6"/>
  <c r="AC11" i="6"/>
  <c r="T11" i="6"/>
  <c r="AC19" i="6"/>
  <c r="T19" i="6"/>
  <c r="T37" i="6"/>
  <c r="AC37" i="6"/>
  <c r="BL4" i="6"/>
  <c r="AC21" i="6"/>
  <c r="T21" i="6"/>
  <c r="AC35" i="6"/>
  <c r="T35" i="6"/>
  <c r="AC38" i="6"/>
  <c r="T38" i="6"/>
  <c r="AX4" i="6"/>
  <c r="DG4" i="6" s="1"/>
  <c r="DI4" i="5"/>
  <c r="CD4" i="5"/>
  <c r="T13" i="6"/>
  <c r="AC13" i="6"/>
  <c r="AC39" i="6"/>
  <c r="T39" i="6"/>
  <c r="CL3" i="6"/>
  <c r="AC36" i="6"/>
  <c r="T36" i="6"/>
  <c r="T34" i="6"/>
  <c r="AC34" i="6"/>
  <c r="CD4" i="6"/>
  <c r="AY4" i="6"/>
  <c r="DH4" i="6" s="1"/>
  <c r="J8" i="5"/>
  <c r="Z8" i="5"/>
  <c r="Y8" i="5"/>
  <c r="N8" i="5"/>
  <c r="O8" i="5"/>
  <c r="M8" i="5"/>
  <c r="AB8" i="5"/>
  <c r="L8" i="5"/>
  <c r="I8" i="5"/>
  <c r="AA8" i="5"/>
  <c r="K8" i="5"/>
  <c r="X8" i="5"/>
  <c r="S8" i="5"/>
  <c r="R8" i="5"/>
  <c r="P8" i="5"/>
  <c r="W8" i="5"/>
  <c r="Q8" i="5"/>
  <c r="U8" i="5"/>
  <c r="V8" i="5"/>
  <c r="BN4" i="6"/>
  <c r="T16" i="6"/>
  <c r="AC16" i="6"/>
  <c r="AC33" i="6"/>
  <c r="T33" i="6"/>
  <c r="P21" i="5"/>
  <c r="I21" i="5"/>
  <c r="O21" i="5"/>
  <c r="N21" i="5"/>
  <c r="M21" i="5"/>
  <c r="W21" i="5"/>
  <c r="V21" i="5"/>
  <c r="X21" i="5"/>
  <c r="S21" i="5"/>
  <c r="Z21" i="5"/>
  <c r="U21" i="5"/>
  <c r="R21" i="5"/>
  <c r="AB21" i="5"/>
  <c r="Q21" i="5"/>
  <c r="Y21" i="5"/>
  <c r="L21" i="5"/>
  <c r="J21" i="5"/>
  <c r="K21" i="5"/>
  <c r="AA21" i="5"/>
  <c r="T29" i="6"/>
  <c r="AC29" i="6"/>
  <c r="T20" i="6"/>
  <c r="AC20" i="6"/>
  <c r="AG5" i="6"/>
  <c r="CP5" i="6" s="1"/>
  <c r="BJ4" i="6"/>
  <c r="BO4" i="6"/>
  <c r="T31" i="6"/>
  <c r="AC31" i="6"/>
  <c r="T23" i="6"/>
  <c r="AC23" i="6"/>
  <c r="AA31" i="5"/>
  <c r="Y31" i="5"/>
  <c r="O31" i="5"/>
  <c r="R31" i="5"/>
  <c r="K31" i="5"/>
  <c r="P31" i="5"/>
  <c r="N31" i="5"/>
  <c r="S31" i="5"/>
  <c r="Q31" i="5"/>
  <c r="V31" i="5"/>
  <c r="M31" i="5"/>
  <c r="AB31" i="5"/>
  <c r="L31" i="5"/>
  <c r="X31" i="5"/>
  <c r="W31" i="5"/>
  <c r="Z31" i="5"/>
  <c r="U31" i="5"/>
  <c r="J31" i="5"/>
  <c r="BF4" i="6"/>
  <c r="BB4" i="6"/>
  <c r="DK4" i="6" s="1"/>
  <c r="AC14" i="6"/>
  <c r="T14" i="6"/>
  <c r="BR4" i="6"/>
  <c r="AN5" i="6"/>
  <c r="CW5" i="6" s="1"/>
  <c r="BQ4" i="6"/>
  <c r="AC42" i="6"/>
  <c r="T42" i="6"/>
  <c r="AC25" i="6"/>
  <c r="T25" i="6"/>
  <c r="AC32" i="6"/>
  <c r="T32" i="6"/>
  <c r="T18" i="6"/>
  <c r="AC18" i="6"/>
  <c r="T10" i="6"/>
  <c r="AC10" i="6"/>
  <c r="BS4" i="6"/>
  <c r="BC4" i="6"/>
  <c r="DL4" i="6" s="1"/>
  <c r="AC41" i="4"/>
  <c r="AC32" i="5"/>
  <c r="T32" i="5"/>
  <c r="T6" i="5"/>
  <c r="AC6" i="5"/>
  <c r="AC19" i="5"/>
  <c r="T19" i="5"/>
  <c r="AF4" i="3"/>
  <c r="CO4" i="3" s="1"/>
  <c r="AM4" i="3"/>
  <c r="CV4" i="3" s="1"/>
  <c r="AP4" i="3"/>
  <c r="CY4" i="3" s="1"/>
  <c r="T34" i="5"/>
  <c r="AC34" i="5"/>
  <c r="T22" i="5"/>
  <c r="AC22" i="5"/>
  <c r="T37" i="5"/>
  <c r="AC37" i="5"/>
  <c r="T35" i="5"/>
  <c r="AC35" i="5"/>
  <c r="AC36" i="5"/>
  <c r="T36" i="5"/>
  <c r="AC11" i="5"/>
  <c r="T11" i="5"/>
  <c r="AT4" i="4"/>
  <c r="DC4" i="4" s="1"/>
  <c r="T41" i="5"/>
  <c r="AC41" i="5"/>
  <c r="AV4" i="4"/>
  <c r="DE4" i="4" s="1"/>
  <c r="AR4" i="4"/>
  <c r="DA4" i="4" s="1"/>
  <c r="AT4" i="5"/>
  <c r="DC4" i="5" s="1"/>
  <c r="AS4" i="5"/>
  <c r="DB4" i="5" s="1"/>
  <c r="AR4" i="5"/>
  <c r="DA4" i="5" s="1"/>
  <c r="BA4" i="5"/>
  <c r="DJ4" i="5" s="1"/>
  <c r="AV4" i="5"/>
  <c r="DE4" i="5" s="1"/>
  <c r="T27" i="5"/>
  <c r="AC27" i="5"/>
  <c r="AX4" i="5"/>
  <c r="DG4" i="5" s="1"/>
  <c r="AC17" i="5"/>
  <c r="T17" i="5"/>
  <c r="BB4" i="5"/>
  <c r="DK4" i="5" s="1"/>
  <c r="AW4" i="4"/>
  <c r="DF4" i="4" s="1"/>
  <c r="T16" i="5"/>
  <c r="AC16" i="5"/>
  <c r="T38" i="5"/>
  <c r="AC38" i="5"/>
  <c r="T12" i="5"/>
  <c r="AC12" i="5"/>
  <c r="AC20" i="5"/>
  <c r="T20" i="5"/>
  <c r="T23" i="5"/>
  <c r="AC23" i="5"/>
  <c r="BF4" i="4"/>
  <c r="DO4" i="4" s="1"/>
  <c r="BD4" i="4"/>
  <c r="DM4" i="4" s="1"/>
  <c r="AP5" i="5"/>
  <c r="CY5" i="5" s="1"/>
  <c r="BQ4" i="5"/>
  <c r="T33" i="5"/>
  <c r="AC33" i="5"/>
  <c r="AC29" i="5"/>
  <c r="T29" i="5"/>
  <c r="BT4" i="5"/>
  <c r="T30" i="5"/>
  <c r="AC30" i="5"/>
  <c r="AC43" i="5"/>
  <c r="T43" i="5"/>
  <c r="AC7" i="5"/>
  <c r="T7" i="5"/>
  <c r="AW4" i="5"/>
  <c r="DF4" i="5" s="1"/>
  <c r="AU4" i="4"/>
  <c r="DD4" i="4" s="1"/>
  <c r="T42" i="5"/>
  <c r="AC42" i="5"/>
  <c r="BC4" i="4"/>
  <c r="DL4" i="4" s="1"/>
  <c r="AC18" i="5"/>
  <c r="T18" i="5"/>
  <c r="AC15" i="5"/>
  <c r="T15" i="5"/>
  <c r="BR4" i="5"/>
  <c r="T40" i="5"/>
  <c r="AC40" i="5"/>
  <c r="BD4" i="5"/>
  <c r="DM4" i="5" s="1"/>
  <c r="AC14" i="5"/>
  <c r="T14" i="5"/>
  <c r="AL5" i="5"/>
  <c r="CU5" i="5" s="1"/>
  <c r="BN4" i="5"/>
  <c r="AC39" i="5"/>
  <c r="T39" i="5"/>
  <c r="AC9" i="5"/>
  <c r="T9" i="5"/>
  <c r="AS4" i="4"/>
  <c r="DB4" i="4" s="1"/>
  <c r="T5" i="5"/>
  <c r="AC5" i="5"/>
  <c r="T44" i="5"/>
  <c r="AC44" i="5"/>
  <c r="AX4" i="4"/>
  <c r="DG4" i="4" s="1"/>
  <c r="CL3" i="5"/>
  <c r="AC24" i="5"/>
  <c r="T24" i="5"/>
  <c r="BC4" i="5"/>
  <c r="T13" i="5"/>
  <c r="AC13" i="5"/>
  <c r="AC25" i="5"/>
  <c r="T25" i="5"/>
  <c r="AC26" i="5"/>
  <c r="T26" i="5"/>
  <c r="AC28" i="5"/>
  <c r="T28" i="5"/>
  <c r="AU4" i="5"/>
  <c r="DD4" i="5" s="1"/>
  <c r="AC13" i="4"/>
  <c r="AC7" i="3"/>
  <c r="AC44" i="3"/>
  <c r="T19" i="3"/>
  <c r="T7" i="3"/>
  <c r="T13" i="4"/>
  <c r="T25" i="3"/>
  <c r="T43" i="3"/>
  <c r="AC19" i="3"/>
  <c r="AC24" i="3"/>
  <c r="AC23" i="3"/>
  <c r="AC26" i="4"/>
  <c r="AC11" i="3"/>
  <c r="AC8" i="3"/>
  <c r="T24" i="3"/>
  <c r="T26" i="4"/>
  <c r="T22" i="3"/>
  <c r="T23" i="3"/>
  <c r="T36" i="3"/>
  <c r="AC22" i="3"/>
  <c r="T8" i="3"/>
  <c r="T15" i="3"/>
  <c r="AC25" i="3"/>
  <c r="T5" i="3"/>
  <c r="AC5" i="3"/>
  <c r="AC35" i="3"/>
  <c r="T29" i="3"/>
  <c r="T33" i="3"/>
  <c r="T35" i="3"/>
  <c r="T44" i="3"/>
  <c r="T16" i="3"/>
  <c r="AC26" i="3"/>
  <c r="AC14" i="3"/>
  <c r="T13" i="3"/>
  <c r="AC36" i="3"/>
  <c r="AC34" i="3"/>
  <c r="AC20" i="3"/>
  <c r="T9" i="3"/>
  <c r="T17" i="3"/>
  <c r="AC21" i="3"/>
  <c r="T42" i="3"/>
  <c r="AC13" i="3"/>
  <c r="AC33" i="3"/>
  <c r="AC10" i="3"/>
  <c r="T11" i="3"/>
  <c r="AC9" i="3"/>
  <c r="T41" i="3"/>
  <c r="AC31" i="3"/>
  <c r="T14" i="3"/>
  <c r="AC29" i="3"/>
  <c r="T34" i="3"/>
  <c r="T21" i="3"/>
  <c r="T18" i="3"/>
  <c r="AC18" i="3"/>
  <c r="T28" i="3"/>
  <c r="T31" i="3"/>
  <c r="AC32" i="3"/>
  <c r="T10" i="3"/>
  <c r="AP5" i="4"/>
  <c r="CY5" i="4" s="1"/>
  <c r="BB5" i="4"/>
  <c r="DK5" i="4" s="1"/>
  <c r="CE4" i="4"/>
  <c r="AN5" i="4"/>
  <c r="CW5" i="4" s="1"/>
  <c r="BV4" i="4"/>
  <c r="AQ5" i="4"/>
  <c r="CZ5" i="4" s="1"/>
  <c r="BS4" i="4"/>
  <c r="T32" i="4"/>
  <c r="AC32" i="4"/>
  <c r="CC4" i="4"/>
  <c r="BT4" i="4"/>
  <c r="AC15" i="3"/>
  <c r="AC16" i="3"/>
  <c r="T19" i="4"/>
  <c r="AC19" i="4"/>
  <c r="AC42" i="3"/>
  <c r="T12" i="3"/>
  <c r="AC28" i="3"/>
  <c r="CF4" i="4"/>
  <c r="T20" i="3"/>
  <c r="T39" i="3"/>
  <c r="AC43" i="3"/>
  <c r="CL3" i="4"/>
  <c r="AC41" i="3"/>
  <c r="BK4" i="4"/>
  <c r="T14" i="4"/>
  <c r="AC14" i="4"/>
  <c r="T6" i="4"/>
  <c r="AC6" i="4"/>
  <c r="T26" i="3"/>
  <c r="AC10" i="4"/>
  <c r="T10" i="4"/>
  <c r="T33" i="4"/>
  <c r="AC33" i="4"/>
  <c r="T17" i="4"/>
  <c r="AC17" i="4"/>
  <c r="T6" i="3"/>
  <c r="AC31" i="4"/>
  <c r="T31" i="4"/>
  <c r="BM4" i="4"/>
  <c r="BZ4" i="4"/>
  <c r="T37" i="4"/>
  <c r="AC37" i="4"/>
  <c r="AC35" i="4"/>
  <c r="T35" i="4"/>
  <c r="T27" i="4"/>
  <c r="AC27" i="4"/>
  <c r="AC17" i="3"/>
  <c r="AM5" i="4"/>
  <c r="CV5" i="4" s="1"/>
  <c r="AH5" i="4"/>
  <c r="CQ5" i="4" s="1"/>
  <c r="AE5" i="4"/>
  <c r="CN5" i="4" s="1"/>
  <c r="AD5" i="4"/>
  <c r="CM5" i="4" s="1"/>
  <c r="BH4" i="4"/>
  <c r="T44" i="4"/>
  <c r="AC44" i="4"/>
  <c r="AL5" i="4"/>
  <c r="CU5" i="4" s="1"/>
  <c r="BN4" i="4"/>
  <c r="T22" i="4"/>
  <c r="AC22" i="4"/>
  <c r="T27" i="3"/>
  <c r="AC42" i="4"/>
  <c r="T42" i="4"/>
  <c r="T24" i="4"/>
  <c r="AC24" i="4"/>
  <c r="AC23" i="4"/>
  <c r="T23" i="4"/>
  <c r="AC38" i="4"/>
  <c r="T38" i="4"/>
  <c r="AC38" i="3"/>
  <c r="AC12" i="3"/>
  <c r="T25" i="4"/>
  <c r="AC25" i="4"/>
  <c r="BO4" i="4"/>
  <c r="T20" i="4"/>
  <c r="AC20" i="4"/>
  <c r="T40" i="4"/>
  <c r="AC40" i="4"/>
  <c r="AC21" i="4"/>
  <c r="T21" i="4"/>
  <c r="T30" i="4"/>
  <c r="AC30" i="4"/>
  <c r="AC36" i="4"/>
  <c r="T36" i="4"/>
  <c r="T5" i="4"/>
  <c r="AC5" i="4"/>
  <c r="BY4" i="4"/>
  <c r="T30" i="3"/>
  <c r="AC29" i="4"/>
  <c r="T29" i="4"/>
  <c r="BR4" i="4"/>
  <c r="T9" i="4"/>
  <c r="AC9" i="4"/>
  <c r="AC30" i="3"/>
  <c r="T8" i="4"/>
  <c r="AC8" i="4"/>
  <c r="T43" i="4"/>
  <c r="AC43" i="4"/>
  <c r="BI4" i="4"/>
  <c r="T32" i="3"/>
  <c r="T38" i="3"/>
  <c r="T11" i="4"/>
  <c r="AC11" i="4"/>
  <c r="AJ5" i="4"/>
  <c r="CS5" i="4" s="1"/>
  <c r="AI5" i="4"/>
  <c r="CR5" i="4" s="1"/>
  <c r="AW5" i="4"/>
  <c r="DF5" i="4" s="1"/>
  <c r="BL4" i="4"/>
  <c r="AC6" i="3"/>
  <c r="T34" i="4"/>
  <c r="AC34" i="4"/>
  <c r="AC39" i="4"/>
  <c r="T39" i="4"/>
  <c r="T12" i="4"/>
  <c r="AC12" i="4"/>
  <c r="AC7" i="4"/>
  <c r="T7" i="4"/>
  <c r="AC18" i="4"/>
  <c r="T18" i="4"/>
  <c r="AC39" i="3"/>
  <c r="T15" i="4"/>
  <c r="AC15" i="4"/>
  <c r="CA4" i="4"/>
  <c r="AC27" i="3"/>
  <c r="BA4" i="3"/>
  <c r="DJ4" i="3" s="1"/>
  <c r="AD4" i="3"/>
  <c r="CM4" i="3" s="1"/>
  <c r="AS4" i="3"/>
  <c r="AU4" i="3"/>
  <c r="DD4" i="3" s="1"/>
  <c r="AX4" i="3"/>
  <c r="DG4" i="3" s="1"/>
  <c r="AH4" i="3"/>
  <c r="CQ4" i="3" s="1"/>
  <c r="AV4" i="3"/>
  <c r="DE4" i="3" s="1"/>
  <c r="BB4" i="3"/>
  <c r="DK4" i="3" s="1"/>
  <c r="AW4" i="3"/>
  <c r="DF4" i="3" s="1"/>
  <c r="AI4" i="3"/>
  <c r="CR4" i="3" s="1"/>
  <c r="AY4" i="3"/>
  <c r="DH4" i="3" s="1"/>
  <c r="AK4" i="3"/>
  <c r="CT4" i="3" s="1"/>
  <c r="AR4" i="3"/>
  <c r="DA4" i="3" s="1"/>
  <c r="AE4" i="3"/>
  <c r="AN4" i="3"/>
  <c r="BF4" i="3"/>
  <c r="DO4" i="3" s="1"/>
  <c r="AJ4" i="3"/>
  <c r="AO4" i="3"/>
  <c r="CX4" i="3" s="1"/>
  <c r="BC4" i="3"/>
  <c r="BD4" i="3"/>
  <c r="DM4" i="3" s="1"/>
  <c r="AT4" i="3"/>
  <c r="DC4" i="3" s="1"/>
  <c r="AG4" i="3"/>
  <c r="CP4" i="3" s="1"/>
  <c r="DI4" i="2"/>
  <c r="CZ4" i="2"/>
  <c r="CU4" i="2"/>
  <c r="BD4" i="2"/>
  <c r="CH4" i="2" s="1"/>
  <c r="AP4" i="2"/>
  <c r="BT4" i="2" s="1"/>
  <c r="BF4" i="2"/>
  <c r="BC4" i="2"/>
  <c r="CG4" i="2" s="1"/>
  <c r="AW4" i="2"/>
  <c r="CA4" i="2" s="1"/>
  <c r="AR4" i="2"/>
  <c r="BV4" i="2" s="1"/>
  <c r="AY4" i="2"/>
  <c r="CC4" i="2" s="1"/>
  <c r="AX4" i="2"/>
  <c r="CB4" i="2" s="1"/>
  <c r="AD4" i="2"/>
  <c r="AJ4" i="2"/>
  <c r="BN4" i="2" s="1"/>
  <c r="AK4" i="2"/>
  <c r="BO4" i="2" s="1"/>
  <c r="BB4" i="2"/>
  <c r="CF4" i="2" s="1"/>
  <c r="AU4" i="2"/>
  <c r="BY4" i="2" s="1"/>
  <c r="AI4" i="2"/>
  <c r="BM4" i="2" s="1"/>
  <c r="AO4" i="2"/>
  <c r="BS4" i="2" s="1"/>
  <c r="AN4" i="2"/>
  <c r="BR4" i="2" s="1"/>
  <c r="AG4" i="2"/>
  <c r="BK4" i="2" s="1"/>
  <c r="CB48" i="8" l="1"/>
  <c r="DG48" i="8"/>
  <c r="DK48" i="8"/>
  <c r="CF48" i="8"/>
  <c r="CA48" i="8"/>
  <c r="DF48" i="8"/>
  <c r="BR48" i="8"/>
  <c r="CW48" i="8"/>
  <c r="BN48" i="8"/>
  <c r="AL49" i="8"/>
  <c r="CS48" i="8"/>
  <c r="AZ49" i="8"/>
  <c r="AW49" i="8"/>
  <c r="CQ48" i="8"/>
  <c r="AX49" i="8"/>
  <c r="BL48" i="8"/>
  <c r="AJ49" i="8"/>
  <c r="AI49" i="8"/>
  <c r="DG47" i="8"/>
  <c r="CB47" i="8"/>
  <c r="CR48" i="8"/>
  <c r="BM48" i="8"/>
  <c r="DN47" i="8"/>
  <c r="CI47" i="8"/>
  <c r="BY48" i="8"/>
  <c r="DD48" i="8"/>
  <c r="BU48" i="8"/>
  <c r="CZ48" i="8"/>
  <c r="BW47" i="8"/>
  <c r="DB47" i="8"/>
  <c r="CK47" i="8"/>
  <c r="CL47" i="8" s="1"/>
  <c r="CY48" i="8"/>
  <c r="BT48" i="8"/>
  <c r="DN48" i="8"/>
  <c r="CI48" i="8"/>
  <c r="CJ47" i="8"/>
  <c r="DO47" i="8"/>
  <c r="BI48" i="8"/>
  <c r="CN48" i="8"/>
  <c r="DE47" i="8"/>
  <c r="BZ47" i="8"/>
  <c r="CU48" i="8"/>
  <c r="BP48" i="8"/>
  <c r="DJ47" i="8"/>
  <c r="CE47" i="8"/>
  <c r="CP48" i="8"/>
  <c r="BK48" i="8"/>
  <c r="DL47" i="8"/>
  <c r="CG47" i="8"/>
  <c r="AG49" i="8"/>
  <c r="AK49" i="8"/>
  <c r="AO49" i="8"/>
  <c r="CO48" i="8"/>
  <c r="BJ48" i="8"/>
  <c r="CX48" i="8"/>
  <c r="BS48" i="8"/>
  <c r="AQ49" i="8"/>
  <c r="BE49" i="8"/>
  <c r="DM48" i="8"/>
  <c r="CH48" i="8"/>
  <c r="BF48" i="8"/>
  <c r="CA47" i="8"/>
  <c r="DF47" i="8"/>
  <c r="BC48" i="8"/>
  <c r="BG47" i="8"/>
  <c r="BX47" i="8"/>
  <c r="DC47" i="8"/>
  <c r="AY48" i="8"/>
  <c r="CD48" i="8"/>
  <c r="DI48" i="8"/>
  <c r="CV48" i="8"/>
  <c r="BD49" i="8"/>
  <c r="BQ48" i="8"/>
  <c r="AP49" i="8"/>
  <c r="BB49" i="8"/>
  <c r="AN49" i="8"/>
  <c r="CT48" i="8"/>
  <c r="BO48" i="8"/>
  <c r="DH47" i="8"/>
  <c r="CC47" i="8"/>
  <c r="AF49" i="8"/>
  <c r="AH49" i="8"/>
  <c r="CM48" i="8"/>
  <c r="BH48" i="8"/>
  <c r="AD49" i="8"/>
  <c r="AE49" i="8"/>
  <c r="AM49" i="8"/>
  <c r="DA47" i="8"/>
  <c r="DP47" i="8" s="1"/>
  <c r="DQ47" i="8" s="1"/>
  <c r="AT48" i="8"/>
  <c r="AR48" i="8"/>
  <c r="BV47" i="8"/>
  <c r="AS48" i="8"/>
  <c r="AV48" i="8"/>
  <c r="BA48" i="8"/>
  <c r="DM47" i="8"/>
  <c r="CH47" i="8"/>
  <c r="CF47" i="6"/>
  <c r="DK47" i="6"/>
  <c r="AI49" i="6"/>
  <c r="AJ49" i="6"/>
  <c r="CQ48" i="6"/>
  <c r="BL48" i="6"/>
  <c r="BK48" i="6"/>
  <c r="CP48" i="6"/>
  <c r="DE47" i="6"/>
  <c r="BZ47" i="6"/>
  <c r="CA47" i="6"/>
  <c r="DF47" i="6"/>
  <c r="AG49" i="6"/>
  <c r="AY49" i="6"/>
  <c r="BJ48" i="6"/>
  <c r="AK49" i="6"/>
  <c r="CO48" i="6"/>
  <c r="AO49" i="6"/>
  <c r="DM47" i="6"/>
  <c r="CH47" i="6"/>
  <c r="CU48" i="6"/>
  <c r="BP48" i="6"/>
  <c r="BX47" i="6"/>
  <c r="CK47" i="6" s="1"/>
  <c r="CL47" i="6" s="1"/>
  <c r="DC47" i="6"/>
  <c r="AU48" i="6"/>
  <c r="BC49" i="6" s="1"/>
  <c r="BN48" i="6"/>
  <c r="AZ49" i="6"/>
  <c r="AL49" i="6"/>
  <c r="CS48" i="6"/>
  <c r="AY48" i="6"/>
  <c r="AF49" i="6"/>
  <c r="AH49" i="6"/>
  <c r="CM48" i="6"/>
  <c r="BH48" i="6"/>
  <c r="AD49" i="6"/>
  <c r="AM49" i="6"/>
  <c r="AE49" i="6"/>
  <c r="CD48" i="6"/>
  <c r="DI48" i="6"/>
  <c r="CW48" i="6"/>
  <c r="BR48" i="6"/>
  <c r="BI48" i="6"/>
  <c r="CN48" i="6"/>
  <c r="DO47" i="6"/>
  <c r="CJ47" i="6"/>
  <c r="CZ48" i="6"/>
  <c r="BU48" i="6"/>
  <c r="CE47" i="6"/>
  <c r="DJ47" i="6"/>
  <c r="BY47" i="6"/>
  <c r="DD47" i="6"/>
  <c r="BD48" i="6"/>
  <c r="CX48" i="6"/>
  <c r="AQ49" i="6"/>
  <c r="BS48" i="6"/>
  <c r="BE49" i="6"/>
  <c r="BA48" i="6"/>
  <c r="BB49" i="6" s="1"/>
  <c r="AT48" i="6"/>
  <c r="AU49" i="6" s="1"/>
  <c r="DA47" i="6"/>
  <c r="DP47" i="6" s="1"/>
  <c r="DQ47" i="6" s="1"/>
  <c r="AS48" i="6"/>
  <c r="AR48" i="6"/>
  <c r="BG48" i="6" s="1"/>
  <c r="BV47" i="6"/>
  <c r="AV48" i="6"/>
  <c r="CT48" i="6"/>
  <c r="BO48" i="6"/>
  <c r="CI48" i="6"/>
  <c r="DN48" i="6"/>
  <c r="AX48" i="6"/>
  <c r="BB48" i="6"/>
  <c r="CV48" i="6"/>
  <c r="BQ48" i="6"/>
  <c r="AP49" i="6"/>
  <c r="AN49" i="6"/>
  <c r="CA48" i="6"/>
  <c r="DF48" i="6"/>
  <c r="BW47" i="6"/>
  <c r="DB47" i="6"/>
  <c r="CR48" i="6"/>
  <c r="BM48" i="6"/>
  <c r="BC48" i="6"/>
  <c r="CY48" i="6"/>
  <c r="BT48" i="6"/>
  <c r="BF48" i="6"/>
  <c r="CD48" i="5"/>
  <c r="DI48" i="5"/>
  <c r="DL48" i="5"/>
  <c r="CG48" i="5"/>
  <c r="DO48" i="5"/>
  <c r="CJ48" i="5"/>
  <c r="DG48" i="5"/>
  <c r="CB48" i="5"/>
  <c r="CF47" i="5"/>
  <c r="DK47" i="5"/>
  <c r="AI49" i="5"/>
  <c r="AJ49" i="5"/>
  <c r="CQ48" i="5"/>
  <c r="BL48" i="5"/>
  <c r="DF48" i="5"/>
  <c r="CA48" i="5"/>
  <c r="CE47" i="5"/>
  <c r="DJ47" i="5"/>
  <c r="CU48" i="5"/>
  <c r="BP48" i="5"/>
  <c r="DM47" i="5"/>
  <c r="CH47" i="5"/>
  <c r="BN48" i="5"/>
  <c r="AL49" i="5"/>
  <c r="CS48" i="5"/>
  <c r="CZ48" i="5"/>
  <c r="BU48" i="5"/>
  <c r="DD48" i="5"/>
  <c r="BY48" i="5"/>
  <c r="CR48" i="5"/>
  <c r="BM48" i="5"/>
  <c r="BE48" i="5"/>
  <c r="CY48" i="5"/>
  <c r="BT48" i="5"/>
  <c r="DO47" i="5"/>
  <c r="CJ47" i="5"/>
  <c r="CP48" i="5"/>
  <c r="BK48" i="5"/>
  <c r="BD48" i="5"/>
  <c r="AG49" i="5"/>
  <c r="AY49" i="5"/>
  <c r="AK49" i="5"/>
  <c r="BC49" i="5"/>
  <c r="AO49" i="5"/>
  <c r="CO48" i="5"/>
  <c r="BJ48" i="5"/>
  <c r="CW48" i="5"/>
  <c r="BR48" i="5"/>
  <c r="CN48" i="5"/>
  <c r="BI48" i="5"/>
  <c r="BB48" i="5"/>
  <c r="AF49" i="5"/>
  <c r="AH49" i="5"/>
  <c r="AM49" i="5"/>
  <c r="BG48" i="5"/>
  <c r="CM48" i="5"/>
  <c r="BH48" i="5"/>
  <c r="BF49" i="5"/>
  <c r="AD49" i="5"/>
  <c r="AE49" i="5"/>
  <c r="CX48" i="5"/>
  <c r="BS48" i="5"/>
  <c r="AQ49" i="5"/>
  <c r="DF47" i="5"/>
  <c r="CA47" i="5"/>
  <c r="CD47" i="5"/>
  <c r="DI47" i="5"/>
  <c r="DG47" i="5"/>
  <c r="CB47" i="5"/>
  <c r="CT48" i="5"/>
  <c r="BO48" i="5"/>
  <c r="DE47" i="5"/>
  <c r="BZ47" i="5"/>
  <c r="CK47" i="5" s="1"/>
  <c r="CL47" i="5" s="1"/>
  <c r="DD47" i="5"/>
  <c r="BY47" i="5"/>
  <c r="AY48" i="5"/>
  <c r="AZ49" i="5" s="1"/>
  <c r="DC47" i="5"/>
  <c r="BX47" i="5"/>
  <c r="DN47" i="5"/>
  <c r="CI47" i="5"/>
  <c r="BG47" i="5"/>
  <c r="DB47" i="5"/>
  <c r="BW47" i="5"/>
  <c r="DH47" i="5"/>
  <c r="CC47" i="5"/>
  <c r="CV48" i="5"/>
  <c r="BQ48" i="5"/>
  <c r="BB49" i="5"/>
  <c r="AN49" i="5"/>
  <c r="AP49" i="5"/>
  <c r="BA48" i="5"/>
  <c r="DA47" i="5"/>
  <c r="DP47" i="5" s="1"/>
  <c r="DQ47" i="5" s="1"/>
  <c r="BV47" i="5"/>
  <c r="AR48" i="5"/>
  <c r="AS48" i="5"/>
  <c r="AT48" i="5"/>
  <c r="AV48" i="5"/>
  <c r="AW49" i="5" s="1"/>
  <c r="CJ4" i="5"/>
  <c r="CA48" i="2"/>
  <c r="DF48" i="2"/>
  <c r="DD48" i="2"/>
  <c r="BY48" i="2"/>
  <c r="DK48" i="2"/>
  <c r="CF48" i="2"/>
  <c r="AG49" i="2"/>
  <c r="AK49" i="2"/>
  <c r="CO48" i="2"/>
  <c r="AO49" i="2"/>
  <c r="BJ48" i="2"/>
  <c r="CK47" i="2"/>
  <c r="CL47" i="2" s="1"/>
  <c r="DP47" i="2"/>
  <c r="DQ47" i="2" s="1"/>
  <c r="BF48" i="2"/>
  <c r="BC48" i="2"/>
  <c r="CN48" i="2"/>
  <c r="BI48" i="2"/>
  <c r="CU48" i="2"/>
  <c r="BP48" i="2"/>
  <c r="BU48" i="2"/>
  <c r="CZ48" i="2"/>
  <c r="CE47" i="2"/>
  <c r="DJ47" i="2"/>
  <c r="CX48" i="2"/>
  <c r="BS48" i="2"/>
  <c r="AQ49" i="2"/>
  <c r="CD48" i="2"/>
  <c r="DI48" i="2"/>
  <c r="AI49" i="2"/>
  <c r="AJ49" i="2"/>
  <c r="CQ48" i="2"/>
  <c r="BL48" i="2"/>
  <c r="BX47" i="2"/>
  <c r="DC47" i="2"/>
  <c r="DM47" i="2"/>
  <c r="CH47" i="2"/>
  <c r="AF49" i="2"/>
  <c r="AH49" i="2"/>
  <c r="BH48" i="2"/>
  <c r="AE49" i="2"/>
  <c r="BG48" i="2"/>
  <c r="AM49" i="2"/>
  <c r="AD49" i="2"/>
  <c r="CM48" i="2"/>
  <c r="BN48" i="2"/>
  <c r="AL49" i="2"/>
  <c r="CS48" i="2"/>
  <c r="CV48" i="2"/>
  <c r="BQ48" i="2"/>
  <c r="AP49" i="2"/>
  <c r="AN49" i="2"/>
  <c r="BB49" i="2"/>
  <c r="BM48" i="2"/>
  <c r="CR48" i="2"/>
  <c r="CT48" i="2"/>
  <c r="BO48" i="2"/>
  <c r="DF47" i="2"/>
  <c r="CA47" i="2"/>
  <c r="AX48" i="2"/>
  <c r="AZ49" i="2" s="1"/>
  <c r="CW48" i="2"/>
  <c r="BR48" i="2"/>
  <c r="AY48" i="2"/>
  <c r="BA48" i="2"/>
  <c r="AR48" i="2"/>
  <c r="DA47" i="2"/>
  <c r="AS48" i="2"/>
  <c r="BV47" i="2"/>
  <c r="AV48" i="2"/>
  <c r="AT48" i="2"/>
  <c r="BE48" i="2"/>
  <c r="BD49" i="2" s="1"/>
  <c r="CP48" i="2"/>
  <c r="BK48" i="2"/>
  <c r="BZ47" i="2"/>
  <c r="DE47" i="2"/>
  <c r="BT48" i="2"/>
  <c r="CY48" i="2"/>
  <c r="DN47" i="2"/>
  <c r="CI47" i="2"/>
  <c r="DB47" i="2"/>
  <c r="BW47" i="2"/>
  <c r="BD48" i="2"/>
  <c r="CD48" i="4"/>
  <c r="DI48" i="4"/>
  <c r="DH48" i="4"/>
  <c r="CC48" i="4"/>
  <c r="CT48" i="4"/>
  <c r="BO48" i="4"/>
  <c r="AF49" i="4"/>
  <c r="CM48" i="4"/>
  <c r="AH49" i="4"/>
  <c r="AM49" i="4"/>
  <c r="AD49" i="4"/>
  <c r="BH48" i="4"/>
  <c r="AE49" i="4"/>
  <c r="CH48" i="4"/>
  <c r="DM48" i="4"/>
  <c r="CN48" i="4"/>
  <c r="BI48" i="4"/>
  <c r="BR48" i="4"/>
  <c r="CW48" i="4"/>
  <c r="DL47" i="4"/>
  <c r="CG47" i="4"/>
  <c r="DC47" i="4"/>
  <c r="BX47" i="4"/>
  <c r="DD48" i="4"/>
  <c r="BY48" i="4"/>
  <c r="AJ49" i="4"/>
  <c r="AI49" i="4"/>
  <c r="CQ48" i="4"/>
  <c r="BL48" i="4"/>
  <c r="BZ47" i="4"/>
  <c r="DE47" i="4"/>
  <c r="BP48" i="4"/>
  <c r="CU48" i="4"/>
  <c r="DH47" i="4"/>
  <c r="CC47" i="4"/>
  <c r="BQ48" i="4"/>
  <c r="CV48" i="4"/>
  <c r="AP49" i="4"/>
  <c r="AN49" i="4"/>
  <c r="BN48" i="4"/>
  <c r="CS48" i="4"/>
  <c r="AL49" i="4"/>
  <c r="DL48" i="4"/>
  <c r="CG48" i="4"/>
  <c r="BT48" i="4"/>
  <c r="CY48" i="4"/>
  <c r="BK48" i="4"/>
  <c r="CP48" i="4"/>
  <c r="CF48" i="4"/>
  <c r="DK48" i="4"/>
  <c r="CJ47" i="4"/>
  <c r="DO47" i="4"/>
  <c r="BE48" i="4"/>
  <c r="BE49" i="4" s="1"/>
  <c r="CB47" i="4"/>
  <c r="DG47" i="4"/>
  <c r="DP47" i="4" s="1"/>
  <c r="DQ47" i="4" s="1"/>
  <c r="CE47" i="4"/>
  <c r="DJ47" i="4"/>
  <c r="DD47" i="4"/>
  <c r="BY47" i="4"/>
  <c r="CO48" i="4"/>
  <c r="AK49" i="4"/>
  <c r="BJ48" i="4"/>
  <c r="AG49" i="4"/>
  <c r="AO49" i="4"/>
  <c r="CX48" i="4"/>
  <c r="BS48" i="4"/>
  <c r="AQ49" i="4"/>
  <c r="DF48" i="4"/>
  <c r="CA48" i="4"/>
  <c r="CR48" i="4"/>
  <c r="BM48" i="4"/>
  <c r="BW47" i="4"/>
  <c r="DB47" i="4"/>
  <c r="AX48" i="4"/>
  <c r="CF47" i="4"/>
  <c r="DK47" i="4"/>
  <c r="BV47" i="4"/>
  <c r="CK47" i="4" s="1"/>
  <c r="CL47" i="4" s="1"/>
  <c r="BA48" i="4"/>
  <c r="DA47" i="4"/>
  <c r="AV48" i="4"/>
  <c r="AR48" i="4"/>
  <c r="BF49" i="4" s="1"/>
  <c r="AS48" i="4"/>
  <c r="BG48" i="4" s="1"/>
  <c r="AT48" i="4"/>
  <c r="AU49" i="4" s="1"/>
  <c r="DM47" i="4"/>
  <c r="CH47" i="4"/>
  <c r="BU48" i="4"/>
  <c r="CZ48" i="4"/>
  <c r="BF48" i="4"/>
  <c r="DK62" i="3"/>
  <c r="CF62" i="3"/>
  <c r="AG63" i="3"/>
  <c r="AO63" i="3"/>
  <c r="CO62" i="3"/>
  <c r="BJ62" i="3"/>
  <c r="AK63" i="3"/>
  <c r="AF63" i="3"/>
  <c r="AH63" i="3"/>
  <c r="BH62" i="3"/>
  <c r="BF63" i="3"/>
  <c r="BG62" i="3"/>
  <c r="CM62" i="3"/>
  <c r="AD63" i="3"/>
  <c r="AM63" i="3"/>
  <c r="AE63" i="3"/>
  <c r="DH62" i="3"/>
  <c r="CC62" i="3"/>
  <c r="CW62" i="3"/>
  <c r="BR62" i="3"/>
  <c r="BF62" i="3"/>
  <c r="DJ61" i="3"/>
  <c r="CE61" i="3"/>
  <c r="DN62" i="3"/>
  <c r="CI62" i="3"/>
  <c r="CN62" i="3"/>
  <c r="BI62" i="3"/>
  <c r="BG61" i="3"/>
  <c r="BU62" i="3"/>
  <c r="CZ62" i="3"/>
  <c r="DF62" i="3"/>
  <c r="CA62" i="3"/>
  <c r="DM61" i="3"/>
  <c r="CH61" i="3"/>
  <c r="BN62" i="3"/>
  <c r="AZ63" i="3"/>
  <c r="AL63" i="3"/>
  <c r="CS62" i="3"/>
  <c r="BT62" i="3"/>
  <c r="CY62" i="3"/>
  <c r="AW63" i="3"/>
  <c r="AX63" i="3"/>
  <c r="AI63" i="3"/>
  <c r="AJ63" i="3"/>
  <c r="CQ62" i="3"/>
  <c r="BL62" i="3"/>
  <c r="DD62" i="3"/>
  <c r="BY62" i="3"/>
  <c r="CR62" i="3"/>
  <c r="BM62" i="3"/>
  <c r="BZ61" i="3"/>
  <c r="DE61" i="3"/>
  <c r="CD62" i="3"/>
  <c r="DI62" i="3"/>
  <c r="CX62" i="3"/>
  <c r="BE63" i="3"/>
  <c r="AQ63" i="3"/>
  <c r="BS62" i="3"/>
  <c r="CB62" i="3"/>
  <c r="DG62" i="3"/>
  <c r="DB61" i="3"/>
  <c r="BW61" i="3"/>
  <c r="CF61" i="3"/>
  <c r="DK61" i="3"/>
  <c r="CV62" i="3"/>
  <c r="BQ62" i="3"/>
  <c r="AN63" i="3"/>
  <c r="BD63" i="3"/>
  <c r="AP63" i="3"/>
  <c r="BB63" i="3"/>
  <c r="CG62" i="3"/>
  <c r="DL62" i="3"/>
  <c r="BX61" i="3"/>
  <c r="DC61" i="3"/>
  <c r="CT62" i="3"/>
  <c r="BO62" i="3"/>
  <c r="BD62" i="3"/>
  <c r="CU62" i="3"/>
  <c r="BP62" i="3"/>
  <c r="BK62" i="3"/>
  <c r="CP62" i="3"/>
  <c r="BA62" i="3"/>
  <c r="AR62" i="3"/>
  <c r="AV62" i="3"/>
  <c r="AT62" i="3"/>
  <c r="AU63" i="3" s="1"/>
  <c r="BV61" i="3"/>
  <c r="CK61" i="3" s="1"/>
  <c r="CL61" i="3" s="1"/>
  <c r="DA61" i="3"/>
  <c r="DP61" i="3" s="1"/>
  <c r="DQ61" i="3" s="1"/>
  <c r="AS62" i="3"/>
  <c r="CB4" i="3"/>
  <c r="BJ4" i="3"/>
  <c r="BL4" i="3"/>
  <c r="BT4" i="3"/>
  <c r="BW4" i="8"/>
  <c r="AF5" i="4"/>
  <c r="CO5" i="4" s="1"/>
  <c r="BZ4" i="8"/>
  <c r="AL5" i="6"/>
  <c r="CU5" i="6" s="1"/>
  <c r="AD5" i="6"/>
  <c r="CM5" i="6" s="1"/>
  <c r="BJ4" i="4"/>
  <c r="AM5" i="5"/>
  <c r="CV5" i="5" s="1"/>
  <c r="AN5" i="8"/>
  <c r="CW5" i="8" s="1"/>
  <c r="AP5" i="8"/>
  <c r="CY5" i="8" s="1"/>
  <c r="BB5" i="8"/>
  <c r="DK5" i="8" s="1"/>
  <c r="BQ4" i="8"/>
  <c r="BD5" i="8"/>
  <c r="DM5" i="8" s="1"/>
  <c r="CO4" i="5"/>
  <c r="BJ4" i="5"/>
  <c r="AX5" i="4"/>
  <c r="DG5" i="4" s="1"/>
  <c r="AK5" i="4"/>
  <c r="CT5" i="4" s="1"/>
  <c r="AH5" i="5"/>
  <c r="CQ5" i="5" s="1"/>
  <c r="AG5" i="5"/>
  <c r="CP5" i="5" s="1"/>
  <c r="CG4" i="8"/>
  <c r="BY4" i="8"/>
  <c r="CA4" i="8"/>
  <c r="CB4" i="8"/>
  <c r="CC4" i="8"/>
  <c r="AK5" i="6"/>
  <c r="CT5" i="6" s="1"/>
  <c r="CF4" i="8"/>
  <c r="BK4" i="8"/>
  <c r="CH4" i="6"/>
  <c r="CH4" i="8"/>
  <c r="AZ5" i="8"/>
  <c r="DI5" i="8" s="1"/>
  <c r="AL5" i="8"/>
  <c r="CU5" i="8" s="1"/>
  <c r="BN4" i="8"/>
  <c r="BI4" i="5"/>
  <c r="BR4" i="8"/>
  <c r="AF5" i="6"/>
  <c r="CO5" i="6" s="1"/>
  <c r="BO4" i="8"/>
  <c r="AO5" i="5"/>
  <c r="CX5" i="5" s="1"/>
  <c r="AZ5" i="4"/>
  <c r="DI5" i="4" s="1"/>
  <c r="AO5" i="4"/>
  <c r="CX5" i="4" s="1"/>
  <c r="BL4" i="5"/>
  <c r="BI4" i="8"/>
  <c r="AQ5" i="8"/>
  <c r="CZ5" i="8" s="1"/>
  <c r="BS4" i="8"/>
  <c r="BE5" i="8"/>
  <c r="DN5" i="8" s="1"/>
  <c r="AK5" i="8"/>
  <c r="CT5" i="8" s="1"/>
  <c r="BC5" i="8"/>
  <c r="DL5" i="8" s="1"/>
  <c r="AU5" i="8"/>
  <c r="DD5" i="8" s="1"/>
  <c r="AY5" i="8"/>
  <c r="DH5" i="8" s="1"/>
  <c r="AO5" i="8"/>
  <c r="CX5" i="8" s="1"/>
  <c r="AG5" i="8"/>
  <c r="CP5" i="8" s="1"/>
  <c r="BJ4" i="8"/>
  <c r="CE4" i="8"/>
  <c r="AP5" i="6"/>
  <c r="CY5" i="6" s="1"/>
  <c r="AK5" i="5"/>
  <c r="CT5" i="5" s="1"/>
  <c r="BE5" i="4"/>
  <c r="DN5" i="4" s="1"/>
  <c r="BS4" i="5"/>
  <c r="BH4" i="5"/>
  <c r="BE5" i="6"/>
  <c r="DN5" i="6" s="1"/>
  <c r="AJ5" i="8"/>
  <c r="CS5" i="8" s="1"/>
  <c r="AI5" i="8"/>
  <c r="CR5" i="8" s="1"/>
  <c r="AX5" i="8"/>
  <c r="DG5" i="8" s="1"/>
  <c r="AW5" i="8"/>
  <c r="DF5" i="8" s="1"/>
  <c r="BL4" i="8"/>
  <c r="AE5" i="5"/>
  <c r="CN5" i="5" s="1"/>
  <c r="AE5" i="6"/>
  <c r="CN5" i="6" s="1"/>
  <c r="DO4" i="8"/>
  <c r="CJ4" i="8"/>
  <c r="CH4" i="4"/>
  <c r="BK4" i="5"/>
  <c r="AI5" i="5"/>
  <c r="CR5" i="5" s="1"/>
  <c r="AI5" i="6"/>
  <c r="CR5" i="6" s="1"/>
  <c r="BF5" i="8"/>
  <c r="BG4" i="8"/>
  <c r="DP4" i="8" s="1"/>
  <c r="AF5" i="8"/>
  <c r="CO5" i="8" s="1"/>
  <c r="AE5" i="8"/>
  <c r="CN5" i="8" s="1"/>
  <c r="AD5" i="8"/>
  <c r="CM5" i="8" s="1"/>
  <c r="AM5" i="8"/>
  <c r="CV5" i="8" s="1"/>
  <c r="AH5" i="8"/>
  <c r="CQ5" i="8" s="1"/>
  <c r="BH4" i="8"/>
  <c r="BT4" i="8"/>
  <c r="AZ5" i="6"/>
  <c r="DI5" i="6" s="1"/>
  <c r="BM4" i="6"/>
  <c r="BX4" i="8"/>
  <c r="AO5" i="6"/>
  <c r="CX5" i="6" s="1"/>
  <c r="BA5" i="8"/>
  <c r="DJ5" i="8" s="1"/>
  <c r="AV5" i="8"/>
  <c r="DE5" i="8" s="1"/>
  <c r="AT5" i="8"/>
  <c r="DC5" i="8" s="1"/>
  <c r="AS5" i="8"/>
  <c r="DB5" i="8" s="1"/>
  <c r="AR5" i="8"/>
  <c r="DA5" i="8" s="1"/>
  <c r="BV4" i="8"/>
  <c r="CC4" i="5"/>
  <c r="AM5" i="6"/>
  <c r="CV5" i="6" s="1"/>
  <c r="AQ5" i="5"/>
  <c r="CZ5" i="5" s="1"/>
  <c r="AD5" i="5"/>
  <c r="CM5" i="5" s="1"/>
  <c r="BO4" i="5"/>
  <c r="AQ5" i="6"/>
  <c r="CZ5" i="6" s="1"/>
  <c r="AF5" i="5"/>
  <c r="CO5" i="5" s="1"/>
  <c r="AG5" i="4"/>
  <c r="CP5" i="4" s="1"/>
  <c r="AH5" i="6"/>
  <c r="CQ5" i="6" s="1"/>
  <c r="BI4" i="6"/>
  <c r="AN5" i="5"/>
  <c r="CW5" i="5" s="1"/>
  <c r="BM4" i="5"/>
  <c r="AJ5" i="5"/>
  <c r="CS5" i="5" s="1"/>
  <c r="BT4" i="6"/>
  <c r="AJ5" i="6"/>
  <c r="CS5" i="6" s="1"/>
  <c r="BM4" i="8"/>
  <c r="BD5" i="6"/>
  <c r="DM5" i="6" s="1"/>
  <c r="AU5" i="6"/>
  <c r="DD5" i="6" s="1"/>
  <c r="BG4" i="6"/>
  <c r="DP4" i="6" s="1"/>
  <c r="AY5" i="6"/>
  <c r="DH5" i="6" s="1"/>
  <c r="BC5" i="6"/>
  <c r="DL5" i="6" s="1"/>
  <c r="AN6" i="6"/>
  <c r="CW6" i="6" s="1"/>
  <c r="BQ5" i="6"/>
  <c r="CA4" i="6"/>
  <c r="BF5" i="6"/>
  <c r="CG5" i="6"/>
  <c r="T21" i="5"/>
  <c r="AC21" i="5"/>
  <c r="AV5" i="6"/>
  <c r="DE5" i="6" s="1"/>
  <c r="AT5" i="6"/>
  <c r="DC5" i="6" s="1"/>
  <c r="AS5" i="6"/>
  <c r="DB5" i="6" s="1"/>
  <c r="AR5" i="6"/>
  <c r="DA5" i="6" s="1"/>
  <c r="BA5" i="6"/>
  <c r="DJ5" i="6" s="1"/>
  <c r="BV4" i="6"/>
  <c r="DQ4" i="6"/>
  <c r="CF4" i="6"/>
  <c r="T31" i="5"/>
  <c r="AC31" i="5"/>
  <c r="BW4" i="6"/>
  <c r="BI5" i="6"/>
  <c r="DO4" i="6"/>
  <c r="CJ4" i="6"/>
  <c r="BX4" i="6"/>
  <c r="BH4" i="3"/>
  <c r="BE5" i="5"/>
  <c r="DN5" i="5" s="1"/>
  <c r="DL4" i="5"/>
  <c r="BY5" i="6"/>
  <c r="AW5" i="6"/>
  <c r="DF5" i="6" s="1"/>
  <c r="BZ4" i="6"/>
  <c r="BL5" i="6"/>
  <c r="BK5" i="6"/>
  <c r="AX5" i="6"/>
  <c r="DG5" i="6" s="1"/>
  <c r="CE4" i="6"/>
  <c r="CH5" i="6"/>
  <c r="AD5" i="3"/>
  <c r="CM5" i="3" s="1"/>
  <c r="AC8" i="5"/>
  <c r="T8" i="5"/>
  <c r="CC4" i="6"/>
  <c r="BR5" i="6"/>
  <c r="CG4" i="6"/>
  <c r="BB5" i="6"/>
  <c r="DK5" i="6" s="1"/>
  <c r="CB4" i="6"/>
  <c r="AU5" i="5"/>
  <c r="DD5" i="5" s="1"/>
  <c r="BF5" i="5"/>
  <c r="DO5" i="5" s="1"/>
  <c r="BK5" i="5"/>
  <c r="AY5" i="4"/>
  <c r="DH5" i="4" s="1"/>
  <c r="BQ4" i="3"/>
  <c r="AR5" i="4"/>
  <c r="DA5" i="4" s="1"/>
  <c r="BU5" i="5"/>
  <c r="BZ4" i="5"/>
  <c r="AW5" i="5"/>
  <c r="DF5" i="5" s="1"/>
  <c r="BC5" i="4"/>
  <c r="DL5" i="4" s="1"/>
  <c r="AS5" i="4"/>
  <c r="DB5" i="4" s="1"/>
  <c r="BP5" i="5"/>
  <c r="CE4" i="5"/>
  <c r="AX5" i="5"/>
  <c r="DG5" i="5" s="1"/>
  <c r="CB4" i="5"/>
  <c r="CG4" i="3"/>
  <c r="DL4" i="3"/>
  <c r="BO5" i="5"/>
  <c r="AT5" i="4"/>
  <c r="DC5" i="4" s="1"/>
  <c r="BA5" i="5"/>
  <c r="DJ5" i="5" s="1"/>
  <c r="AS5" i="5"/>
  <c r="DB5" i="5" s="1"/>
  <c r="AR5" i="5"/>
  <c r="DA5" i="5" s="1"/>
  <c r="AV5" i="5"/>
  <c r="DE5" i="5" s="1"/>
  <c r="AT5" i="5"/>
  <c r="DC5" i="5" s="1"/>
  <c r="BV4" i="5"/>
  <c r="AV5" i="4"/>
  <c r="DE5" i="4" s="1"/>
  <c r="BI5" i="5"/>
  <c r="BF5" i="4"/>
  <c r="DO5" i="4" s="1"/>
  <c r="BY4" i="5"/>
  <c r="BN4" i="3"/>
  <c r="CS4" i="3"/>
  <c r="CB4" i="4"/>
  <c r="BD5" i="5"/>
  <c r="DM5" i="5" s="1"/>
  <c r="BG4" i="5"/>
  <c r="DP4" i="5" s="1"/>
  <c r="CF4" i="5"/>
  <c r="AZ5" i="5"/>
  <c r="DI5" i="5" s="1"/>
  <c r="BD5" i="4"/>
  <c r="BX4" i="5"/>
  <c r="AY5" i="5"/>
  <c r="DH5" i="5" s="1"/>
  <c r="CH4" i="5"/>
  <c r="BG4" i="4"/>
  <c r="DP4" i="4" s="1"/>
  <c r="BB5" i="5"/>
  <c r="DK5" i="5" s="1"/>
  <c r="BC5" i="5"/>
  <c r="DL5" i="5" s="1"/>
  <c r="AU5" i="4"/>
  <c r="DD5" i="4" s="1"/>
  <c r="BM5" i="5"/>
  <c r="BW4" i="5"/>
  <c r="AD6" i="5"/>
  <c r="CM6" i="5" s="1"/>
  <c r="BH5" i="5"/>
  <c r="BW4" i="3"/>
  <c r="DB4" i="3"/>
  <c r="CG4" i="4"/>
  <c r="BA5" i="4"/>
  <c r="DJ5" i="4" s="1"/>
  <c r="CA4" i="5"/>
  <c r="CJ4" i="4"/>
  <c r="AP5" i="3"/>
  <c r="CY5" i="3" s="1"/>
  <c r="CW4" i="3"/>
  <c r="BT5" i="5"/>
  <c r="AQ6" i="5"/>
  <c r="CZ6" i="5" s="1"/>
  <c r="BS5" i="5"/>
  <c r="CG4" i="5"/>
  <c r="BX4" i="4"/>
  <c r="BI4" i="3"/>
  <c r="CN4" i="3"/>
  <c r="BW4" i="4"/>
  <c r="AI6" i="5"/>
  <c r="CR6" i="5" s="1"/>
  <c r="BL5" i="5"/>
  <c r="CF5" i="4"/>
  <c r="BT5" i="4"/>
  <c r="CD5" i="4"/>
  <c r="AG6" i="4"/>
  <c r="CP6" i="4" s="1"/>
  <c r="BJ5" i="4"/>
  <c r="AH6" i="4"/>
  <c r="CQ6" i="4" s="1"/>
  <c r="AF6" i="4"/>
  <c r="CO6" i="4" s="1"/>
  <c r="AE6" i="4"/>
  <c r="CN6" i="4" s="1"/>
  <c r="AD6" i="4"/>
  <c r="CM6" i="4" s="1"/>
  <c r="AM6" i="4"/>
  <c r="CV6" i="4" s="1"/>
  <c r="BH5" i="4"/>
  <c r="BR5" i="4"/>
  <c r="CA5" i="4"/>
  <c r="BI5" i="4"/>
  <c r="AR6" i="4"/>
  <c r="DA6" i="4" s="1"/>
  <c r="BV5" i="4"/>
  <c r="BK5" i="4"/>
  <c r="BM5" i="4"/>
  <c r="AI6" i="4"/>
  <c r="CR6" i="4" s="1"/>
  <c r="BL5" i="4"/>
  <c r="BE6" i="4"/>
  <c r="DN6" i="4" s="1"/>
  <c r="AQ6" i="4"/>
  <c r="CZ6" i="4" s="1"/>
  <c r="BS5" i="4"/>
  <c r="BN5" i="4"/>
  <c r="BP5" i="4"/>
  <c r="AP6" i="4"/>
  <c r="CY6" i="4" s="1"/>
  <c r="AN6" i="4"/>
  <c r="CW6" i="4" s="1"/>
  <c r="BQ5" i="4"/>
  <c r="BU5" i="4"/>
  <c r="CE4" i="3"/>
  <c r="AZ5" i="3"/>
  <c r="DI5" i="3" s="1"/>
  <c r="BM4" i="3"/>
  <c r="AX5" i="3"/>
  <c r="DG5" i="3" s="1"/>
  <c r="AW5" i="3"/>
  <c r="DF5" i="3" s="1"/>
  <c r="AI5" i="3"/>
  <c r="CR5" i="3" s="1"/>
  <c r="BY4" i="3"/>
  <c r="CA4" i="3"/>
  <c r="AT5" i="3"/>
  <c r="DC5" i="3" s="1"/>
  <c r="BX4" i="3"/>
  <c r="BB5" i="3"/>
  <c r="AL5" i="3"/>
  <c r="CU5" i="3" s="1"/>
  <c r="AN5" i="3"/>
  <c r="AO5" i="3"/>
  <c r="AM5" i="3"/>
  <c r="CV5" i="3" s="1"/>
  <c r="CF4" i="3"/>
  <c r="BE5" i="3"/>
  <c r="BA5" i="3"/>
  <c r="DJ5" i="3" s="1"/>
  <c r="BO4" i="3"/>
  <c r="AH5" i="3"/>
  <c r="CQ5" i="3" s="1"/>
  <c r="AF5" i="3"/>
  <c r="CO5" i="3" s="1"/>
  <c r="AG5" i="3"/>
  <c r="CC4" i="3"/>
  <c r="BV4" i="3"/>
  <c r="BS4" i="3"/>
  <c r="AK5" i="3"/>
  <c r="CT5" i="3" s="1"/>
  <c r="CH4" i="3"/>
  <c r="AE5" i="3"/>
  <c r="CN5" i="3" s="1"/>
  <c r="AY5" i="3"/>
  <c r="DH5" i="3" s="1"/>
  <c r="AQ5" i="3"/>
  <c r="CZ5" i="3" s="1"/>
  <c r="BR4" i="3"/>
  <c r="AS5" i="3"/>
  <c r="DB5" i="3" s="1"/>
  <c r="CJ4" i="3"/>
  <c r="AJ5" i="3"/>
  <c r="CS5" i="3" s="1"/>
  <c r="AU5" i="3"/>
  <c r="DD5" i="3" s="1"/>
  <c r="BK4" i="3"/>
  <c r="BG4" i="3"/>
  <c r="AR5" i="3"/>
  <c r="BZ4" i="3"/>
  <c r="AV5" i="3"/>
  <c r="BD5" i="3"/>
  <c r="DM5" i="3" s="1"/>
  <c r="BF5" i="3"/>
  <c r="BC5" i="3"/>
  <c r="DL5" i="3" s="1"/>
  <c r="CM4" i="2"/>
  <c r="BH4" i="2"/>
  <c r="CX4" i="2"/>
  <c r="CR4" i="2"/>
  <c r="DD4" i="2"/>
  <c r="CJ4" i="2"/>
  <c r="DO4" i="2"/>
  <c r="CS4" i="2"/>
  <c r="DL4" i="2"/>
  <c r="CP4" i="2"/>
  <c r="DK4" i="2"/>
  <c r="DG4" i="2"/>
  <c r="DM4" i="2"/>
  <c r="DA4" i="2"/>
  <c r="CY4" i="2"/>
  <c r="CW4" i="2"/>
  <c r="DF4" i="2"/>
  <c r="DH4" i="2"/>
  <c r="CT4" i="2"/>
  <c r="BE5" i="2"/>
  <c r="CI5" i="2" s="1"/>
  <c r="AQ5" i="2"/>
  <c r="BU5" i="2" s="1"/>
  <c r="AZ5" i="2"/>
  <c r="CD5" i="2" s="1"/>
  <c r="AR5" i="2"/>
  <c r="BV5" i="2" s="1"/>
  <c r="AL5" i="2"/>
  <c r="BP5" i="2" s="1"/>
  <c r="AD5" i="2"/>
  <c r="AM4" i="2"/>
  <c r="BQ4" i="2" s="1"/>
  <c r="AH4" i="2"/>
  <c r="BL4" i="2" s="1"/>
  <c r="AF4" i="2"/>
  <c r="BJ4" i="2" s="1"/>
  <c r="AV4" i="2"/>
  <c r="BZ4" i="2" s="1"/>
  <c r="BG3" i="2"/>
  <c r="BA4" i="2"/>
  <c r="CE4" i="2" s="1"/>
  <c r="AS4" i="2"/>
  <c r="BW4" i="2" s="1"/>
  <c r="AT4" i="2"/>
  <c r="BX4" i="2" s="1"/>
  <c r="AE4" i="2"/>
  <c r="AV49" i="8" l="1"/>
  <c r="AS49" i="8"/>
  <c r="AT49" i="8"/>
  <c r="DA48" i="8"/>
  <c r="BA49" i="8"/>
  <c r="BV48" i="8"/>
  <c r="AR49" i="8"/>
  <c r="BG49" i="8" s="1"/>
  <c r="BX48" i="8"/>
  <c r="DC48" i="8"/>
  <c r="DI49" i="8"/>
  <c r="CD49" i="8"/>
  <c r="DH48" i="8"/>
  <c r="DP48" i="8" s="1"/>
  <c r="DQ48" i="8" s="1"/>
  <c r="CC48" i="8"/>
  <c r="AU50" i="8"/>
  <c r="BJ49" i="8"/>
  <c r="CO49" i="8"/>
  <c r="AO50" i="8"/>
  <c r="AG50" i="8"/>
  <c r="AK50" i="8"/>
  <c r="DJ48" i="8"/>
  <c r="CE48" i="8"/>
  <c r="BC49" i="8"/>
  <c r="DO48" i="8"/>
  <c r="CJ48" i="8"/>
  <c r="DK49" i="8"/>
  <c r="CF49" i="8"/>
  <c r="BT49" i="8"/>
  <c r="CY49" i="8"/>
  <c r="DF49" i="8"/>
  <c r="CA49" i="8"/>
  <c r="CN49" i="8"/>
  <c r="BI49" i="8"/>
  <c r="CU49" i="8"/>
  <c r="BP49" i="8"/>
  <c r="BZ48" i="8"/>
  <c r="DE48" i="8"/>
  <c r="DL48" i="8"/>
  <c r="CG48" i="8"/>
  <c r="CT49" i="8"/>
  <c r="BO49" i="8"/>
  <c r="CW49" i="8"/>
  <c r="BR49" i="8"/>
  <c r="CB49" i="8"/>
  <c r="DG49" i="8"/>
  <c r="BD50" i="8"/>
  <c r="CV49" i="8"/>
  <c r="AN50" i="8"/>
  <c r="AP50" i="8"/>
  <c r="BQ49" i="8"/>
  <c r="DM49" i="8"/>
  <c r="CH49" i="8"/>
  <c r="BG48" i="8"/>
  <c r="AU49" i="8"/>
  <c r="DB48" i="8"/>
  <c r="BW48" i="8"/>
  <c r="CK48" i="8" s="1"/>
  <c r="CL48" i="8" s="1"/>
  <c r="BK49" i="8"/>
  <c r="CP49" i="8"/>
  <c r="CR49" i="8"/>
  <c r="BM49" i="8"/>
  <c r="DN49" i="8"/>
  <c r="CI49" i="8"/>
  <c r="BU49" i="8"/>
  <c r="CZ49" i="8"/>
  <c r="AD50" i="8"/>
  <c r="AE50" i="8"/>
  <c r="CM49" i="8"/>
  <c r="AF50" i="8"/>
  <c r="AM50" i="8"/>
  <c r="AH50" i="8"/>
  <c r="BH49" i="8"/>
  <c r="AY49" i="8"/>
  <c r="BF49" i="8"/>
  <c r="BL49" i="8"/>
  <c r="AW50" i="8"/>
  <c r="CQ49" i="8"/>
  <c r="AI50" i="8"/>
  <c r="AJ50" i="8"/>
  <c r="BE50" i="8"/>
  <c r="BS49" i="8"/>
  <c r="AQ50" i="8"/>
  <c r="CX49" i="8"/>
  <c r="CS49" i="8"/>
  <c r="BN49" i="8"/>
  <c r="AL50" i="8"/>
  <c r="DD49" i="6"/>
  <c r="BY49" i="6"/>
  <c r="DL49" i="6"/>
  <c r="CG49" i="6"/>
  <c r="DK49" i="6"/>
  <c r="CF49" i="6"/>
  <c r="DO48" i="6"/>
  <c r="CJ48" i="6"/>
  <c r="DL48" i="6"/>
  <c r="CG48" i="6"/>
  <c r="BZ48" i="6"/>
  <c r="CK48" i="6" s="1"/>
  <c r="CL48" i="6" s="1"/>
  <c r="DE48" i="6"/>
  <c r="CX49" i="6"/>
  <c r="BS49" i="6"/>
  <c r="AQ50" i="6"/>
  <c r="BE50" i="6"/>
  <c r="CS49" i="6"/>
  <c r="BN49" i="6"/>
  <c r="AL50" i="6"/>
  <c r="CR49" i="6"/>
  <c r="BM49" i="6"/>
  <c r="DH49" i="6"/>
  <c r="CC49" i="6"/>
  <c r="BD49" i="6"/>
  <c r="BT49" i="6"/>
  <c r="CY49" i="6"/>
  <c r="CU49" i="6"/>
  <c r="BP49" i="6"/>
  <c r="DN49" i="6"/>
  <c r="CI49" i="6"/>
  <c r="CP49" i="6"/>
  <c r="BK49" i="6"/>
  <c r="BU49" i="6"/>
  <c r="CZ49" i="6"/>
  <c r="CN49" i="6"/>
  <c r="BI49" i="6"/>
  <c r="BB50" i="6"/>
  <c r="BQ49" i="6"/>
  <c r="CV49" i="6"/>
  <c r="AP50" i="6"/>
  <c r="BD50" i="6"/>
  <c r="AN50" i="6"/>
  <c r="AV49" i="6"/>
  <c r="AR49" i="6"/>
  <c r="AS49" i="6"/>
  <c r="DA48" i="6"/>
  <c r="DP48" i="6" s="1"/>
  <c r="DQ48" i="6" s="1"/>
  <c r="BA49" i="6"/>
  <c r="AT49" i="6"/>
  <c r="BV48" i="6"/>
  <c r="AX49" i="6"/>
  <c r="DB48" i="6"/>
  <c r="BW48" i="6"/>
  <c r="AU50" i="6"/>
  <c r="AG50" i="6"/>
  <c r="BC50" i="6"/>
  <c r="AK50" i="6"/>
  <c r="AO50" i="6"/>
  <c r="CO49" i="6"/>
  <c r="BJ49" i="6"/>
  <c r="AY50" i="6"/>
  <c r="AW49" i="6"/>
  <c r="DK48" i="6"/>
  <c r="CF48" i="6"/>
  <c r="DM48" i="6"/>
  <c r="CH48" i="6"/>
  <c r="AD50" i="6"/>
  <c r="AE50" i="6"/>
  <c r="AF50" i="6"/>
  <c r="AH50" i="6"/>
  <c r="BH49" i="6"/>
  <c r="CM49" i="6"/>
  <c r="AM50" i="6"/>
  <c r="DH48" i="6"/>
  <c r="CC48" i="6"/>
  <c r="CT49" i="6"/>
  <c r="BO49" i="6"/>
  <c r="DJ48" i="6"/>
  <c r="CE48" i="6"/>
  <c r="DI49" i="6"/>
  <c r="CD49" i="6"/>
  <c r="BY48" i="6"/>
  <c r="DD48" i="6"/>
  <c r="DG48" i="6"/>
  <c r="CB48" i="6"/>
  <c r="BF49" i="6"/>
  <c r="BL49" i="6"/>
  <c r="AI50" i="6"/>
  <c r="AJ50" i="6"/>
  <c r="CQ49" i="6"/>
  <c r="AX50" i="6"/>
  <c r="BR49" i="6"/>
  <c r="CW49" i="6"/>
  <c r="DC48" i="6"/>
  <c r="BX48" i="6"/>
  <c r="BH5" i="6"/>
  <c r="AW6" i="6"/>
  <c r="DF6" i="6" s="1"/>
  <c r="BU5" i="6"/>
  <c r="BP5" i="6"/>
  <c r="AM6" i="6"/>
  <c r="CV6" i="6" s="1"/>
  <c r="AP6" i="6"/>
  <c r="CY6" i="6" s="1"/>
  <c r="BS5" i="6"/>
  <c r="AH6" i="6"/>
  <c r="CQ6" i="6" s="1"/>
  <c r="BE6" i="6"/>
  <c r="DN6" i="6" s="1"/>
  <c r="AI6" i="6"/>
  <c r="CR6" i="6" s="1"/>
  <c r="AQ6" i="6"/>
  <c r="CZ6" i="6" s="1"/>
  <c r="AD6" i="6"/>
  <c r="CM6" i="6" s="1"/>
  <c r="BT5" i="6"/>
  <c r="AE6" i="6"/>
  <c r="CN6" i="6" s="1"/>
  <c r="DI49" i="5"/>
  <c r="CD49" i="5"/>
  <c r="CA49" i="5"/>
  <c r="DF49" i="5"/>
  <c r="DK49" i="5"/>
  <c r="CF49" i="5"/>
  <c r="AD50" i="5"/>
  <c r="AE50" i="5"/>
  <c r="AF50" i="5"/>
  <c r="AH50" i="5"/>
  <c r="AM50" i="5"/>
  <c r="CM49" i="5"/>
  <c r="BH49" i="5"/>
  <c r="CX49" i="5"/>
  <c r="BS49" i="5"/>
  <c r="AQ50" i="5"/>
  <c r="DO49" i="5"/>
  <c r="CJ49" i="5"/>
  <c r="DL49" i="5"/>
  <c r="CG49" i="5"/>
  <c r="CS49" i="5"/>
  <c r="BN49" i="5"/>
  <c r="AZ50" i="5"/>
  <c r="AL50" i="5"/>
  <c r="CT49" i="5"/>
  <c r="BO49" i="5"/>
  <c r="CR49" i="5"/>
  <c r="BM49" i="5"/>
  <c r="DH49" i="5"/>
  <c r="CC49" i="5"/>
  <c r="AX49" i="5"/>
  <c r="BK49" i="5"/>
  <c r="CP49" i="5"/>
  <c r="CU49" i="5"/>
  <c r="BP49" i="5"/>
  <c r="CV49" i="5"/>
  <c r="BQ49" i="5"/>
  <c r="AN50" i="5"/>
  <c r="AP50" i="5"/>
  <c r="DM48" i="5"/>
  <c r="CH48" i="5"/>
  <c r="DE48" i="5"/>
  <c r="BZ48" i="5"/>
  <c r="BL49" i="5"/>
  <c r="AI50" i="5"/>
  <c r="AJ50" i="5"/>
  <c r="CQ49" i="5"/>
  <c r="CW49" i="5"/>
  <c r="BR49" i="5"/>
  <c r="DC48" i="5"/>
  <c r="BX48" i="5"/>
  <c r="AG50" i="5"/>
  <c r="AK50" i="5"/>
  <c r="AO50" i="5"/>
  <c r="BJ49" i="5"/>
  <c r="CO49" i="5"/>
  <c r="CN49" i="5"/>
  <c r="BI49" i="5"/>
  <c r="DB48" i="5"/>
  <c r="BW48" i="5"/>
  <c r="DK48" i="5"/>
  <c r="CF48" i="5"/>
  <c r="AV49" i="5"/>
  <c r="BA49" i="5"/>
  <c r="BD50" i="5" s="1"/>
  <c r="DA48" i="5"/>
  <c r="DP48" i="5" s="1"/>
  <c r="DQ48" i="5" s="1"/>
  <c r="BV48" i="5"/>
  <c r="CK48" i="5" s="1"/>
  <c r="CL48" i="5" s="1"/>
  <c r="AR49" i="5"/>
  <c r="AS49" i="5"/>
  <c r="AT49" i="5"/>
  <c r="CZ49" i="5"/>
  <c r="BU49" i="5"/>
  <c r="DJ48" i="5"/>
  <c r="CE48" i="5"/>
  <c r="CC48" i="5"/>
  <c r="DH48" i="5"/>
  <c r="BE49" i="5"/>
  <c r="DN48" i="5"/>
  <c r="CI48" i="5"/>
  <c r="CY49" i="5"/>
  <c r="BT49" i="5"/>
  <c r="AU49" i="5"/>
  <c r="AY50" i="5" s="1"/>
  <c r="BD49" i="5"/>
  <c r="AP6" i="5"/>
  <c r="CY6" i="5" s="1"/>
  <c r="BJ5" i="5"/>
  <c r="BQ5" i="5"/>
  <c r="DI49" i="2"/>
  <c r="CD49" i="2"/>
  <c r="CH49" i="2"/>
  <c r="DM49" i="2"/>
  <c r="DM48" i="2"/>
  <c r="CH48" i="2"/>
  <c r="BT49" i="2"/>
  <c r="CY49" i="2"/>
  <c r="AV49" i="2"/>
  <c r="AS49" i="2"/>
  <c r="BV48" i="2"/>
  <c r="CK48" i="2" s="1"/>
  <c r="CL48" i="2" s="1"/>
  <c r="AR49" i="2"/>
  <c r="BF50" i="2" s="1"/>
  <c r="AT49" i="2"/>
  <c r="BA49" i="2"/>
  <c r="BB50" i="2" s="1"/>
  <c r="DA48" i="2"/>
  <c r="DP48" i="2" s="1"/>
  <c r="DQ48" i="2" s="1"/>
  <c r="CT49" i="2"/>
  <c r="BO49" i="2"/>
  <c r="BX48" i="2"/>
  <c r="DC48" i="2"/>
  <c r="DK49" i="2"/>
  <c r="CF49" i="2"/>
  <c r="BC49" i="2"/>
  <c r="DJ48" i="2"/>
  <c r="CE48" i="2"/>
  <c r="AY49" i="2"/>
  <c r="CC48" i="2"/>
  <c r="DH48" i="2"/>
  <c r="BK49" i="2"/>
  <c r="CP49" i="2"/>
  <c r="CZ49" i="2"/>
  <c r="BU49" i="2"/>
  <c r="BR49" i="2"/>
  <c r="CW49" i="2"/>
  <c r="CX49" i="2"/>
  <c r="BS49" i="2"/>
  <c r="AQ50" i="2"/>
  <c r="DB48" i="2"/>
  <c r="BW48" i="2"/>
  <c r="CB48" i="2"/>
  <c r="DG48" i="2"/>
  <c r="CS49" i="2"/>
  <c r="BN49" i="2"/>
  <c r="AL50" i="2"/>
  <c r="AZ50" i="2"/>
  <c r="BI49" i="2"/>
  <c r="CN49" i="2"/>
  <c r="DE48" i="2"/>
  <c r="BZ48" i="2"/>
  <c r="CR49" i="2"/>
  <c r="BM49" i="2"/>
  <c r="BL49" i="2"/>
  <c r="CQ49" i="2"/>
  <c r="AI50" i="2"/>
  <c r="AJ50" i="2"/>
  <c r="AU49" i="2"/>
  <c r="CU49" i="2"/>
  <c r="BP49" i="2"/>
  <c r="AD50" i="2"/>
  <c r="AE50" i="2"/>
  <c r="AF50" i="2"/>
  <c r="AH50" i="2"/>
  <c r="BH49" i="2"/>
  <c r="AM50" i="2"/>
  <c r="CM49" i="2"/>
  <c r="AX49" i="2"/>
  <c r="DL48" i="2"/>
  <c r="CG48" i="2"/>
  <c r="DN48" i="2"/>
  <c r="CI48" i="2"/>
  <c r="BF49" i="2"/>
  <c r="BE49" i="2"/>
  <c r="AU50" i="2"/>
  <c r="AG50" i="2"/>
  <c r="AK50" i="2"/>
  <c r="BJ49" i="2"/>
  <c r="AO50" i="2"/>
  <c r="CO49" i="2"/>
  <c r="CV49" i="2"/>
  <c r="AN50" i="2"/>
  <c r="AP50" i="2"/>
  <c r="BQ49" i="2"/>
  <c r="AW49" i="2"/>
  <c r="CJ48" i="2"/>
  <c r="DO48" i="2"/>
  <c r="DN49" i="4"/>
  <c r="CI49" i="4"/>
  <c r="BY49" i="4"/>
  <c r="DD49" i="4"/>
  <c r="DO49" i="4"/>
  <c r="CJ49" i="4"/>
  <c r="DE48" i="4"/>
  <c r="BZ48" i="4"/>
  <c r="DJ48" i="4"/>
  <c r="CE48" i="4"/>
  <c r="AD50" i="4"/>
  <c r="AH50" i="4"/>
  <c r="AM50" i="4"/>
  <c r="BH49" i="4"/>
  <c r="CM49" i="4"/>
  <c r="AE50" i="4"/>
  <c r="AF50" i="4"/>
  <c r="BL49" i="4"/>
  <c r="CQ49" i="4"/>
  <c r="AI50" i="4"/>
  <c r="AJ50" i="4"/>
  <c r="CT49" i="4"/>
  <c r="BO49" i="4"/>
  <c r="DG48" i="4"/>
  <c r="CB48" i="4"/>
  <c r="AO50" i="4"/>
  <c r="AK50" i="4"/>
  <c r="AG50" i="4"/>
  <c r="CO49" i="4"/>
  <c r="BJ49" i="4"/>
  <c r="CR49" i="4"/>
  <c r="BM49" i="4"/>
  <c r="BI49" i="4"/>
  <c r="CN49" i="4"/>
  <c r="CX49" i="4"/>
  <c r="AQ50" i="4"/>
  <c r="BS49" i="4"/>
  <c r="DO48" i="4"/>
  <c r="CJ48" i="4"/>
  <c r="DC48" i="4"/>
  <c r="BX48" i="4"/>
  <c r="DN48" i="4"/>
  <c r="CI48" i="4"/>
  <c r="AY49" i="4"/>
  <c r="CW49" i="4"/>
  <c r="BR49" i="4"/>
  <c r="BN49" i="4"/>
  <c r="CS49" i="4"/>
  <c r="AL50" i="4"/>
  <c r="BB49" i="4"/>
  <c r="BD49" i="4"/>
  <c r="BE50" i="4" s="1"/>
  <c r="AX49" i="4"/>
  <c r="BW48" i="4"/>
  <c r="CK48" i="4" s="1"/>
  <c r="CL48" i="4" s="1"/>
  <c r="DB48" i="4"/>
  <c r="DP48" i="4" s="1"/>
  <c r="DQ48" i="4" s="1"/>
  <c r="AV49" i="4"/>
  <c r="AX50" i="4" s="1"/>
  <c r="AT49" i="4"/>
  <c r="BA49" i="4"/>
  <c r="BB50" i="4" s="1"/>
  <c r="BV48" i="4"/>
  <c r="AR49" i="4"/>
  <c r="DA48" i="4"/>
  <c r="AS49" i="4"/>
  <c r="BK49" i="4"/>
  <c r="CP49" i="4"/>
  <c r="AW49" i="4"/>
  <c r="AW50" i="4" s="1"/>
  <c r="CZ49" i="4"/>
  <c r="BU49" i="4"/>
  <c r="CY49" i="4"/>
  <c r="BT49" i="4"/>
  <c r="CV49" i="4"/>
  <c r="AN50" i="4"/>
  <c r="AP50" i="4"/>
  <c r="BQ49" i="4"/>
  <c r="BC49" i="4"/>
  <c r="BP49" i="4"/>
  <c r="CU49" i="4"/>
  <c r="AZ49" i="4"/>
  <c r="CC5" i="4"/>
  <c r="AO6" i="4"/>
  <c r="CX6" i="4" s="1"/>
  <c r="AJ6" i="4"/>
  <c r="CS6" i="4" s="1"/>
  <c r="AL6" i="4"/>
  <c r="CU6" i="4" s="1"/>
  <c r="BO5" i="4"/>
  <c r="AZ6" i="4"/>
  <c r="DI6" i="4" s="1"/>
  <c r="CB5" i="4"/>
  <c r="AK6" i="4"/>
  <c r="CT6" i="4" s="1"/>
  <c r="DD63" i="3"/>
  <c r="BY63" i="3"/>
  <c r="AG64" i="3"/>
  <c r="AO64" i="3"/>
  <c r="AK64" i="3"/>
  <c r="CO63" i="3"/>
  <c r="BJ63" i="3"/>
  <c r="CJ63" i="3"/>
  <c r="DO63" i="3"/>
  <c r="CF63" i="3"/>
  <c r="DK63" i="3"/>
  <c r="BT63" i="3"/>
  <c r="CY63" i="3"/>
  <c r="DM63" i="3"/>
  <c r="CH63" i="3"/>
  <c r="DJ62" i="3"/>
  <c r="CE62" i="3"/>
  <c r="DB62" i="3"/>
  <c r="BW62" i="3"/>
  <c r="CU63" i="3"/>
  <c r="BP63" i="3"/>
  <c r="BS63" i="3"/>
  <c r="AQ64" i="3"/>
  <c r="CX63" i="3"/>
  <c r="BE64" i="3"/>
  <c r="CB63" i="3"/>
  <c r="DG63" i="3"/>
  <c r="DN63" i="3"/>
  <c r="CI63" i="3"/>
  <c r="DC62" i="3"/>
  <c r="BX62" i="3"/>
  <c r="DI63" i="3"/>
  <c r="CD63" i="3"/>
  <c r="AY63" i="3"/>
  <c r="AZ64" i="3" s="1"/>
  <c r="DF63" i="3"/>
  <c r="CA63" i="3"/>
  <c r="BL63" i="3"/>
  <c r="AW64" i="3"/>
  <c r="AX64" i="3"/>
  <c r="AI64" i="3"/>
  <c r="AJ64" i="3"/>
  <c r="CQ63" i="3"/>
  <c r="DE62" i="3"/>
  <c r="BZ62" i="3"/>
  <c r="CW63" i="3"/>
  <c r="BR63" i="3"/>
  <c r="BI63" i="3"/>
  <c r="CN63" i="3"/>
  <c r="BK63" i="3"/>
  <c r="CP63" i="3"/>
  <c r="CR63" i="3"/>
  <c r="BM63" i="3"/>
  <c r="DO62" i="3"/>
  <c r="CJ62" i="3"/>
  <c r="CH62" i="3"/>
  <c r="DM62" i="3"/>
  <c r="CV63" i="3"/>
  <c r="AN64" i="3"/>
  <c r="BD64" i="3"/>
  <c r="AP64" i="3"/>
  <c r="BQ63" i="3"/>
  <c r="CZ63" i="3"/>
  <c r="BU63" i="3"/>
  <c r="BO63" i="3"/>
  <c r="CT63" i="3"/>
  <c r="BC63" i="3"/>
  <c r="AV63" i="3"/>
  <c r="BV62" i="3"/>
  <c r="CK62" i="3" s="1"/>
  <c r="CL62" i="3" s="1"/>
  <c r="AR63" i="3"/>
  <c r="BG63" i="3" s="1"/>
  <c r="AS63" i="3"/>
  <c r="AT63" i="3"/>
  <c r="AU64" i="3" s="1"/>
  <c r="BA63" i="3"/>
  <c r="DA62" i="3"/>
  <c r="DP62" i="3" s="1"/>
  <c r="DQ62" i="3" s="1"/>
  <c r="CS63" i="3"/>
  <c r="BN63" i="3"/>
  <c r="AL64" i="3"/>
  <c r="AD64" i="3"/>
  <c r="AH64" i="3"/>
  <c r="AE64" i="3"/>
  <c r="AF64" i="3"/>
  <c r="AM64" i="3"/>
  <c r="CM63" i="3"/>
  <c r="BH63" i="3"/>
  <c r="AD6" i="3"/>
  <c r="CM6" i="3" s="1"/>
  <c r="BH5" i="3"/>
  <c r="BM5" i="8"/>
  <c r="CE5" i="8"/>
  <c r="BP5" i="8"/>
  <c r="BR5" i="8"/>
  <c r="CI5" i="6"/>
  <c r="CC5" i="6"/>
  <c r="BU5" i="8"/>
  <c r="CC5" i="8"/>
  <c r="BI5" i="8"/>
  <c r="AU6" i="8"/>
  <c r="DD6" i="8" s="1"/>
  <c r="AY6" i="8"/>
  <c r="DH6" i="8" s="1"/>
  <c r="AG6" i="8"/>
  <c r="CP6" i="8" s="1"/>
  <c r="AK6" i="8"/>
  <c r="CT6" i="8" s="1"/>
  <c r="BC6" i="8"/>
  <c r="DL6" i="8" s="1"/>
  <c r="AO6" i="8"/>
  <c r="CX6" i="8" s="1"/>
  <c r="BJ5" i="8"/>
  <c r="BZ5" i="8"/>
  <c r="CF5" i="8"/>
  <c r="CJ5" i="8"/>
  <c r="DO5" i="8"/>
  <c r="BR5" i="5"/>
  <c r="AG6" i="5"/>
  <c r="CP6" i="5" s="1"/>
  <c r="BY5" i="4"/>
  <c r="BJ5" i="6"/>
  <c r="AL6" i="6"/>
  <c r="CU6" i="6" s="1"/>
  <c r="BW5" i="4"/>
  <c r="BA6" i="4"/>
  <c r="DJ6" i="4" s="1"/>
  <c r="AL6" i="5"/>
  <c r="CU6" i="5" s="1"/>
  <c r="AE6" i="5"/>
  <c r="CN6" i="5" s="1"/>
  <c r="AU6" i="6"/>
  <c r="DD6" i="6" s="1"/>
  <c r="CD5" i="6"/>
  <c r="CA5" i="8"/>
  <c r="CB5" i="8"/>
  <c r="BO5" i="6"/>
  <c r="AJ6" i="5"/>
  <c r="CS6" i="5" s="1"/>
  <c r="AJ6" i="6"/>
  <c r="CS6" i="6" s="1"/>
  <c r="CI5" i="8"/>
  <c r="AS6" i="4"/>
  <c r="DB6" i="4" s="1"/>
  <c r="AH6" i="5"/>
  <c r="CQ6" i="5" s="1"/>
  <c r="AG6" i="6"/>
  <c r="CP6" i="6" s="1"/>
  <c r="BM5" i="6"/>
  <c r="CK4" i="8"/>
  <c r="CH5" i="8"/>
  <c r="BY5" i="8"/>
  <c r="AL6" i="8"/>
  <c r="CU6" i="8" s="1"/>
  <c r="AZ6" i="8"/>
  <c r="DI6" i="8" s="1"/>
  <c r="BN5" i="8"/>
  <c r="BO5" i="8"/>
  <c r="BT5" i="8"/>
  <c r="CD5" i="8"/>
  <c r="BN5" i="6"/>
  <c r="BT5" i="3"/>
  <c r="BN5" i="5"/>
  <c r="AK6" i="5"/>
  <c r="CT6" i="5" s="1"/>
  <c r="CI5" i="4"/>
  <c r="AM6" i="5"/>
  <c r="CV6" i="5" s="1"/>
  <c r="AK6" i="6"/>
  <c r="CT6" i="6" s="1"/>
  <c r="AI6" i="8"/>
  <c r="CR6" i="8" s="1"/>
  <c r="AJ6" i="8"/>
  <c r="CS6" i="8" s="1"/>
  <c r="AX6" i="8"/>
  <c r="DG6" i="8" s="1"/>
  <c r="AW6" i="8"/>
  <c r="DF6" i="8" s="1"/>
  <c r="BL5" i="8"/>
  <c r="BK5" i="8"/>
  <c r="AV6" i="8"/>
  <c r="DE6" i="8" s="1"/>
  <c r="AT6" i="8"/>
  <c r="DC6" i="8" s="1"/>
  <c r="BA6" i="8"/>
  <c r="DJ6" i="8" s="1"/>
  <c r="AS6" i="8"/>
  <c r="DB6" i="8" s="1"/>
  <c r="AR6" i="8"/>
  <c r="DA6" i="8" s="1"/>
  <c r="BV5" i="8"/>
  <c r="AF6" i="8"/>
  <c r="CO6" i="8" s="1"/>
  <c r="AE6" i="8"/>
  <c r="CN6" i="8" s="1"/>
  <c r="AH6" i="8"/>
  <c r="CQ6" i="8" s="1"/>
  <c r="AD6" i="8"/>
  <c r="CM6" i="8" s="1"/>
  <c r="AM6" i="8"/>
  <c r="CV6" i="8" s="1"/>
  <c r="BG5" i="8"/>
  <c r="BF6" i="8"/>
  <c r="BH5" i="8"/>
  <c r="BW5" i="8"/>
  <c r="BX5" i="8"/>
  <c r="CG5" i="8"/>
  <c r="AF6" i="6"/>
  <c r="CO6" i="6" s="1"/>
  <c r="DQ4" i="8"/>
  <c r="AN6" i="5"/>
  <c r="CW6" i="5" s="1"/>
  <c r="AF6" i="5"/>
  <c r="CO6" i="5" s="1"/>
  <c r="AO6" i="5"/>
  <c r="CX6" i="5" s="1"/>
  <c r="CG5" i="4"/>
  <c r="CE5" i="4"/>
  <c r="AO6" i="6"/>
  <c r="CX6" i="6" s="1"/>
  <c r="BD6" i="8"/>
  <c r="DM6" i="8" s="1"/>
  <c r="BB6" i="8"/>
  <c r="DK6" i="8" s="1"/>
  <c r="AP6" i="8"/>
  <c r="CY6" i="8" s="1"/>
  <c r="AN6" i="8"/>
  <c r="CW6" i="8" s="1"/>
  <c r="BQ5" i="8"/>
  <c r="BE6" i="8"/>
  <c r="DN6" i="8" s="1"/>
  <c r="AQ6" i="8"/>
  <c r="CZ6" i="8" s="1"/>
  <c r="BS5" i="8"/>
  <c r="CK4" i="6"/>
  <c r="CL4" i="6" s="1"/>
  <c r="CK4" i="4"/>
  <c r="CL4" i="4" s="1"/>
  <c r="CJ5" i="6"/>
  <c r="DO5" i="6"/>
  <c r="CF5" i="6"/>
  <c r="CB5" i="6"/>
  <c r="CI6" i="6"/>
  <c r="AZ6" i="5"/>
  <c r="DI6" i="5" s="1"/>
  <c r="DP5" i="6"/>
  <c r="CE5" i="6"/>
  <c r="AS6" i="6"/>
  <c r="DB6" i="6" s="1"/>
  <c r="AR6" i="6"/>
  <c r="DA6" i="6" s="1"/>
  <c r="BA6" i="6"/>
  <c r="DJ6" i="6" s="1"/>
  <c r="AV6" i="6"/>
  <c r="DE6" i="6" s="1"/>
  <c r="AT6" i="6"/>
  <c r="DC6" i="6" s="1"/>
  <c r="BV5" i="6"/>
  <c r="BF6" i="6"/>
  <c r="BC6" i="5"/>
  <c r="DL6" i="5" s="1"/>
  <c r="BY5" i="5"/>
  <c r="BW5" i="6"/>
  <c r="BB6" i="6"/>
  <c r="CA6" i="6"/>
  <c r="BK6" i="6"/>
  <c r="BX5" i="6"/>
  <c r="BR6" i="6"/>
  <c r="AX6" i="6"/>
  <c r="AY6" i="6"/>
  <c r="DH6" i="6" s="1"/>
  <c r="BZ5" i="6"/>
  <c r="BD6" i="6"/>
  <c r="DM6" i="6" s="1"/>
  <c r="AY6" i="5"/>
  <c r="DH6" i="5" s="1"/>
  <c r="BC6" i="6"/>
  <c r="DL6" i="6" s="1"/>
  <c r="AQ7" i="6"/>
  <c r="CZ7" i="6" s="1"/>
  <c r="BS6" i="6"/>
  <c r="AG7" i="6"/>
  <c r="CP7" i="6" s="1"/>
  <c r="CI5" i="5"/>
  <c r="CA5" i="6"/>
  <c r="AZ6" i="6"/>
  <c r="DI6" i="6" s="1"/>
  <c r="BG5" i="6"/>
  <c r="BG5" i="5"/>
  <c r="CK4" i="5"/>
  <c r="CL4" i="5" s="1"/>
  <c r="BE6" i="5"/>
  <c r="DN6" i="5" s="1"/>
  <c r="CJ5" i="5"/>
  <c r="AW6" i="5"/>
  <c r="DF6" i="5" s="1"/>
  <c r="BD6" i="5"/>
  <c r="DM6" i="5" s="1"/>
  <c r="CH6" i="5"/>
  <c r="CG6" i="5"/>
  <c r="AV6" i="4"/>
  <c r="DE6" i="4" s="1"/>
  <c r="AX6" i="5"/>
  <c r="DG6" i="5" s="1"/>
  <c r="BT6" i="5"/>
  <c r="CC5" i="5"/>
  <c r="BF6" i="4"/>
  <c r="DO6" i="4" s="1"/>
  <c r="CA5" i="5"/>
  <c r="BG5" i="4"/>
  <c r="DM5" i="4"/>
  <c r="DP5" i="4" s="1"/>
  <c r="DQ5" i="4" s="1"/>
  <c r="CH5" i="4"/>
  <c r="AW6" i="4"/>
  <c r="DF6" i="4" s="1"/>
  <c r="CF5" i="5"/>
  <c r="CD5" i="5"/>
  <c r="BX5" i="5"/>
  <c r="CJ5" i="4"/>
  <c r="AD7" i="5"/>
  <c r="CM7" i="5" s="1"/>
  <c r="BH6" i="5"/>
  <c r="BU6" i="5"/>
  <c r="AU6" i="4"/>
  <c r="DD6" i="4" s="1"/>
  <c r="BX5" i="4"/>
  <c r="DP5" i="5"/>
  <c r="DQ5" i="5" s="1"/>
  <c r="BA6" i="5"/>
  <c r="DJ6" i="5" s="1"/>
  <c r="AT6" i="5"/>
  <c r="AS6" i="5"/>
  <c r="DB6" i="5" s="1"/>
  <c r="AR6" i="5"/>
  <c r="DA6" i="5" s="1"/>
  <c r="AV6" i="5"/>
  <c r="DE6" i="5" s="1"/>
  <c r="BV5" i="5"/>
  <c r="CE5" i="5"/>
  <c r="BP6" i="5"/>
  <c r="CB5" i="5"/>
  <c r="BR6" i="5"/>
  <c r="BC6" i="4"/>
  <c r="DL6" i="4" s="1"/>
  <c r="AX6" i="4"/>
  <c r="DG6" i="4" s="1"/>
  <c r="BZ5" i="5"/>
  <c r="BD6" i="4"/>
  <c r="DM6" i="4" s="1"/>
  <c r="AY6" i="4"/>
  <c r="DH6" i="4" s="1"/>
  <c r="AU6" i="5"/>
  <c r="DD6" i="5" s="1"/>
  <c r="DQ4" i="5"/>
  <c r="BW5" i="5"/>
  <c r="CD6" i="5"/>
  <c r="CG5" i="5"/>
  <c r="AT6" i="4"/>
  <c r="DC6" i="4" s="1"/>
  <c r="BB6" i="5"/>
  <c r="DK6" i="5" s="1"/>
  <c r="BM6" i="5"/>
  <c r="BF6" i="5"/>
  <c r="BZ5" i="4"/>
  <c r="BB6" i="4"/>
  <c r="DK6" i="4" s="1"/>
  <c r="CH5" i="5"/>
  <c r="BQ5" i="3"/>
  <c r="CB5" i="3"/>
  <c r="BS5" i="3"/>
  <c r="CX5" i="3"/>
  <c r="AR6" i="3"/>
  <c r="DA6" i="3" s="1"/>
  <c r="DA5" i="3"/>
  <c r="BR5" i="3"/>
  <c r="CW5" i="3"/>
  <c r="AG6" i="3"/>
  <c r="CP6" i="3" s="1"/>
  <c r="CP5" i="3"/>
  <c r="CF5" i="3"/>
  <c r="DK5" i="3"/>
  <c r="CJ5" i="3"/>
  <c r="DO5" i="3"/>
  <c r="CI5" i="3"/>
  <c r="DN5" i="3"/>
  <c r="BL5" i="3"/>
  <c r="BZ5" i="3"/>
  <c r="DE5" i="3"/>
  <c r="BZ6" i="4"/>
  <c r="BK6" i="4"/>
  <c r="AP7" i="4"/>
  <c r="CY7" i="4" s="1"/>
  <c r="AN7" i="4"/>
  <c r="CW7" i="4" s="1"/>
  <c r="BQ6" i="4"/>
  <c r="DQ4" i="4"/>
  <c r="BW6" i="4"/>
  <c r="CD5" i="3"/>
  <c r="AS6" i="3"/>
  <c r="DB6" i="3" s="1"/>
  <c r="BP6" i="4"/>
  <c r="AE7" i="4"/>
  <c r="CN7" i="4" s="1"/>
  <c r="AD7" i="4"/>
  <c r="CM7" i="4" s="1"/>
  <c r="AM7" i="4"/>
  <c r="CV7" i="4" s="1"/>
  <c r="AF7" i="4"/>
  <c r="CO7" i="4" s="1"/>
  <c r="AH7" i="4"/>
  <c r="CQ7" i="4" s="1"/>
  <c r="BH6" i="4"/>
  <c r="CD6" i="4"/>
  <c r="BI6" i="4"/>
  <c r="BU6" i="4"/>
  <c r="AQ7" i="4"/>
  <c r="CZ7" i="4" s="1"/>
  <c r="BS6" i="4"/>
  <c r="BR6" i="4"/>
  <c r="AG7" i="4"/>
  <c r="CP7" i="4" s="1"/>
  <c r="BJ6" i="4"/>
  <c r="CE6" i="4"/>
  <c r="CI6" i="4"/>
  <c r="BM6" i="4"/>
  <c r="BN6" i="4"/>
  <c r="BT6" i="4"/>
  <c r="AS7" i="4"/>
  <c r="DB7" i="4" s="1"/>
  <c r="AR7" i="4"/>
  <c r="DA7" i="4" s="1"/>
  <c r="BV6" i="4"/>
  <c r="AI7" i="4"/>
  <c r="CR7" i="4" s="1"/>
  <c r="BL6" i="4"/>
  <c r="BX5" i="3"/>
  <c r="BM5" i="3"/>
  <c r="CA5" i="3"/>
  <c r="BO5" i="3"/>
  <c r="BV5" i="3"/>
  <c r="AP6" i="3"/>
  <c r="AN6" i="3"/>
  <c r="CW6" i="3" s="1"/>
  <c r="BB6" i="3"/>
  <c r="DK6" i="3" s="1"/>
  <c r="CE5" i="3"/>
  <c r="BA6" i="3"/>
  <c r="DJ6" i="3" s="1"/>
  <c r="BP5" i="3"/>
  <c r="BU5" i="3"/>
  <c r="AK6" i="3"/>
  <c r="CT6" i="3" s="1"/>
  <c r="AX6" i="3"/>
  <c r="AO6" i="3"/>
  <c r="CX6" i="3" s="1"/>
  <c r="BC6" i="3"/>
  <c r="DL6" i="3" s="1"/>
  <c r="BI5" i="3"/>
  <c r="AV6" i="3"/>
  <c r="DE6" i="3" s="1"/>
  <c r="AM6" i="3"/>
  <c r="CV6" i="3" s="1"/>
  <c r="AE6" i="3"/>
  <c r="AI6" i="3"/>
  <c r="CR6" i="3" s="1"/>
  <c r="CK4" i="3"/>
  <c r="AH6" i="3"/>
  <c r="AJ6" i="3"/>
  <c r="CS6" i="3" s="1"/>
  <c r="BN5" i="3"/>
  <c r="AY6" i="3"/>
  <c r="DH6" i="3" s="1"/>
  <c r="BK5" i="3"/>
  <c r="AF6" i="3"/>
  <c r="CO6" i="3" s="1"/>
  <c r="DP4" i="3"/>
  <c r="AL6" i="3"/>
  <c r="CU6" i="3" s="1"/>
  <c r="AZ6" i="3"/>
  <c r="BJ5" i="3"/>
  <c r="AW6" i="3"/>
  <c r="DF6" i="3" s="1"/>
  <c r="BY5" i="3"/>
  <c r="BD6" i="3"/>
  <c r="BE6" i="3"/>
  <c r="DN6" i="3" s="1"/>
  <c r="AU6" i="3"/>
  <c r="DD6" i="3" s="1"/>
  <c r="BF6" i="3"/>
  <c r="DO6" i="3" s="1"/>
  <c r="AQ6" i="3"/>
  <c r="CC5" i="3"/>
  <c r="BW5" i="3"/>
  <c r="CH5" i="3"/>
  <c r="AT6" i="3"/>
  <c r="DC6" i="3" s="1"/>
  <c r="CG5" i="3"/>
  <c r="BG5" i="3"/>
  <c r="CN4" i="2"/>
  <c r="BI4" i="2"/>
  <c r="AD7" i="3"/>
  <c r="CM7" i="3" s="1"/>
  <c r="BH6" i="3"/>
  <c r="CM5" i="2"/>
  <c r="BH5" i="2"/>
  <c r="DJ4" i="2"/>
  <c r="CO4" i="2"/>
  <c r="DB4" i="2"/>
  <c r="CV4" i="2"/>
  <c r="DA5" i="2"/>
  <c r="CZ5" i="2"/>
  <c r="DN5" i="2"/>
  <c r="DC4" i="2"/>
  <c r="CQ4" i="2"/>
  <c r="DE4" i="2"/>
  <c r="CU5" i="2"/>
  <c r="BG4" i="2"/>
  <c r="DI5" i="2"/>
  <c r="AF5" i="2"/>
  <c r="BJ5" i="2" s="1"/>
  <c r="AW5" i="2"/>
  <c r="CA5" i="2" s="1"/>
  <c r="AX5" i="2"/>
  <c r="CB5" i="2" s="1"/>
  <c r="AT5" i="2"/>
  <c r="BX5" i="2" s="1"/>
  <c r="BB5" i="2"/>
  <c r="CF5" i="2" s="1"/>
  <c r="AP5" i="2"/>
  <c r="BT5" i="2" s="1"/>
  <c r="BD5" i="2"/>
  <c r="CH5" i="2" s="1"/>
  <c r="AV5" i="2"/>
  <c r="BZ5" i="2" s="1"/>
  <c r="BA5" i="2"/>
  <c r="CE5" i="2" s="1"/>
  <c r="AS5" i="2"/>
  <c r="BW5" i="2" s="1"/>
  <c r="BC5" i="2"/>
  <c r="CG5" i="2" s="1"/>
  <c r="AU5" i="2"/>
  <c r="BY5" i="2" s="1"/>
  <c r="AY5" i="2"/>
  <c r="AR6" i="2"/>
  <c r="BV6" i="2" s="1"/>
  <c r="BF5" i="2"/>
  <c r="AE5" i="2"/>
  <c r="BI5" i="2" s="1"/>
  <c r="AI5" i="2"/>
  <c r="BM5" i="2" s="1"/>
  <c r="AJ5" i="2"/>
  <c r="BN5" i="2" s="1"/>
  <c r="AN5" i="2"/>
  <c r="BR5" i="2" s="1"/>
  <c r="AD6" i="2"/>
  <c r="AM5" i="2"/>
  <c r="BQ5" i="2" s="1"/>
  <c r="AH5" i="2"/>
  <c r="BL5" i="2" s="1"/>
  <c r="AG5" i="2"/>
  <c r="AK5" i="2"/>
  <c r="BO5" i="2" s="1"/>
  <c r="AO5" i="2"/>
  <c r="BS5" i="2" s="1"/>
  <c r="DH49" i="8" l="1"/>
  <c r="CC49" i="8"/>
  <c r="AZ50" i="8"/>
  <c r="CQ50" i="8"/>
  <c r="AI51" i="8"/>
  <c r="AJ51" i="8"/>
  <c r="AW51" i="8"/>
  <c r="BL50" i="8"/>
  <c r="AN51" i="8"/>
  <c r="AP51" i="8"/>
  <c r="BB51" i="8"/>
  <c r="BD51" i="8"/>
  <c r="CV50" i="8"/>
  <c r="BQ50" i="8"/>
  <c r="BY49" i="8"/>
  <c r="DD49" i="8"/>
  <c r="DL49" i="8"/>
  <c r="CG49" i="8"/>
  <c r="CE49" i="8"/>
  <c r="DJ49" i="8"/>
  <c r="CR50" i="8"/>
  <c r="BM50" i="8"/>
  <c r="BC50" i="8"/>
  <c r="CH50" i="8"/>
  <c r="DM50" i="8"/>
  <c r="BF50" i="8"/>
  <c r="BF51" i="8" s="1"/>
  <c r="BJ50" i="8"/>
  <c r="AO51" i="8"/>
  <c r="CO50" i="8"/>
  <c r="BC51" i="8"/>
  <c r="AG51" i="8"/>
  <c r="AK51" i="8"/>
  <c r="AU51" i="8"/>
  <c r="BO50" i="8"/>
  <c r="CT50" i="8"/>
  <c r="CP50" i="8"/>
  <c r="BK50" i="8"/>
  <c r="CY50" i="8"/>
  <c r="BT50" i="8"/>
  <c r="AY50" i="8"/>
  <c r="BX49" i="8"/>
  <c r="CK49" i="8" s="1"/>
  <c r="CL49" i="8" s="1"/>
  <c r="DC49" i="8"/>
  <c r="DO49" i="8"/>
  <c r="CJ49" i="8"/>
  <c r="BP50" i="8"/>
  <c r="CU50" i="8"/>
  <c r="CZ50" i="8"/>
  <c r="BU50" i="8"/>
  <c r="AT50" i="8"/>
  <c r="BV49" i="8"/>
  <c r="BA50" i="8"/>
  <c r="AR50" i="8"/>
  <c r="BG50" i="8" s="1"/>
  <c r="AS50" i="8"/>
  <c r="AV50" i="8"/>
  <c r="DA49" i="8"/>
  <c r="DP49" i="8" s="1"/>
  <c r="DQ49" i="8" s="1"/>
  <c r="BI50" i="8"/>
  <c r="CN50" i="8"/>
  <c r="AX50" i="8"/>
  <c r="BR50" i="8"/>
  <c r="CW50" i="8"/>
  <c r="BS50" i="8"/>
  <c r="AQ51" i="8"/>
  <c r="CX50" i="8"/>
  <c r="DB49" i="8"/>
  <c r="BW49" i="8"/>
  <c r="DD50" i="8"/>
  <c r="BY50" i="8"/>
  <c r="DN50" i="8"/>
  <c r="CI50" i="8"/>
  <c r="CS50" i="8"/>
  <c r="AL51" i="8"/>
  <c r="BN50" i="8"/>
  <c r="AF51" i="8"/>
  <c r="AM51" i="8"/>
  <c r="AD51" i="8"/>
  <c r="BH50" i="8"/>
  <c r="CM50" i="8"/>
  <c r="AH51" i="8"/>
  <c r="AE51" i="8"/>
  <c r="BB50" i="8"/>
  <c r="DF50" i="8"/>
  <c r="CA50" i="8"/>
  <c r="DE49" i="8"/>
  <c r="BZ49" i="8"/>
  <c r="DF49" i="6"/>
  <c r="CA49" i="6"/>
  <c r="CS50" i="6"/>
  <c r="BN50" i="6"/>
  <c r="AL51" i="6"/>
  <c r="AN51" i="6"/>
  <c r="AP51" i="6"/>
  <c r="BQ50" i="6"/>
  <c r="CV50" i="6"/>
  <c r="BB51" i="6"/>
  <c r="CT50" i="6"/>
  <c r="BO50" i="6"/>
  <c r="CH49" i="6"/>
  <c r="DM49" i="6"/>
  <c r="BI50" i="6"/>
  <c r="CN50" i="6"/>
  <c r="DG50" i="6"/>
  <c r="CB50" i="6"/>
  <c r="DB49" i="6"/>
  <c r="BW49" i="6"/>
  <c r="CX50" i="6"/>
  <c r="AQ51" i="6"/>
  <c r="BE51" i="6"/>
  <c r="BS50" i="6"/>
  <c r="DL50" i="6"/>
  <c r="CG50" i="6"/>
  <c r="CQ50" i="6"/>
  <c r="BL50" i="6"/>
  <c r="AJ51" i="6"/>
  <c r="AW51" i="6"/>
  <c r="AI51" i="6"/>
  <c r="DK50" i="6"/>
  <c r="CF50" i="6"/>
  <c r="AD51" i="6"/>
  <c r="AE51" i="6"/>
  <c r="AM51" i="6"/>
  <c r="BG50" i="6"/>
  <c r="BH50" i="6"/>
  <c r="AF51" i="6"/>
  <c r="AH51" i="6"/>
  <c r="CM50" i="6"/>
  <c r="CB49" i="6"/>
  <c r="CK49" i="6" s="1"/>
  <c r="CL49" i="6" s="1"/>
  <c r="DG49" i="6"/>
  <c r="AZ50" i="6"/>
  <c r="AZ51" i="6" s="1"/>
  <c r="CZ50" i="6"/>
  <c r="BU50" i="6"/>
  <c r="AT50" i="6"/>
  <c r="AY51" i="6" s="1"/>
  <c r="AV50" i="6"/>
  <c r="BV49" i="6"/>
  <c r="AR50" i="6"/>
  <c r="DA49" i="6"/>
  <c r="DP49" i="6" s="1"/>
  <c r="DQ49" i="6" s="1"/>
  <c r="AS50" i="6"/>
  <c r="BF51" i="6" s="1"/>
  <c r="BA50" i="6"/>
  <c r="CJ49" i="6"/>
  <c r="DO49" i="6"/>
  <c r="BF50" i="6"/>
  <c r="CU50" i="6"/>
  <c r="BP50" i="6"/>
  <c r="DN50" i="6"/>
  <c r="CI50" i="6"/>
  <c r="DE49" i="6"/>
  <c r="BZ49" i="6"/>
  <c r="AW50" i="6"/>
  <c r="BG49" i="6"/>
  <c r="CP50" i="6"/>
  <c r="BK50" i="6"/>
  <c r="BX49" i="6"/>
  <c r="DC49" i="6"/>
  <c r="DH50" i="6"/>
  <c r="CC50" i="6"/>
  <c r="CR50" i="6"/>
  <c r="BM50" i="6"/>
  <c r="BR50" i="6"/>
  <c r="CW50" i="6"/>
  <c r="CH50" i="6"/>
  <c r="DM50" i="6"/>
  <c r="BT50" i="6"/>
  <c r="CY50" i="6"/>
  <c r="BY50" i="6"/>
  <c r="DD50" i="6"/>
  <c r="BJ50" i="6"/>
  <c r="AU51" i="6"/>
  <c r="AK51" i="6"/>
  <c r="CO50" i="6"/>
  <c r="AG51" i="6"/>
  <c r="AO51" i="6"/>
  <c r="DJ49" i="6"/>
  <c r="CE49" i="6"/>
  <c r="AD7" i="6"/>
  <c r="CM7" i="6" s="1"/>
  <c r="AE7" i="6"/>
  <c r="CN7" i="6" s="1"/>
  <c r="BQ6" i="6"/>
  <c r="BT6" i="6"/>
  <c r="AH7" i="6"/>
  <c r="CQ7" i="6" s="1"/>
  <c r="AP7" i="6"/>
  <c r="CY7" i="6" s="1"/>
  <c r="BO6" i="6"/>
  <c r="BH6" i="6"/>
  <c r="AN7" i="6"/>
  <c r="CW7" i="6" s="1"/>
  <c r="BM6" i="6"/>
  <c r="BU6" i="6"/>
  <c r="AM7" i="6"/>
  <c r="CV7" i="6" s="1"/>
  <c r="BL6" i="6"/>
  <c r="BP6" i="6"/>
  <c r="BI6" i="6"/>
  <c r="AI7" i="6"/>
  <c r="CR7" i="6" s="1"/>
  <c r="DM50" i="5"/>
  <c r="CH50" i="5"/>
  <c r="DH50" i="5"/>
  <c r="CC50" i="5"/>
  <c r="AT50" i="5"/>
  <c r="AV50" i="5"/>
  <c r="BA50" i="5"/>
  <c r="DA49" i="5"/>
  <c r="BV49" i="5"/>
  <c r="CK49" i="5" s="1"/>
  <c r="CL49" i="5" s="1"/>
  <c r="AR50" i="5"/>
  <c r="AS50" i="5"/>
  <c r="BF50" i="5"/>
  <c r="DM49" i="5"/>
  <c r="CH49" i="5"/>
  <c r="CP50" i="5"/>
  <c r="BK50" i="5"/>
  <c r="CY50" i="5"/>
  <c r="BT50" i="5"/>
  <c r="DD49" i="5"/>
  <c r="BY49" i="5"/>
  <c r="AU50" i="5"/>
  <c r="DJ49" i="5"/>
  <c r="CE49" i="5"/>
  <c r="CW50" i="5"/>
  <c r="BR50" i="5"/>
  <c r="BG49" i="5"/>
  <c r="BZ49" i="5"/>
  <c r="DE49" i="5"/>
  <c r="BB50" i="5"/>
  <c r="CU50" i="5"/>
  <c r="BP50" i="5"/>
  <c r="CV50" i="5"/>
  <c r="BQ50" i="5"/>
  <c r="AN51" i="5"/>
  <c r="AP51" i="5"/>
  <c r="DB49" i="5"/>
  <c r="BW49" i="5"/>
  <c r="DI50" i="5"/>
  <c r="CD50" i="5"/>
  <c r="CQ50" i="5"/>
  <c r="BL50" i="5"/>
  <c r="AI51" i="5"/>
  <c r="AJ51" i="5"/>
  <c r="BJ50" i="5"/>
  <c r="AG51" i="5"/>
  <c r="AK51" i="5"/>
  <c r="AO51" i="5"/>
  <c r="CO50" i="5"/>
  <c r="DN49" i="5"/>
  <c r="CI49" i="5"/>
  <c r="BI50" i="5"/>
  <c r="CN50" i="5"/>
  <c r="CS50" i="5"/>
  <c r="BN50" i="5"/>
  <c r="AL51" i="5"/>
  <c r="AD51" i="5"/>
  <c r="AE51" i="5"/>
  <c r="AF51" i="5"/>
  <c r="AH51" i="5"/>
  <c r="AM51" i="5"/>
  <c r="BH50" i="5"/>
  <c r="CM50" i="5"/>
  <c r="CR50" i="5"/>
  <c r="BM50" i="5"/>
  <c r="AX50" i="5"/>
  <c r="CT50" i="5"/>
  <c r="BO50" i="5"/>
  <c r="AW50" i="5"/>
  <c r="BG50" i="5" s="1"/>
  <c r="CB49" i="5"/>
  <c r="DG49" i="5"/>
  <c r="CZ50" i="5"/>
  <c r="BU50" i="5"/>
  <c r="BS50" i="5"/>
  <c r="CX50" i="5"/>
  <c r="AQ51" i="5"/>
  <c r="BE50" i="5"/>
  <c r="DC49" i="5"/>
  <c r="DP49" i="5" s="1"/>
  <c r="DQ49" i="5" s="1"/>
  <c r="BX49" i="5"/>
  <c r="BC50" i="5"/>
  <c r="BE51" i="5" s="1"/>
  <c r="BL6" i="5"/>
  <c r="AI7" i="5"/>
  <c r="CR7" i="5" s="1"/>
  <c r="CC6" i="5"/>
  <c r="AE7" i="5"/>
  <c r="CN7" i="5" s="1"/>
  <c r="AH7" i="5"/>
  <c r="CQ7" i="5" s="1"/>
  <c r="CJ50" i="2"/>
  <c r="DO50" i="2"/>
  <c r="DK50" i="2"/>
  <c r="CF50" i="2"/>
  <c r="CJ49" i="2"/>
  <c r="DO49" i="2"/>
  <c r="DH49" i="2"/>
  <c r="CC49" i="2"/>
  <c r="DE49" i="2"/>
  <c r="BZ49" i="2"/>
  <c r="BD50" i="2"/>
  <c r="BI50" i="2"/>
  <c r="CN50" i="2"/>
  <c r="DB49" i="2"/>
  <c r="DP49" i="2" s="1"/>
  <c r="DQ49" i="2" s="1"/>
  <c r="BW49" i="2"/>
  <c r="AX50" i="2"/>
  <c r="AW50" i="2"/>
  <c r="DL49" i="2"/>
  <c r="CG49" i="2"/>
  <c r="AD51" i="2"/>
  <c r="AE51" i="2"/>
  <c r="AF51" i="2"/>
  <c r="BH50" i="2"/>
  <c r="AM51" i="2"/>
  <c r="CM50" i="2"/>
  <c r="AH51" i="2"/>
  <c r="DC49" i="2"/>
  <c r="BX49" i="2"/>
  <c r="CS50" i="2"/>
  <c r="BN50" i="2"/>
  <c r="AL51" i="2"/>
  <c r="CW50" i="2"/>
  <c r="BR50" i="2"/>
  <c r="BC50" i="2"/>
  <c r="BB51" i="2"/>
  <c r="AN51" i="2"/>
  <c r="AP51" i="2"/>
  <c r="BQ50" i="2"/>
  <c r="CV50" i="2"/>
  <c r="BE50" i="2"/>
  <c r="DI50" i="2"/>
  <c r="CD50" i="2"/>
  <c r="AT50" i="2"/>
  <c r="BC51" i="2" s="1"/>
  <c r="AV50" i="2"/>
  <c r="AW51" i="2" s="1"/>
  <c r="BV49" i="2"/>
  <c r="CK49" i="2" s="1"/>
  <c r="CL49" i="2" s="1"/>
  <c r="BA50" i="2"/>
  <c r="AR50" i="2"/>
  <c r="AS50" i="2"/>
  <c r="DA49" i="2"/>
  <c r="CR50" i="2"/>
  <c r="BM50" i="2"/>
  <c r="AY50" i="2"/>
  <c r="BY50" i="2"/>
  <c r="DD50" i="2"/>
  <c r="DF49" i="2"/>
  <c r="CA49" i="2"/>
  <c r="CB49" i="2"/>
  <c r="DG49" i="2"/>
  <c r="AQ51" i="2"/>
  <c r="CX50" i="2"/>
  <c r="BS50" i="2"/>
  <c r="BG49" i="2"/>
  <c r="CP50" i="2"/>
  <c r="BK50" i="2"/>
  <c r="CI49" i="2"/>
  <c r="DN49" i="2"/>
  <c r="DD49" i="2"/>
  <c r="BY49" i="2"/>
  <c r="BT50" i="2"/>
  <c r="CY50" i="2"/>
  <c r="CQ50" i="2"/>
  <c r="BL50" i="2"/>
  <c r="AI51" i="2"/>
  <c r="AJ51" i="2"/>
  <c r="DJ49" i="2"/>
  <c r="CE49" i="2"/>
  <c r="BP50" i="2"/>
  <c r="CU50" i="2"/>
  <c r="CZ50" i="2"/>
  <c r="BU50" i="2"/>
  <c r="CT50" i="2"/>
  <c r="BO50" i="2"/>
  <c r="BJ50" i="2"/>
  <c r="AO51" i="2"/>
  <c r="CO50" i="2"/>
  <c r="AK51" i="2"/>
  <c r="AG51" i="2"/>
  <c r="DK50" i="4"/>
  <c r="CF50" i="4"/>
  <c r="CB50" i="4"/>
  <c r="DG50" i="4"/>
  <c r="DF50" i="4"/>
  <c r="CA50" i="4"/>
  <c r="CI50" i="4"/>
  <c r="DN50" i="4"/>
  <c r="BP50" i="4"/>
  <c r="CU50" i="4"/>
  <c r="CD49" i="4"/>
  <c r="DI49" i="4"/>
  <c r="BN50" i="4"/>
  <c r="AZ51" i="4"/>
  <c r="CS50" i="4"/>
  <c r="AL51" i="4"/>
  <c r="BW49" i="4"/>
  <c r="DB49" i="4"/>
  <c r="CR50" i="4"/>
  <c r="BM50" i="4"/>
  <c r="CB49" i="4"/>
  <c r="DG49" i="4"/>
  <c r="CZ50" i="4"/>
  <c r="BU50" i="4"/>
  <c r="AF51" i="4"/>
  <c r="AH51" i="4"/>
  <c r="CM50" i="4"/>
  <c r="BH50" i="4"/>
  <c r="BF51" i="4"/>
  <c r="AD51" i="4"/>
  <c r="AE51" i="4"/>
  <c r="AM51" i="4"/>
  <c r="CF49" i="4"/>
  <c r="DK49" i="4"/>
  <c r="AZ50" i="4"/>
  <c r="BC50" i="4"/>
  <c r="AT50" i="4"/>
  <c r="AS50" i="4"/>
  <c r="AR50" i="4"/>
  <c r="AV50" i="4"/>
  <c r="AX51" i="4" s="1"/>
  <c r="BV49" i="4"/>
  <c r="BA50" i="4"/>
  <c r="BB51" i="4" s="1"/>
  <c r="DA49" i="4"/>
  <c r="DP49" i="4" s="1"/>
  <c r="DQ49" i="4" s="1"/>
  <c r="DH49" i="4"/>
  <c r="CC49" i="4"/>
  <c r="BG49" i="4"/>
  <c r="BF50" i="4"/>
  <c r="CA49" i="4"/>
  <c r="DF49" i="4"/>
  <c r="DL49" i="4"/>
  <c r="CG49" i="4"/>
  <c r="CE49" i="4"/>
  <c r="DJ49" i="4"/>
  <c r="BJ50" i="4"/>
  <c r="AG51" i="4"/>
  <c r="AO51" i="4"/>
  <c r="CO50" i="4"/>
  <c r="AK51" i="4"/>
  <c r="BC51" i="4"/>
  <c r="BS50" i="4"/>
  <c r="AQ51" i="4"/>
  <c r="CX50" i="4"/>
  <c r="DM49" i="4"/>
  <c r="CH49" i="4"/>
  <c r="BD50" i="4"/>
  <c r="CY50" i="4"/>
  <c r="BT50" i="4"/>
  <c r="BX49" i="4"/>
  <c r="DC49" i="4"/>
  <c r="AU50" i="4"/>
  <c r="BI50" i="4"/>
  <c r="CN50" i="4"/>
  <c r="CT50" i="4"/>
  <c r="BO50" i="4"/>
  <c r="AP51" i="4"/>
  <c r="BQ50" i="4"/>
  <c r="AN51" i="4"/>
  <c r="CV50" i="4"/>
  <c r="CQ50" i="4"/>
  <c r="BL50" i="4"/>
  <c r="AJ51" i="4"/>
  <c r="AI51" i="4"/>
  <c r="AY50" i="4"/>
  <c r="BR50" i="4"/>
  <c r="CW50" i="4"/>
  <c r="DE49" i="4"/>
  <c r="BZ49" i="4"/>
  <c r="CK49" i="4" s="1"/>
  <c r="CL49" i="4" s="1"/>
  <c r="CP50" i="4"/>
  <c r="BK50" i="4"/>
  <c r="AK7" i="4"/>
  <c r="CT7" i="4" s="1"/>
  <c r="AO7" i="4"/>
  <c r="CX7" i="4" s="1"/>
  <c r="AJ7" i="4"/>
  <c r="CS7" i="4" s="1"/>
  <c r="BO6" i="4"/>
  <c r="CF6" i="4"/>
  <c r="AL7" i="4"/>
  <c r="CU7" i="4" s="1"/>
  <c r="BY64" i="3"/>
  <c r="DD64" i="3"/>
  <c r="DI64" i="3"/>
  <c r="CD64" i="3"/>
  <c r="DJ63" i="3"/>
  <c r="CE63" i="3"/>
  <c r="BN64" i="3"/>
  <c r="CS64" i="3"/>
  <c r="AL65" i="3"/>
  <c r="CR64" i="3"/>
  <c r="BM64" i="3"/>
  <c r="CZ64" i="3"/>
  <c r="BU64" i="3"/>
  <c r="BF64" i="3"/>
  <c r="DF64" i="3"/>
  <c r="CA64" i="3"/>
  <c r="DE63" i="3"/>
  <c r="BZ63" i="3"/>
  <c r="AY64" i="3"/>
  <c r="AZ65" i="3" s="1"/>
  <c r="CH64" i="3"/>
  <c r="DM64" i="3"/>
  <c r="BR64" i="3"/>
  <c r="CW64" i="3"/>
  <c r="DL63" i="3"/>
  <c r="CG63" i="3"/>
  <c r="CN64" i="3"/>
  <c r="BI64" i="3"/>
  <c r="CQ64" i="3"/>
  <c r="BL64" i="3"/>
  <c r="AJ65" i="3"/>
  <c r="AI65" i="3"/>
  <c r="BC64" i="3"/>
  <c r="BB64" i="3"/>
  <c r="AT64" i="3"/>
  <c r="AV64" i="3"/>
  <c r="DA63" i="3"/>
  <c r="DP63" i="3" s="1"/>
  <c r="DQ63" i="3" s="1"/>
  <c r="BV63" i="3"/>
  <c r="CK63" i="3" s="1"/>
  <c r="CL63" i="3" s="1"/>
  <c r="BA64" i="3"/>
  <c r="AR64" i="3"/>
  <c r="AS64" i="3"/>
  <c r="AE65" i="3"/>
  <c r="AF65" i="3"/>
  <c r="AD65" i="3"/>
  <c r="AM65" i="3"/>
  <c r="BH64" i="3"/>
  <c r="AH65" i="3"/>
  <c r="CM64" i="3"/>
  <c r="CP64" i="3"/>
  <c r="BK64" i="3"/>
  <c r="DN64" i="3"/>
  <c r="CI64" i="3"/>
  <c r="BJ64" i="3"/>
  <c r="AU65" i="3"/>
  <c r="AK65" i="3"/>
  <c r="BC65" i="3"/>
  <c r="AG65" i="3"/>
  <c r="AO65" i="3"/>
  <c r="CO64" i="3"/>
  <c r="CX64" i="3"/>
  <c r="BS64" i="3"/>
  <c r="BE65" i="3"/>
  <c r="AQ65" i="3"/>
  <c r="DG64" i="3"/>
  <c r="CB64" i="3"/>
  <c r="DH63" i="3"/>
  <c r="CC63" i="3"/>
  <c r="BP64" i="3"/>
  <c r="CU64" i="3"/>
  <c r="BX63" i="3"/>
  <c r="DC63" i="3"/>
  <c r="DB63" i="3"/>
  <c r="BW63" i="3"/>
  <c r="BQ64" i="3"/>
  <c r="AN65" i="3"/>
  <c r="CV64" i="3"/>
  <c r="AP65" i="3"/>
  <c r="BD65" i="3"/>
  <c r="BO64" i="3"/>
  <c r="CT64" i="3"/>
  <c r="CY64" i="3"/>
  <c r="BT64" i="3"/>
  <c r="CL4" i="3"/>
  <c r="DQ4" i="3"/>
  <c r="CB6" i="8"/>
  <c r="BS6" i="5"/>
  <c r="BI6" i="8"/>
  <c r="BU6" i="8"/>
  <c r="AU7" i="8"/>
  <c r="DD7" i="8" s="1"/>
  <c r="AY7" i="8"/>
  <c r="DH7" i="8" s="1"/>
  <c r="AO7" i="8"/>
  <c r="CX7" i="8" s="1"/>
  <c r="AK7" i="8"/>
  <c r="CT7" i="8" s="1"/>
  <c r="AG7" i="8"/>
  <c r="CP7" i="8" s="1"/>
  <c r="BC7" i="8"/>
  <c r="DL7" i="8" s="1"/>
  <c r="BJ6" i="8"/>
  <c r="AK7" i="5"/>
  <c r="CT7" i="5" s="1"/>
  <c r="AV7" i="8"/>
  <c r="DE7" i="8" s="1"/>
  <c r="AS7" i="8"/>
  <c r="DB7" i="8" s="1"/>
  <c r="AT7" i="8"/>
  <c r="DC7" i="8" s="1"/>
  <c r="AR7" i="8"/>
  <c r="DA7" i="8" s="1"/>
  <c r="BA7" i="8"/>
  <c r="DJ7" i="8" s="1"/>
  <c r="BV6" i="8"/>
  <c r="BK6" i="5"/>
  <c r="CE6" i="8"/>
  <c r="AP7" i="5"/>
  <c r="CY7" i="5" s="1"/>
  <c r="AQ7" i="8"/>
  <c r="CZ7" i="8" s="1"/>
  <c r="BE7" i="8"/>
  <c r="DN7" i="8" s="1"/>
  <c r="BS6" i="8"/>
  <c r="CK5" i="4"/>
  <c r="CL5" i="4" s="1"/>
  <c r="BO6" i="5"/>
  <c r="CH6" i="8"/>
  <c r="BN6" i="6"/>
  <c r="AJ7" i="6"/>
  <c r="CS7" i="6" s="1"/>
  <c r="AL7" i="6"/>
  <c r="CU7" i="6" s="1"/>
  <c r="BY6" i="6"/>
  <c r="DO6" i="8"/>
  <c r="CJ6" i="8"/>
  <c r="BK6" i="8"/>
  <c r="BF7" i="8"/>
  <c r="AM7" i="8"/>
  <c r="CV7" i="8" s="1"/>
  <c r="BG6" i="8"/>
  <c r="AH7" i="8"/>
  <c r="CQ7" i="8" s="1"/>
  <c r="AD7" i="8"/>
  <c r="CM7" i="8" s="1"/>
  <c r="AF7" i="8"/>
  <c r="CO7" i="8" s="1"/>
  <c r="AE7" i="8"/>
  <c r="CN7" i="8" s="1"/>
  <c r="BH6" i="8"/>
  <c r="AK7" i="6"/>
  <c r="CT7" i="6" s="1"/>
  <c r="AZ7" i="8"/>
  <c r="DI7" i="8" s="1"/>
  <c r="AL7" i="8"/>
  <c r="CU7" i="8" s="1"/>
  <c r="BN6" i="8"/>
  <c r="BM6" i="8"/>
  <c r="AO7" i="5"/>
  <c r="CX7" i="5" s="1"/>
  <c r="AR7" i="3"/>
  <c r="DA7" i="3" s="1"/>
  <c r="AG7" i="5"/>
  <c r="CP7" i="5" s="1"/>
  <c r="BQ6" i="5"/>
  <c r="AF7" i="6"/>
  <c r="CO7" i="6" s="1"/>
  <c r="BR6" i="8"/>
  <c r="AN7" i="5"/>
  <c r="CW7" i="5" s="1"/>
  <c r="AJ7" i="5"/>
  <c r="CS7" i="5" s="1"/>
  <c r="BT6" i="8"/>
  <c r="CL4" i="8"/>
  <c r="BX6" i="8"/>
  <c r="CG6" i="8"/>
  <c r="BB7" i="4"/>
  <c r="DK7" i="4" s="1"/>
  <c r="CK5" i="8"/>
  <c r="CL5" i="8" s="1"/>
  <c r="BN6" i="5"/>
  <c r="BJ6" i="6"/>
  <c r="CC6" i="8"/>
  <c r="AW7" i="8"/>
  <c r="DF7" i="8" s="1"/>
  <c r="AX7" i="8"/>
  <c r="DG7" i="8" s="1"/>
  <c r="AJ7" i="8"/>
  <c r="CS7" i="8" s="1"/>
  <c r="AI7" i="8"/>
  <c r="CR7" i="8" s="1"/>
  <c r="BL6" i="8"/>
  <c r="AF7" i="5"/>
  <c r="CO7" i="5" s="1"/>
  <c r="DP5" i="8"/>
  <c r="CD6" i="8"/>
  <c r="AQ7" i="5"/>
  <c r="CZ7" i="5" s="1"/>
  <c r="BJ6" i="5"/>
  <c r="BP6" i="8"/>
  <c r="CI6" i="8"/>
  <c r="BW6" i="8"/>
  <c r="CF6" i="8"/>
  <c r="BI6" i="5"/>
  <c r="BZ6" i="8"/>
  <c r="BO6" i="8"/>
  <c r="AL7" i="5"/>
  <c r="CU7" i="5" s="1"/>
  <c r="AM7" i="5"/>
  <c r="CV7" i="5" s="1"/>
  <c r="AO7" i="6"/>
  <c r="CX7" i="6" s="1"/>
  <c r="AP7" i="8"/>
  <c r="CY7" i="8" s="1"/>
  <c r="AN7" i="8"/>
  <c r="CW7" i="8" s="1"/>
  <c r="BD7" i="8"/>
  <c r="DM7" i="8" s="1"/>
  <c r="BB7" i="8"/>
  <c r="DK7" i="8" s="1"/>
  <c r="BQ6" i="8"/>
  <c r="CA6" i="8"/>
  <c r="BY6" i="8"/>
  <c r="AW7" i="6"/>
  <c r="DF7" i="6" s="1"/>
  <c r="AZ7" i="6"/>
  <c r="DI7" i="6" s="1"/>
  <c r="DG6" i="6"/>
  <c r="BD7" i="6"/>
  <c r="DM7" i="6" s="1"/>
  <c r="DK6" i="6"/>
  <c r="AY7" i="6"/>
  <c r="DH7" i="6" s="1"/>
  <c r="BC7" i="6"/>
  <c r="DL7" i="6" s="1"/>
  <c r="CK5" i="6"/>
  <c r="CL5" i="6" s="1"/>
  <c r="DQ5" i="6"/>
  <c r="BV6" i="3"/>
  <c r="BB7" i="6"/>
  <c r="DK7" i="6" s="1"/>
  <c r="CH6" i="6"/>
  <c r="BL7" i="6"/>
  <c r="BO7" i="6"/>
  <c r="CI6" i="5"/>
  <c r="BR7" i="6"/>
  <c r="CG6" i="6"/>
  <c r="BK6" i="3"/>
  <c r="BE7" i="6"/>
  <c r="DN7" i="6" s="1"/>
  <c r="BU7" i="6"/>
  <c r="CF6" i="6"/>
  <c r="CC6" i="6"/>
  <c r="CJ6" i="6"/>
  <c r="DO6" i="6"/>
  <c r="CB6" i="6"/>
  <c r="BY6" i="4"/>
  <c r="AX7" i="6"/>
  <c r="DG7" i="6" s="1"/>
  <c r="CC6" i="4"/>
  <c r="BE7" i="5"/>
  <c r="DN7" i="5" s="1"/>
  <c r="BM7" i="6"/>
  <c r="BX6" i="6"/>
  <c r="CA6" i="4"/>
  <c r="BZ6" i="6"/>
  <c r="BX6" i="4"/>
  <c r="CD6" i="6"/>
  <c r="BF7" i="6"/>
  <c r="BG6" i="6"/>
  <c r="BS7" i="6"/>
  <c r="AH8" i="6"/>
  <c r="CQ8" i="6" s="1"/>
  <c r="AF8" i="6"/>
  <c r="CO8" i="6" s="1"/>
  <c r="AE8" i="6"/>
  <c r="CN8" i="6" s="1"/>
  <c r="AD8" i="6"/>
  <c r="CM8" i="6" s="1"/>
  <c r="AM8" i="6"/>
  <c r="CV8" i="6" s="1"/>
  <c r="BH7" i="6"/>
  <c r="CE6" i="6"/>
  <c r="CH6" i="4"/>
  <c r="AY7" i="5"/>
  <c r="DH7" i="5" s="1"/>
  <c r="DC6" i="5"/>
  <c r="AU7" i="6"/>
  <c r="BI7" i="6"/>
  <c r="BA7" i="6"/>
  <c r="DJ7" i="6" s="1"/>
  <c r="AV7" i="6"/>
  <c r="AT7" i="6"/>
  <c r="DC7" i="6" s="1"/>
  <c r="AS7" i="6"/>
  <c r="DB7" i="6" s="1"/>
  <c r="AR7" i="6"/>
  <c r="DA7" i="6" s="1"/>
  <c r="BV6" i="6"/>
  <c r="BK7" i="6"/>
  <c r="AG8" i="6"/>
  <c r="CP8" i="6" s="1"/>
  <c r="AK8" i="6"/>
  <c r="CT8" i="6" s="1"/>
  <c r="BJ7" i="6"/>
  <c r="BW6" i="6"/>
  <c r="CA6" i="5"/>
  <c r="CK5" i="5"/>
  <c r="CL5" i="5" s="1"/>
  <c r="BD7" i="5"/>
  <c r="DM7" i="5" s="1"/>
  <c r="BC7" i="5"/>
  <c r="DL7" i="5" s="1"/>
  <c r="AW7" i="5"/>
  <c r="DF7" i="5" s="1"/>
  <c r="AX7" i="5"/>
  <c r="DG7" i="5" s="1"/>
  <c r="CB7" i="5"/>
  <c r="CG6" i="4"/>
  <c r="BY6" i="5"/>
  <c r="AW7" i="4"/>
  <c r="DF7" i="4" s="1"/>
  <c r="AX7" i="4"/>
  <c r="DG7" i="4" s="1"/>
  <c r="AZ7" i="5"/>
  <c r="DI7" i="5" s="1"/>
  <c r="BR7" i="5"/>
  <c r="AZ7" i="4"/>
  <c r="DI7" i="4" s="1"/>
  <c r="CB6" i="4"/>
  <c r="BA7" i="4"/>
  <c r="DJ7" i="4" s="1"/>
  <c r="BC7" i="4"/>
  <c r="DL7" i="4" s="1"/>
  <c r="BG6" i="4"/>
  <c r="BG6" i="5"/>
  <c r="BM7" i="5"/>
  <c r="CE6" i="5"/>
  <c r="CB6" i="5"/>
  <c r="BE7" i="4"/>
  <c r="DN7" i="4" s="1"/>
  <c r="CF6" i="5"/>
  <c r="AY7" i="4"/>
  <c r="DH7" i="4" s="1"/>
  <c r="BB7" i="5"/>
  <c r="DK7" i="5" s="1"/>
  <c r="AV7" i="4"/>
  <c r="DE7" i="4" s="1"/>
  <c r="BD7" i="4"/>
  <c r="DM7" i="4" s="1"/>
  <c r="BZ6" i="5"/>
  <c r="BI7" i="5"/>
  <c r="AU7" i="5"/>
  <c r="DD7" i="5" s="1"/>
  <c r="AD8" i="5"/>
  <c r="CM8" i="5" s="1"/>
  <c r="AE8" i="5"/>
  <c r="CN8" i="5" s="1"/>
  <c r="BH7" i="5"/>
  <c r="AV7" i="5"/>
  <c r="DE7" i="5" s="1"/>
  <c r="BA7" i="5"/>
  <c r="AS7" i="5"/>
  <c r="DB7" i="5" s="1"/>
  <c r="AT7" i="5"/>
  <c r="DC7" i="5" s="1"/>
  <c r="AR7" i="5"/>
  <c r="DA7" i="5" s="1"/>
  <c r="BV6" i="5"/>
  <c r="BJ7" i="5"/>
  <c r="BN7" i="5"/>
  <c r="BF7" i="5"/>
  <c r="BF7" i="4"/>
  <c r="DO7" i="4" s="1"/>
  <c r="CJ6" i="5"/>
  <c r="DO6" i="5"/>
  <c r="BW6" i="5"/>
  <c r="BO7" i="5"/>
  <c r="CC7" i="5"/>
  <c r="AU7" i="4"/>
  <c r="DD7" i="4" s="1"/>
  <c r="AT7" i="4"/>
  <c r="DC7" i="4" s="1"/>
  <c r="CJ6" i="4"/>
  <c r="BX6" i="5"/>
  <c r="AI7" i="3"/>
  <c r="CR7" i="3" s="1"/>
  <c r="CQ6" i="3"/>
  <c r="AE7" i="3"/>
  <c r="CN7" i="3" s="1"/>
  <c r="CN6" i="3"/>
  <c r="CH6" i="3"/>
  <c r="DM6" i="3"/>
  <c r="BU6" i="3"/>
  <c r="CZ6" i="3"/>
  <c r="CD6" i="3"/>
  <c r="DI6" i="3"/>
  <c r="BT6" i="3"/>
  <c r="CY6" i="3"/>
  <c r="CB6" i="3"/>
  <c r="DG6" i="3"/>
  <c r="BM7" i="4"/>
  <c r="AQ8" i="4"/>
  <c r="CZ8" i="4" s="1"/>
  <c r="BS7" i="4"/>
  <c r="DP6" i="4"/>
  <c r="DQ6" i="4" s="1"/>
  <c r="BO7" i="4"/>
  <c r="BW6" i="3"/>
  <c r="AO8" i="4"/>
  <c r="CX8" i="4" s="1"/>
  <c r="AK8" i="4"/>
  <c r="CT8" i="4" s="1"/>
  <c r="AG8" i="4"/>
  <c r="CP8" i="4" s="1"/>
  <c r="BJ7" i="4"/>
  <c r="BT7" i="4"/>
  <c r="BP7" i="4"/>
  <c r="AJ8" i="4"/>
  <c r="CS8" i="4" s="1"/>
  <c r="AI8" i="4"/>
  <c r="CR8" i="4" s="1"/>
  <c r="BL7" i="4"/>
  <c r="AS8" i="4"/>
  <c r="DB8" i="4" s="1"/>
  <c r="AR8" i="4"/>
  <c r="DA8" i="4" s="1"/>
  <c r="BV7" i="4"/>
  <c r="BU7" i="4"/>
  <c r="AP8" i="4"/>
  <c r="CY8" i="4" s="1"/>
  <c r="AN8" i="4"/>
  <c r="CW8" i="4" s="1"/>
  <c r="BQ7" i="4"/>
  <c r="CH7" i="4"/>
  <c r="CD7" i="4"/>
  <c r="BW7" i="4"/>
  <c r="AM8" i="4"/>
  <c r="CV8" i="4" s="1"/>
  <c r="AH8" i="4"/>
  <c r="CQ8" i="4" s="1"/>
  <c r="AD8" i="4"/>
  <c r="CM8" i="4" s="1"/>
  <c r="AF8" i="4"/>
  <c r="CO8" i="4" s="1"/>
  <c r="AE8" i="4"/>
  <c r="CN8" i="4" s="1"/>
  <c r="BH7" i="4"/>
  <c r="AL8" i="4"/>
  <c r="CU8" i="4" s="1"/>
  <c r="BN7" i="4"/>
  <c r="BK7" i="4"/>
  <c r="BI7" i="4"/>
  <c r="BR7" i="4"/>
  <c r="CF6" i="3"/>
  <c r="CG6" i="3"/>
  <c r="BB7" i="3"/>
  <c r="BR6" i="3"/>
  <c r="BQ6" i="3"/>
  <c r="AQ7" i="3"/>
  <c r="CZ7" i="3" s="1"/>
  <c r="AW7" i="3"/>
  <c r="DF7" i="3" s="1"/>
  <c r="CE6" i="3"/>
  <c r="BO6" i="3"/>
  <c r="BM6" i="3"/>
  <c r="CC6" i="3"/>
  <c r="CI6" i="3"/>
  <c r="CA6" i="3"/>
  <c r="BL6" i="3"/>
  <c r="AP7" i="3"/>
  <c r="CY7" i="3" s="1"/>
  <c r="BI6" i="3"/>
  <c r="AX7" i="3"/>
  <c r="AN7" i="3"/>
  <c r="CW7" i="3" s="1"/>
  <c r="AZ7" i="3"/>
  <c r="DI7" i="3" s="1"/>
  <c r="BS6" i="3"/>
  <c r="BE7" i="3"/>
  <c r="DN7" i="3" s="1"/>
  <c r="AO7" i="3"/>
  <c r="AM7" i="3"/>
  <c r="CV7" i="3" s="1"/>
  <c r="BZ6" i="3"/>
  <c r="BN6" i="3"/>
  <c r="AS7" i="3"/>
  <c r="DB7" i="3" s="1"/>
  <c r="BD7" i="3"/>
  <c r="DM7" i="3" s="1"/>
  <c r="AV7" i="3"/>
  <c r="DE7" i="3" s="1"/>
  <c r="AH7" i="3"/>
  <c r="BA7" i="3"/>
  <c r="DJ7" i="3" s="1"/>
  <c r="AF7" i="3"/>
  <c r="CO7" i="3" s="1"/>
  <c r="BF7" i="3"/>
  <c r="DO7" i="3" s="1"/>
  <c r="AL7" i="3"/>
  <c r="BJ6" i="3"/>
  <c r="BC7" i="3"/>
  <c r="DL7" i="3" s="1"/>
  <c r="CK5" i="3"/>
  <c r="CL5" i="3" s="1"/>
  <c r="BX6" i="3"/>
  <c r="AG7" i="3"/>
  <c r="AK7" i="3"/>
  <c r="BP6" i="3"/>
  <c r="AJ7" i="3"/>
  <c r="CS7" i="3" s="1"/>
  <c r="DP5" i="3"/>
  <c r="DQ5" i="3" s="1"/>
  <c r="AU7" i="3"/>
  <c r="DD7" i="3" s="1"/>
  <c r="AY7" i="3"/>
  <c r="DH7" i="3" s="1"/>
  <c r="AT7" i="3"/>
  <c r="DC7" i="3" s="1"/>
  <c r="BY6" i="3"/>
  <c r="BG6" i="3"/>
  <c r="CJ6" i="3"/>
  <c r="DH5" i="2"/>
  <c r="CC5" i="2"/>
  <c r="CP5" i="2"/>
  <c r="BK5" i="2"/>
  <c r="AD8" i="3"/>
  <c r="CM8" i="3" s="1"/>
  <c r="BH7" i="3"/>
  <c r="CM6" i="2"/>
  <c r="BH6" i="2"/>
  <c r="CO5" i="2"/>
  <c r="DA6" i="2"/>
  <c r="DM5" i="2"/>
  <c r="DK5" i="2"/>
  <c r="DC5" i="2"/>
  <c r="CN5" i="2"/>
  <c r="CY5" i="2"/>
  <c r="CW5" i="2"/>
  <c r="DD5" i="2"/>
  <c r="DB5" i="2"/>
  <c r="CK4" i="2"/>
  <c r="CL4" i="2" s="1"/>
  <c r="DG5" i="2"/>
  <c r="CJ5" i="2"/>
  <c r="DO5" i="2"/>
  <c r="CS5" i="2"/>
  <c r="CX5" i="2"/>
  <c r="DF5" i="2"/>
  <c r="DE5" i="2"/>
  <c r="CR5" i="2"/>
  <c r="CT5" i="2"/>
  <c r="DJ5" i="2"/>
  <c r="CQ5" i="2"/>
  <c r="DP4" i="2"/>
  <c r="DQ4" i="2" s="1"/>
  <c r="DL5" i="2"/>
  <c r="CV5" i="2"/>
  <c r="BG5" i="2"/>
  <c r="BC6" i="2"/>
  <c r="CG6" i="2" s="1"/>
  <c r="AG6" i="2"/>
  <c r="BK6" i="2" s="1"/>
  <c r="AT6" i="2"/>
  <c r="BX6" i="2" s="1"/>
  <c r="AX6" i="2"/>
  <c r="CB6" i="2" s="1"/>
  <c r="AS6" i="2"/>
  <c r="BW6" i="2" s="1"/>
  <c r="BA6" i="2"/>
  <c r="CE6" i="2" s="1"/>
  <c r="AW6" i="2"/>
  <c r="CA6" i="2" s="1"/>
  <c r="AQ6" i="2"/>
  <c r="BU6" i="2" s="1"/>
  <c r="BE6" i="2"/>
  <c r="CI6" i="2" s="1"/>
  <c r="AZ6" i="2"/>
  <c r="CD6" i="2" s="1"/>
  <c r="AY6" i="2"/>
  <c r="CC6" i="2" s="1"/>
  <c r="BF6" i="2"/>
  <c r="AU6" i="2"/>
  <c r="BB6" i="2"/>
  <c r="CF6" i="2" s="1"/>
  <c r="BD6" i="2"/>
  <c r="CH6" i="2" s="1"/>
  <c r="AP6" i="2"/>
  <c r="BT6" i="2" s="1"/>
  <c r="AR7" i="2"/>
  <c r="BV7" i="2" s="1"/>
  <c r="AV6" i="2"/>
  <c r="BZ6" i="2" s="1"/>
  <c r="AM6" i="2"/>
  <c r="BQ6" i="2" s="1"/>
  <c r="AE6" i="2"/>
  <c r="BI6" i="2" s="1"/>
  <c r="AF6" i="2"/>
  <c r="BJ6" i="2" s="1"/>
  <c r="AD7" i="2"/>
  <c r="AH6" i="2"/>
  <c r="BL6" i="2" s="1"/>
  <c r="AO6" i="2"/>
  <c r="BS6" i="2" s="1"/>
  <c r="AL6" i="2"/>
  <c r="BP6" i="2" s="1"/>
  <c r="AK6" i="2"/>
  <c r="BO6" i="2" s="1"/>
  <c r="AJ6" i="2"/>
  <c r="BN6" i="2" s="1"/>
  <c r="AI6" i="2"/>
  <c r="BM6" i="2" s="1"/>
  <c r="AN6" i="2"/>
  <c r="DO51" i="8" l="1"/>
  <c r="CJ51" i="8"/>
  <c r="DL51" i="8"/>
  <c r="CG51" i="8"/>
  <c r="CH51" i="8"/>
  <c r="DM51" i="8"/>
  <c r="DK51" i="8"/>
  <c r="CF51" i="8"/>
  <c r="CY51" i="8"/>
  <c r="BT51" i="8"/>
  <c r="BZ50" i="8"/>
  <c r="DE50" i="8"/>
  <c r="BR51" i="8"/>
  <c r="CW51" i="8"/>
  <c r="BW50" i="8"/>
  <c r="CK50" i="8" s="1"/>
  <c r="CL50" i="8" s="1"/>
  <c r="DB50" i="8"/>
  <c r="AQ52" i="8"/>
  <c r="CX51" i="8"/>
  <c r="BS51" i="8"/>
  <c r="DH50" i="8"/>
  <c r="CC50" i="8"/>
  <c r="DJ50" i="8"/>
  <c r="CE50" i="8"/>
  <c r="BL51" i="8"/>
  <c r="AJ52" i="8"/>
  <c r="AW52" i="8"/>
  <c r="AI52" i="8"/>
  <c r="CQ51" i="8"/>
  <c r="CR51" i="8"/>
  <c r="BM51" i="8"/>
  <c r="DC50" i="8"/>
  <c r="BX50" i="8"/>
  <c r="AX51" i="8"/>
  <c r="DG50" i="8"/>
  <c r="CB50" i="8"/>
  <c r="AZ51" i="8"/>
  <c r="CG50" i="8"/>
  <c r="DL50" i="8"/>
  <c r="BE51" i="8"/>
  <c r="BO51" i="8"/>
  <c r="CT51" i="8"/>
  <c r="DI50" i="8"/>
  <c r="CD50" i="8"/>
  <c r="CO51" i="8"/>
  <c r="AG52" i="8"/>
  <c r="AO52" i="8"/>
  <c r="AK52" i="8"/>
  <c r="BJ51" i="8"/>
  <c r="BP51" i="8"/>
  <c r="CU51" i="8"/>
  <c r="CA51" i="8"/>
  <c r="DF51" i="8"/>
  <c r="CN51" i="8"/>
  <c r="BI51" i="8"/>
  <c r="BH51" i="8"/>
  <c r="AF52" i="8"/>
  <c r="AM52" i="8"/>
  <c r="CM51" i="8"/>
  <c r="AD52" i="8"/>
  <c r="AE52" i="8"/>
  <c r="AH52" i="8"/>
  <c r="CZ51" i="8"/>
  <c r="BU51" i="8"/>
  <c r="AY51" i="8"/>
  <c r="AZ52" i="8" s="1"/>
  <c r="DO50" i="8"/>
  <c r="CJ50" i="8"/>
  <c r="DK50" i="8"/>
  <c r="CF50" i="8"/>
  <c r="AR51" i="8"/>
  <c r="AS51" i="8"/>
  <c r="BF52" i="8" s="1"/>
  <c r="AT51" i="8"/>
  <c r="BC52" i="8" s="1"/>
  <c r="BA51" i="8"/>
  <c r="BV50" i="8"/>
  <c r="DA50" i="8"/>
  <c r="DP50" i="8" s="1"/>
  <c r="DQ50" i="8" s="1"/>
  <c r="AV51" i="8"/>
  <c r="CS51" i="8"/>
  <c r="BN51" i="8"/>
  <c r="AL52" i="8"/>
  <c r="DD51" i="8"/>
  <c r="BY51" i="8"/>
  <c r="AP52" i="8"/>
  <c r="CV51" i="8"/>
  <c r="BB52" i="8"/>
  <c r="AN52" i="8"/>
  <c r="BQ51" i="8"/>
  <c r="BD52" i="8"/>
  <c r="CP51" i="8"/>
  <c r="BK51" i="8"/>
  <c r="CD51" i="6"/>
  <c r="DI51" i="6"/>
  <c r="DH51" i="6"/>
  <c r="CC51" i="6"/>
  <c r="DO51" i="6"/>
  <c r="CJ51" i="6"/>
  <c r="DF51" i="6"/>
  <c r="CA51" i="6"/>
  <c r="CQ51" i="6"/>
  <c r="BL51" i="6"/>
  <c r="AI52" i="6"/>
  <c r="AW52" i="6"/>
  <c r="AJ52" i="6"/>
  <c r="CF51" i="6"/>
  <c r="DK51" i="6"/>
  <c r="BO51" i="6"/>
  <c r="CT51" i="6"/>
  <c r="CO51" i="6"/>
  <c r="BJ51" i="6"/>
  <c r="AK52" i="6"/>
  <c r="AG52" i="6"/>
  <c r="AO52" i="6"/>
  <c r="DJ50" i="6"/>
  <c r="CE50" i="6"/>
  <c r="CI51" i="6"/>
  <c r="DN51" i="6"/>
  <c r="BD51" i="6"/>
  <c r="BE52" i="6" s="1"/>
  <c r="AL52" i="6"/>
  <c r="BN51" i="6"/>
  <c r="CS51" i="6"/>
  <c r="BC51" i="6"/>
  <c r="DD51" i="6"/>
  <c r="BY51" i="6"/>
  <c r="CZ51" i="6"/>
  <c r="BU51" i="6"/>
  <c r="DO50" i="6"/>
  <c r="CJ50" i="6"/>
  <c r="CP51" i="6"/>
  <c r="BK51" i="6"/>
  <c r="BW50" i="6"/>
  <c r="CK50" i="6" s="1"/>
  <c r="CL50" i="6" s="1"/>
  <c r="DB50" i="6"/>
  <c r="AP52" i="6"/>
  <c r="CV51" i="6"/>
  <c r="AN52" i="6"/>
  <c r="BQ51" i="6"/>
  <c r="CW51" i="6"/>
  <c r="BR51" i="6"/>
  <c r="AR51" i="6"/>
  <c r="BG51" i="6" s="1"/>
  <c r="AS51" i="6"/>
  <c r="AT51" i="6"/>
  <c r="BV50" i="6"/>
  <c r="AV51" i="6"/>
  <c r="AX52" i="6" s="1"/>
  <c r="DA50" i="6"/>
  <c r="DP50" i="6" s="1"/>
  <c r="DQ50" i="6" s="1"/>
  <c r="BA51" i="6"/>
  <c r="BD52" i="6" s="1"/>
  <c r="CN51" i="6"/>
  <c r="BI51" i="6"/>
  <c r="BH51" i="6"/>
  <c r="AD52" i="6"/>
  <c r="CM51" i="6"/>
  <c r="AH52" i="6"/>
  <c r="AM52" i="6"/>
  <c r="AF52" i="6"/>
  <c r="AE52" i="6"/>
  <c r="BP51" i="6"/>
  <c r="CU51" i="6"/>
  <c r="BZ50" i="6"/>
  <c r="DE50" i="6"/>
  <c r="BX50" i="6"/>
  <c r="DC50" i="6"/>
  <c r="BM51" i="6"/>
  <c r="CR51" i="6"/>
  <c r="DI50" i="6"/>
  <c r="CD50" i="6"/>
  <c r="AQ52" i="6"/>
  <c r="BS51" i="6"/>
  <c r="CX51" i="6"/>
  <c r="CY51" i="6"/>
  <c r="BT51" i="6"/>
  <c r="DF50" i="6"/>
  <c r="CA50" i="6"/>
  <c r="AX51" i="6"/>
  <c r="AI8" i="6"/>
  <c r="CR8" i="6" s="1"/>
  <c r="AQ8" i="6"/>
  <c r="CZ8" i="6" s="1"/>
  <c r="CA7" i="6"/>
  <c r="AJ8" i="6"/>
  <c r="CS8" i="6" s="1"/>
  <c r="BQ7" i="6"/>
  <c r="BN7" i="6"/>
  <c r="BT7" i="6"/>
  <c r="AL8" i="6"/>
  <c r="CU8" i="6" s="1"/>
  <c r="DP6" i="6"/>
  <c r="AN8" i="6"/>
  <c r="CW8" i="6" s="1"/>
  <c r="DN51" i="5"/>
  <c r="CI51" i="5"/>
  <c r="CR51" i="5"/>
  <c r="BM51" i="5"/>
  <c r="AX51" i="5"/>
  <c r="DK50" i="5"/>
  <c r="CF50" i="5"/>
  <c r="AW51" i="5"/>
  <c r="DG50" i="5"/>
  <c r="CB50" i="5"/>
  <c r="DO50" i="5"/>
  <c r="CJ50" i="5"/>
  <c r="DB50" i="5"/>
  <c r="BW50" i="5"/>
  <c r="CK50" i="5" s="1"/>
  <c r="CL50" i="5" s="1"/>
  <c r="AR51" i="5"/>
  <c r="AS51" i="5"/>
  <c r="AT51" i="5"/>
  <c r="AV51" i="5"/>
  <c r="BA51" i="5"/>
  <c r="DA50" i="5"/>
  <c r="BV50" i="5"/>
  <c r="CI50" i="5"/>
  <c r="DN50" i="5"/>
  <c r="BF51" i="5"/>
  <c r="AQ52" i="5"/>
  <c r="CX51" i="5"/>
  <c r="BS51" i="5"/>
  <c r="CU51" i="5"/>
  <c r="BP51" i="5"/>
  <c r="CZ51" i="5"/>
  <c r="BU51" i="5"/>
  <c r="BC51" i="5"/>
  <c r="CY51" i="5"/>
  <c r="BT51" i="5"/>
  <c r="DJ50" i="5"/>
  <c r="CE50" i="5"/>
  <c r="BQ51" i="5"/>
  <c r="BB52" i="5"/>
  <c r="AN52" i="5"/>
  <c r="AP52" i="5"/>
  <c r="CV51" i="5"/>
  <c r="CT51" i="5"/>
  <c r="BO51" i="5"/>
  <c r="BD51" i="5"/>
  <c r="DD50" i="5"/>
  <c r="BY50" i="5"/>
  <c r="BZ50" i="5"/>
  <c r="DE50" i="5"/>
  <c r="CQ51" i="5"/>
  <c r="BL51" i="5"/>
  <c r="AI52" i="5"/>
  <c r="AJ52" i="5"/>
  <c r="AY51" i="5"/>
  <c r="CW51" i="5"/>
  <c r="BR51" i="5"/>
  <c r="DC50" i="5"/>
  <c r="DP50" i="5" s="1"/>
  <c r="DQ50" i="5" s="1"/>
  <c r="BX50" i="5"/>
  <c r="DL50" i="5"/>
  <c r="CG50" i="5"/>
  <c r="CO51" i="5"/>
  <c r="BJ51" i="5"/>
  <c r="AU52" i="5"/>
  <c r="AG52" i="5"/>
  <c r="AK52" i="5"/>
  <c r="AO52" i="5"/>
  <c r="BC52" i="5"/>
  <c r="CP51" i="5"/>
  <c r="BK51" i="5"/>
  <c r="BB51" i="5"/>
  <c r="BD52" i="5" s="1"/>
  <c r="DF50" i="5"/>
  <c r="CA50" i="5"/>
  <c r="CN51" i="5"/>
  <c r="BI51" i="5"/>
  <c r="AU51" i="5"/>
  <c r="BH51" i="5"/>
  <c r="AD52" i="5"/>
  <c r="AE52" i="5"/>
  <c r="AF52" i="5"/>
  <c r="AH52" i="5"/>
  <c r="AM52" i="5"/>
  <c r="CM51" i="5"/>
  <c r="AZ51" i="5"/>
  <c r="AZ52" i="5" s="1"/>
  <c r="CS51" i="5"/>
  <c r="BN51" i="5"/>
  <c r="AL52" i="5"/>
  <c r="AG8" i="5"/>
  <c r="CP8" i="5" s="1"/>
  <c r="BL7" i="5"/>
  <c r="AI8" i="5"/>
  <c r="CR8" i="5" s="1"/>
  <c r="DP6" i="5"/>
  <c r="AH8" i="5"/>
  <c r="CQ8" i="5" s="1"/>
  <c r="AM8" i="5"/>
  <c r="CV8" i="5" s="1"/>
  <c r="DF51" i="2"/>
  <c r="CA51" i="2"/>
  <c r="DL51" i="2"/>
  <c r="CG51" i="2"/>
  <c r="CR51" i="2"/>
  <c r="BM51" i="2"/>
  <c r="DM50" i="2"/>
  <c r="CH50" i="2"/>
  <c r="CQ51" i="2"/>
  <c r="BL51" i="2"/>
  <c r="AJ52" i="2"/>
  <c r="AI52" i="2"/>
  <c r="AW52" i="2"/>
  <c r="CY51" i="2"/>
  <c r="BT51" i="2"/>
  <c r="DL50" i="2"/>
  <c r="CG50" i="2"/>
  <c r="CN51" i="2"/>
  <c r="BI51" i="2"/>
  <c r="BX50" i="2"/>
  <c r="DC50" i="2"/>
  <c r="AP52" i="2"/>
  <c r="AN52" i="2"/>
  <c r="BQ51" i="2"/>
  <c r="BB52" i="2"/>
  <c r="CV51" i="2"/>
  <c r="CO51" i="2"/>
  <c r="BJ51" i="2"/>
  <c r="AO52" i="2"/>
  <c r="AG52" i="2"/>
  <c r="AK52" i="2"/>
  <c r="DB50" i="2"/>
  <c r="BW50" i="2"/>
  <c r="BH51" i="2"/>
  <c r="AD52" i="2"/>
  <c r="AM52" i="2"/>
  <c r="CM51" i="2"/>
  <c r="AF52" i="2"/>
  <c r="AE52" i="2"/>
  <c r="AH52" i="2"/>
  <c r="DG50" i="2"/>
  <c r="CB50" i="2"/>
  <c r="AQ52" i="2"/>
  <c r="CX51" i="2"/>
  <c r="BS51" i="2"/>
  <c r="AU51" i="2"/>
  <c r="BG50" i="2"/>
  <c r="BF51" i="2"/>
  <c r="CF51" i="2"/>
  <c r="DK51" i="2"/>
  <c r="CP51" i="2"/>
  <c r="BK51" i="2"/>
  <c r="AX51" i="2"/>
  <c r="AZ52" i="2" s="1"/>
  <c r="AR51" i="2"/>
  <c r="BF52" i="2" s="1"/>
  <c r="AS51" i="2"/>
  <c r="AT51" i="2"/>
  <c r="BC52" i="2" s="1"/>
  <c r="AV51" i="2"/>
  <c r="BV50" i="2"/>
  <c r="CK50" i="2" s="1"/>
  <c r="CL50" i="2" s="1"/>
  <c r="DA50" i="2"/>
  <c r="BA51" i="2"/>
  <c r="BU51" i="2"/>
  <c r="CZ51" i="2"/>
  <c r="CI50" i="2"/>
  <c r="DN50" i="2"/>
  <c r="DH50" i="2"/>
  <c r="CC50" i="2"/>
  <c r="BR51" i="2"/>
  <c r="CW51" i="2"/>
  <c r="AY51" i="2"/>
  <c r="BE51" i="2"/>
  <c r="DJ50" i="2"/>
  <c r="CE50" i="2"/>
  <c r="AZ51" i="2"/>
  <c r="BZ50" i="2"/>
  <c r="DE50" i="2"/>
  <c r="BD51" i="2"/>
  <c r="BE52" i="2" s="1"/>
  <c r="BO51" i="2"/>
  <c r="CT51" i="2"/>
  <c r="BN51" i="2"/>
  <c r="CS51" i="2"/>
  <c r="AL52" i="2"/>
  <c r="BP51" i="2"/>
  <c r="CU51" i="2"/>
  <c r="DF50" i="2"/>
  <c r="DP50" i="2" s="1"/>
  <c r="DQ50" i="2" s="1"/>
  <c r="CA50" i="2"/>
  <c r="CB51" i="4"/>
  <c r="DG51" i="4"/>
  <c r="CF51" i="4"/>
  <c r="DK51" i="4"/>
  <c r="CD51" i="4"/>
  <c r="DI51" i="4"/>
  <c r="BY50" i="4"/>
  <c r="DD50" i="4"/>
  <c r="AY51" i="4"/>
  <c r="CP51" i="4"/>
  <c r="BK51" i="4"/>
  <c r="DB50" i="4"/>
  <c r="BW50" i="4"/>
  <c r="CK50" i="4" s="1"/>
  <c r="CL50" i="4" s="1"/>
  <c r="BX50" i="4"/>
  <c r="DC50" i="4"/>
  <c r="CG51" i="4"/>
  <c r="DL51" i="4"/>
  <c r="BN51" i="4"/>
  <c r="CS51" i="4"/>
  <c r="AL52" i="4"/>
  <c r="BD51" i="4"/>
  <c r="CD50" i="4"/>
  <c r="DI50" i="4"/>
  <c r="CJ51" i="4"/>
  <c r="DO51" i="4"/>
  <c r="DH50" i="4"/>
  <c r="CC50" i="4"/>
  <c r="CR51" i="4"/>
  <c r="BM51" i="4"/>
  <c r="AW51" i="4"/>
  <c r="BT51" i="4"/>
  <c r="CY51" i="4"/>
  <c r="BH51" i="4"/>
  <c r="AD52" i="4"/>
  <c r="AE52" i="4"/>
  <c r="AF52" i="4"/>
  <c r="CM51" i="4"/>
  <c r="AH52" i="4"/>
  <c r="AM52" i="4"/>
  <c r="BL51" i="4"/>
  <c r="CQ51" i="4"/>
  <c r="AI52" i="4"/>
  <c r="AJ52" i="4"/>
  <c r="BG50" i="4"/>
  <c r="CO51" i="4"/>
  <c r="AG52" i="4"/>
  <c r="AO52" i="4"/>
  <c r="AK52" i="4"/>
  <c r="BJ51" i="4"/>
  <c r="CG50" i="4"/>
  <c r="DL50" i="4"/>
  <c r="AQ52" i="4"/>
  <c r="BE52" i="4"/>
  <c r="CX51" i="4"/>
  <c r="BS51" i="4"/>
  <c r="AU51" i="4"/>
  <c r="CH50" i="4"/>
  <c r="DM50" i="4"/>
  <c r="BR51" i="4"/>
  <c r="CW51" i="4"/>
  <c r="BE51" i="4"/>
  <c r="AP52" i="4"/>
  <c r="BQ51" i="4"/>
  <c r="CV51" i="4"/>
  <c r="BB52" i="4"/>
  <c r="BD52" i="4"/>
  <c r="AN52" i="4"/>
  <c r="BO51" i="4"/>
  <c r="CT51" i="4"/>
  <c r="DJ50" i="4"/>
  <c r="CE50" i="4"/>
  <c r="BZ50" i="4"/>
  <c r="DE50" i="4"/>
  <c r="AR51" i="4"/>
  <c r="AV51" i="4"/>
  <c r="AS51" i="4"/>
  <c r="DA50" i="4"/>
  <c r="DP50" i="4" s="1"/>
  <c r="DQ50" i="4" s="1"/>
  <c r="AT51" i="4"/>
  <c r="AU52" i="4" s="1"/>
  <c r="BA51" i="4"/>
  <c r="BV50" i="4"/>
  <c r="BU51" i="4"/>
  <c r="CZ51" i="4"/>
  <c r="DO50" i="4"/>
  <c r="CJ50" i="4"/>
  <c r="CN51" i="4"/>
  <c r="BI51" i="4"/>
  <c r="BP51" i="4"/>
  <c r="CU51" i="4"/>
  <c r="CJ7" i="4"/>
  <c r="CD65" i="3"/>
  <c r="DI65" i="3"/>
  <c r="BN65" i="3"/>
  <c r="CS65" i="3"/>
  <c r="AL66" i="3"/>
  <c r="BW64" i="3"/>
  <c r="DB64" i="3"/>
  <c r="AR65" i="3"/>
  <c r="AS65" i="3"/>
  <c r="AT65" i="3"/>
  <c r="AU66" i="3" s="1"/>
  <c r="AV65" i="3"/>
  <c r="BA65" i="3"/>
  <c r="BB66" i="3" s="1"/>
  <c r="BV64" i="3"/>
  <c r="CK64" i="3" s="1"/>
  <c r="CL64" i="3" s="1"/>
  <c r="DA64" i="3"/>
  <c r="BP65" i="3"/>
  <c r="CU65" i="3"/>
  <c r="DD65" i="3"/>
  <c r="BY65" i="3"/>
  <c r="DJ64" i="3"/>
  <c r="CE64" i="3"/>
  <c r="AP66" i="3"/>
  <c r="CV65" i="3"/>
  <c r="BQ65" i="3"/>
  <c r="AN66" i="3"/>
  <c r="BO65" i="3"/>
  <c r="CT65" i="3"/>
  <c r="DM65" i="3"/>
  <c r="CH65" i="3"/>
  <c r="BZ64" i="3"/>
  <c r="DE64" i="3"/>
  <c r="DL65" i="3"/>
  <c r="CG65" i="3"/>
  <c r="BT65" i="3"/>
  <c r="CY65" i="3"/>
  <c r="BU65" i="3"/>
  <c r="CZ65" i="3"/>
  <c r="BX64" i="3"/>
  <c r="DC64" i="3"/>
  <c r="CR65" i="3"/>
  <c r="BM65" i="3"/>
  <c r="BK65" i="3"/>
  <c r="CP65" i="3"/>
  <c r="DN65" i="3"/>
  <c r="CI65" i="3"/>
  <c r="CF64" i="3"/>
  <c r="DK64" i="3"/>
  <c r="CC64" i="3"/>
  <c r="DH64" i="3"/>
  <c r="AQ66" i="3"/>
  <c r="CX65" i="3"/>
  <c r="BS65" i="3"/>
  <c r="BE66" i="3"/>
  <c r="CN65" i="3"/>
  <c r="BI65" i="3"/>
  <c r="CW65" i="3"/>
  <c r="BR65" i="3"/>
  <c r="BG64" i="3"/>
  <c r="DL64" i="3"/>
  <c r="CG64" i="3"/>
  <c r="DO64" i="3"/>
  <c r="DP64" i="3" s="1"/>
  <c r="DQ64" i="3" s="1"/>
  <c r="CJ64" i="3"/>
  <c r="CO65" i="3"/>
  <c r="BJ65" i="3"/>
  <c r="AG66" i="3"/>
  <c r="AO66" i="3"/>
  <c r="AK66" i="3"/>
  <c r="CQ65" i="3"/>
  <c r="AI66" i="3"/>
  <c r="AJ66" i="3"/>
  <c r="BL65" i="3"/>
  <c r="AW65" i="3"/>
  <c r="BH65" i="3"/>
  <c r="AH66" i="3"/>
  <c r="AM66" i="3"/>
  <c r="CM65" i="3"/>
  <c r="AD66" i="3"/>
  <c r="AE66" i="3"/>
  <c r="AF66" i="3"/>
  <c r="BB65" i="3"/>
  <c r="AY65" i="3"/>
  <c r="BF65" i="3"/>
  <c r="AX65" i="3"/>
  <c r="BM7" i="3"/>
  <c r="BT7" i="8"/>
  <c r="CG7" i="8"/>
  <c r="AO8" i="5"/>
  <c r="CX8" i="5" s="1"/>
  <c r="CI7" i="8"/>
  <c r="BK7" i="8"/>
  <c r="DO7" i="8"/>
  <c r="CJ7" i="8"/>
  <c r="BO7" i="8"/>
  <c r="AN8" i="5"/>
  <c r="CW8" i="5" s="1"/>
  <c r="AQ8" i="8"/>
  <c r="CZ8" i="8" s="1"/>
  <c r="BE8" i="8"/>
  <c r="DN8" i="8" s="1"/>
  <c r="BS7" i="8"/>
  <c r="AJ8" i="5"/>
  <c r="CS8" i="5" s="1"/>
  <c r="BP7" i="8"/>
  <c r="CF7" i="4"/>
  <c r="CD7" i="8"/>
  <c r="CK6" i="4"/>
  <c r="CE7" i="8"/>
  <c r="CB7" i="8"/>
  <c r="BA8" i="4"/>
  <c r="DJ8" i="4" s="1"/>
  <c r="AF8" i="5"/>
  <c r="CO8" i="5" s="1"/>
  <c r="BS7" i="5"/>
  <c r="AO8" i="6"/>
  <c r="CX8" i="6" s="1"/>
  <c r="CA7" i="8"/>
  <c r="CK6" i="8"/>
  <c r="CL6" i="8" s="1"/>
  <c r="BA8" i="8"/>
  <c r="DJ8" i="8" s="1"/>
  <c r="AT8" i="8"/>
  <c r="DC8" i="8" s="1"/>
  <c r="AV8" i="8"/>
  <c r="DE8" i="8" s="1"/>
  <c r="AS8" i="8"/>
  <c r="DB8" i="8" s="1"/>
  <c r="AR8" i="8"/>
  <c r="DA8" i="8" s="1"/>
  <c r="BV7" i="8"/>
  <c r="BB8" i="8"/>
  <c r="DK8" i="8" s="1"/>
  <c r="AN8" i="8"/>
  <c r="CW8" i="8" s="1"/>
  <c r="AP8" i="8"/>
  <c r="CY8" i="8" s="1"/>
  <c r="BD8" i="8"/>
  <c r="DM8" i="8" s="1"/>
  <c r="BQ7" i="8"/>
  <c r="BV7" i="3"/>
  <c r="CC7" i="6"/>
  <c r="CC7" i="8"/>
  <c r="BD8" i="6"/>
  <c r="DM8" i="6" s="1"/>
  <c r="BY7" i="8"/>
  <c r="BM7" i="8"/>
  <c r="BC8" i="6"/>
  <c r="DL8" i="6" s="1"/>
  <c r="BK7" i="5"/>
  <c r="AQ8" i="5"/>
  <c r="CZ8" i="5" s="1"/>
  <c r="CD7" i="6"/>
  <c r="BI7" i="8"/>
  <c r="BX7" i="8"/>
  <c r="CB7" i="4"/>
  <c r="CH7" i="8"/>
  <c r="AK8" i="8"/>
  <c r="CT8" i="8" s="1"/>
  <c r="AO8" i="8"/>
  <c r="CX8" i="8" s="1"/>
  <c r="AG8" i="8"/>
  <c r="CP8" i="8" s="1"/>
  <c r="AU8" i="8"/>
  <c r="DD8" i="8" s="1"/>
  <c r="BC8" i="8"/>
  <c r="DL8" i="8" s="1"/>
  <c r="AY8" i="8"/>
  <c r="DH8" i="8" s="1"/>
  <c r="BJ7" i="8"/>
  <c r="BW7" i="8"/>
  <c r="CI7" i="5"/>
  <c r="AL8" i="5"/>
  <c r="CU8" i="5" s="1"/>
  <c r="DP6" i="8"/>
  <c r="DQ6" i="8" s="1"/>
  <c r="BZ7" i="8"/>
  <c r="AW8" i="8"/>
  <c r="DF8" i="8" s="1"/>
  <c r="AJ8" i="8"/>
  <c r="CS8" i="8" s="1"/>
  <c r="AI8" i="8"/>
  <c r="CR8" i="8" s="1"/>
  <c r="AX8" i="8"/>
  <c r="DG8" i="8" s="1"/>
  <c r="BL7" i="8"/>
  <c r="AK8" i="5"/>
  <c r="CT8" i="5" s="1"/>
  <c r="BU7" i="8"/>
  <c r="BQ7" i="5"/>
  <c r="DQ5" i="8"/>
  <c r="AZ8" i="4"/>
  <c r="DI8" i="4" s="1"/>
  <c r="BZ7" i="4"/>
  <c r="AP8" i="5"/>
  <c r="CY8" i="5" s="1"/>
  <c r="AR8" i="3"/>
  <c r="DA8" i="3" s="1"/>
  <c r="BU7" i="5"/>
  <c r="AP8" i="6"/>
  <c r="CY8" i="6" s="1"/>
  <c r="AL8" i="8"/>
  <c r="CU8" i="8" s="1"/>
  <c r="AZ8" i="8"/>
  <c r="DI8" i="8" s="1"/>
  <c r="BN7" i="8"/>
  <c r="BI7" i="3"/>
  <c r="BP7" i="5"/>
  <c r="CF7" i="8"/>
  <c r="AW8" i="4"/>
  <c r="DF8" i="4" s="1"/>
  <c r="CH7" i="6"/>
  <c r="CC7" i="4"/>
  <c r="BT7" i="5"/>
  <c r="CH7" i="5"/>
  <c r="BP7" i="6"/>
  <c r="BR7" i="8"/>
  <c r="BG7" i="8"/>
  <c r="AE8" i="8"/>
  <c r="CN8" i="8" s="1"/>
  <c r="AM8" i="8"/>
  <c r="CV8" i="8" s="1"/>
  <c r="AD8" i="8"/>
  <c r="CM8" i="8" s="1"/>
  <c r="BF8" i="8"/>
  <c r="AF8" i="8"/>
  <c r="CO8" i="8" s="1"/>
  <c r="AH8" i="8"/>
  <c r="CQ8" i="8" s="1"/>
  <c r="BH7" i="8"/>
  <c r="CK6" i="6"/>
  <c r="BE8" i="6"/>
  <c r="DN8" i="6" s="1"/>
  <c r="AU8" i="6"/>
  <c r="DD8" i="6" s="1"/>
  <c r="DD7" i="6"/>
  <c r="DP7" i="6" s="1"/>
  <c r="CG7" i="6"/>
  <c r="AX8" i="6"/>
  <c r="DG8" i="6" s="1"/>
  <c r="DE7" i="6"/>
  <c r="BB8" i="6"/>
  <c r="DK8" i="6" s="1"/>
  <c r="DQ6" i="6"/>
  <c r="AJ9" i="6"/>
  <c r="CS9" i="6" s="1"/>
  <c r="AI9" i="6"/>
  <c r="CR9" i="6" s="1"/>
  <c r="BL8" i="6"/>
  <c r="BU8" i="6"/>
  <c r="BY7" i="6"/>
  <c r="CA7" i="5"/>
  <c r="CG7" i="5"/>
  <c r="BK8" i="6"/>
  <c r="AW8" i="5"/>
  <c r="DF8" i="5" s="1"/>
  <c r="CK6" i="5"/>
  <c r="CL6" i="5" s="1"/>
  <c r="AY8" i="6"/>
  <c r="CF7" i="6"/>
  <c r="CJ7" i="6"/>
  <c r="DO7" i="6"/>
  <c r="CG8" i="6"/>
  <c r="BR8" i="6"/>
  <c r="BO8" i="6"/>
  <c r="AL9" i="6"/>
  <c r="CU9" i="6" s="1"/>
  <c r="BN8" i="6"/>
  <c r="BB8" i="5"/>
  <c r="DK8" i="5" s="1"/>
  <c r="DJ7" i="5"/>
  <c r="AV8" i="6"/>
  <c r="AT8" i="6"/>
  <c r="AU9" i="6" s="1"/>
  <c r="DD9" i="6" s="1"/>
  <c r="AS8" i="6"/>
  <c r="DB8" i="6" s="1"/>
  <c r="AR8" i="6"/>
  <c r="DA8" i="6" s="1"/>
  <c r="BA8" i="6"/>
  <c r="BV7" i="6"/>
  <c r="BG7" i="6"/>
  <c r="BW7" i="6"/>
  <c r="CB7" i="6"/>
  <c r="AW8" i="6"/>
  <c r="DF8" i="6" s="1"/>
  <c r="BP8" i="6"/>
  <c r="BX7" i="6"/>
  <c r="AN9" i="6"/>
  <c r="CW9" i="6" s="1"/>
  <c r="BQ8" i="6"/>
  <c r="BZ7" i="6"/>
  <c r="BF8" i="6"/>
  <c r="BM8" i="6"/>
  <c r="AO9" i="6"/>
  <c r="CX9" i="6" s="1"/>
  <c r="AK9" i="6"/>
  <c r="CT9" i="6" s="1"/>
  <c r="AG9" i="6"/>
  <c r="CP9" i="6" s="1"/>
  <c r="BJ8" i="6"/>
  <c r="BX7" i="4"/>
  <c r="BE8" i="5"/>
  <c r="DN8" i="5" s="1"/>
  <c r="AD9" i="6"/>
  <c r="CM9" i="6" s="1"/>
  <c r="AM9" i="6"/>
  <c r="CV9" i="6" s="1"/>
  <c r="AH9" i="6"/>
  <c r="CQ9" i="6" s="1"/>
  <c r="AF9" i="6"/>
  <c r="CO9" i="6" s="1"/>
  <c r="AE9" i="6"/>
  <c r="CN9" i="6" s="1"/>
  <c r="BH8" i="6"/>
  <c r="CE7" i="6"/>
  <c r="BI8" i="6"/>
  <c r="AZ8" i="6"/>
  <c r="DI8" i="6" s="1"/>
  <c r="CI7" i="6"/>
  <c r="AU8" i="5"/>
  <c r="DD8" i="5" s="1"/>
  <c r="AZ8" i="5"/>
  <c r="DI8" i="5" s="1"/>
  <c r="BF8" i="5"/>
  <c r="DO8" i="5" s="1"/>
  <c r="BD8" i="5"/>
  <c r="DM8" i="5" s="1"/>
  <c r="DQ6" i="5"/>
  <c r="AI9" i="5"/>
  <c r="CR9" i="5" s="1"/>
  <c r="BL8" i="5"/>
  <c r="BQ8" i="5"/>
  <c r="BB8" i="4"/>
  <c r="DK8" i="4" s="1"/>
  <c r="CE7" i="4"/>
  <c r="DO7" i="5"/>
  <c r="CJ7" i="5"/>
  <c r="AT8" i="5"/>
  <c r="DC8" i="5" s="1"/>
  <c r="AS8" i="5"/>
  <c r="DB8" i="5" s="1"/>
  <c r="AR8" i="5"/>
  <c r="DA8" i="5" s="1"/>
  <c r="AV8" i="5"/>
  <c r="DE8" i="5" s="1"/>
  <c r="BA8" i="5"/>
  <c r="DJ8" i="5" s="1"/>
  <c r="BV7" i="5"/>
  <c r="BY7" i="5"/>
  <c r="BW7" i="5"/>
  <c r="CA7" i="4"/>
  <c r="AE8" i="3"/>
  <c r="CN8" i="3" s="1"/>
  <c r="BZ7" i="5"/>
  <c r="CG7" i="4"/>
  <c r="CF8" i="5"/>
  <c r="BT8" i="5"/>
  <c r="BM8" i="5"/>
  <c r="CI8" i="5"/>
  <c r="AY8" i="4"/>
  <c r="DH8" i="4" s="1"/>
  <c r="BG7" i="4"/>
  <c r="BY7" i="4"/>
  <c r="AX8" i="5"/>
  <c r="DG8" i="5" s="1"/>
  <c r="AX8" i="4"/>
  <c r="DG8" i="4" s="1"/>
  <c r="BE8" i="4"/>
  <c r="DN8" i="4" s="1"/>
  <c r="AU8" i="4"/>
  <c r="DD8" i="4" s="1"/>
  <c r="AV8" i="4"/>
  <c r="DE8" i="4" s="1"/>
  <c r="BC8" i="4"/>
  <c r="DL8" i="4" s="1"/>
  <c r="AL9" i="5"/>
  <c r="CU9" i="5" s="1"/>
  <c r="BN8" i="5"/>
  <c r="AG9" i="5"/>
  <c r="CP9" i="5" s="1"/>
  <c r="CF7" i="5"/>
  <c r="AM9" i="5"/>
  <c r="CV9" i="5" s="1"/>
  <c r="AE9" i="5"/>
  <c r="CN9" i="5" s="1"/>
  <c r="AD9" i="5"/>
  <c r="CM9" i="5" s="1"/>
  <c r="AH9" i="5"/>
  <c r="CQ9" i="5" s="1"/>
  <c r="BH8" i="5"/>
  <c r="BX7" i="5"/>
  <c r="BD8" i="4"/>
  <c r="DM8" i="4" s="1"/>
  <c r="BP8" i="5"/>
  <c r="CE7" i="5"/>
  <c r="BF8" i="4"/>
  <c r="DO8" i="4" s="1"/>
  <c r="AY8" i="5"/>
  <c r="DH8" i="5" s="1"/>
  <c r="BI8" i="5"/>
  <c r="CD7" i="5"/>
  <c r="BK8" i="5"/>
  <c r="AT8" i="4"/>
  <c r="DC8" i="4" s="1"/>
  <c r="CI7" i="4"/>
  <c r="BC8" i="5"/>
  <c r="DL8" i="5" s="1"/>
  <c r="BG7" i="5"/>
  <c r="BP7" i="3"/>
  <c r="CU7" i="3"/>
  <c r="BL7" i="3"/>
  <c r="CQ7" i="3"/>
  <c r="CF7" i="3"/>
  <c r="DK7" i="3"/>
  <c r="CB7" i="3"/>
  <c r="DG7" i="3"/>
  <c r="BK7" i="3"/>
  <c r="CP7" i="3"/>
  <c r="BS7" i="3"/>
  <c r="CX7" i="3"/>
  <c r="BO7" i="3"/>
  <c r="CT7" i="3"/>
  <c r="AH9" i="4"/>
  <c r="CQ9" i="4" s="1"/>
  <c r="AF9" i="4"/>
  <c r="CO9" i="4" s="1"/>
  <c r="AE9" i="4"/>
  <c r="CN9" i="4" s="1"/>
  <c r="AD9" i="4"/>
  <c r="CM9" i="4" s="1"/>
  <c r="AM9" i="4"/>
  <c r="CV9" i="4" s="1"/>
  <c r="BH8" i="4"/>
  <c r="DP7" i="4"/>
  <c r="DQ7" i="4" s="1"/>
  <c r="CA8" i="4"/>
  <c r="BU8" i="4"/>
  <c r="AN9" i="4"/>
  <c r="CW9" i="4" s="1"/>
  <c r="BB9" i="4"/>
  <c r="DK9" i="4" s="1"/>
  <c r="AP9" i="4"/>
  <c r="CY9" i="4" s="1"/>
  <c r="BQ8" i="4"/>
  <c r="BM8" i="4"/>
  <c r="AQ9" i="4"/>
  <c r="CZ9" i="4" s="1"/>
  <c r="BS8" i="4"/>
  <c r="BX8" i="4"/>
  <c r="BO8" i="4"/>
  <c r="BT8" i="4"/>
  <c r="AL9" i="4"/>
  <c r="CU9" i="4" s="1"/>
  <c r="BN8" i="4"/>
  <c r="BR8" i="4"/>
  <c r="CD8" i="4"/>
  <c r="CL6" i="4"/>
  <c r="BP8" i="4"/>
  <c r="CE8" i="4"/>
  <c r="CC8" i="4"/>
  <c r="AS9" i="4"/>
  <c r="DB9" i="4" s="1"/>
  <c r="AR9" i="4"/>
  <c r="DA9" i="4" s="1"/>
  <c r="BV8" i="4"/>
  <c r="AK9" i="4"/>
  <c r="CT9" i="4" s="1"/>
  <c r="AG9" i="4"/>
  <c r="CP9" i="4" s="1"/>
  <c r="AO9" i="4"/>
  <c r="CX9" i="4" s="1"/>
  <c r="BJ8" i="4"/>
  <c r="AJ9" i="4"/>
  <c r="CS9" i="4" s="1"/>
  <c r="AI9" i="4"/>
  <c r="CR9" i="4" s="1"/>
  <c r="BL8" i="4"/>
  <c r="CF8" i="4"/>
  <c r="BI8" i="4"/>
  <c r="BW8" i="4"/>
  <c r="BK8" i="4"/>
  <c r="BG7" i="3"/>
  <c r="CA7" i="3"/>
  <c r="BU7" i="3"/>
  <c r="AH8" i="3"/>
  <c r="CQ8" i="3" s="1"/>
  <c r="BR7" i="3"/>
  <c r="AM8" i="3"/>
  <c r="CV8" i="3" s="1"/>
  <c r="CE7" i="3"/>
  <c r="CD7" i="3"/>
  <c r="BZ7" i="3"/>
  <c r="AV8" i="3"/>
  <c r="DE8" i="3" s="1"/>
  <c r="DP6" i="3"/>
  <c r="DQ6" i="3" s="1"/>
  <c r="AY8" i="3"/>
  <c r="DH8" i="3" s="1"/>
  <c r="AI8" i="3"/>
  <c r="CR8" i="3" s="1"/>
  <c r="AW8" i="3"/>
  <c r="DF8" i="3" s="1"/>
  <c r="BJ7" i="3"/>
  <c r="CI7" i="3"/>
  <c r="BT7" i="3"/>
  <c r="AQ8" i="3"/>
  <c r="CZ8" i="3" s="1"/>
  <c r="CK6" i="3"/>
  <c r="CL6" i="3" s="1"/>
  <c r="CC7" i="3"/>
  <c r="AP8" i="3"/>
  <c r="AX8" i="3"/>
  <c r="BQ7" i="3"/>
  <c r="AT8" i="3"/>
  <c r="DC8" i="3" s="1"/>
  <c r="BC8" i="3"/>
  <c r="DL8" i="3" s="1"/>
  <c r="BY7" i="3"/>
  <c r="BA8" i="3"/>
  <c r="AJ8" i="3"/>
  <c r="BW7" i="3"/>
  <c r="BB8" i="3"/>
  <c r="AG8" i="3"/>
  <c r="AZ8" i="3"/>
  <c r="DI8" i="3" s="1"/>
  <c r="AO8" i="3"/>
  <c r="CX8" i="3" s="1"/>
  <c r="BD8" i="3"/>
  <c r="DM8" i="3" s="1"/>
  <c r="AN8" i="3"/>
  <c r="CW8" i="3" s="1"/>
  <c r="AS8" i="3"/>
  <c r="DB8" i="3" s="1"/>
  <c r="AF8" i="3"/>
  <c r="CO8" i="3" s="1"/>
  <c r="CH7" i="3"/>
  <c r="BX7" i="3"/>
  <c r="CG7" i="3"/>
  <c r="BE8" i="3"/>
  <c r="DN8" i="3" s="1"/>
  <c r="BF8" i="3"/>
  <c r="BN7" i="3"/>
  <c r="AU8" i="3"/>
  <c r="DD8" i="3" s="1"/>
  <c r="AK8" i="3"/>
  <c r="CT8" i="3" s="1"/>
  <c r="AL8" i="3"/>
  <c r="CU8" i="3" s="1"/>
  <c r="CJ7" i="3"/>
  <c r="CW6" i="2"/>
  <c r="BR6" i="2"/>
  <c r="DD6" i="2"/>
  <c r="BY6" i="2"/>
  <c r="CM7" i="2"/>
  <c r="BH7" i="2"/>
  <c r="AD9" i="3"/>
  <c r="CM9" i="3" s="1"/>
  <c r="BH8" i="3"/>
  <c r="DC6" i="2"/>
  <c r="DA7" i="2"/>
  <c r="CN6" i="2"/>
  <c r="CP6" i="2"/>
  <c r="CO6" i="2"/>
  <c r="DB6" i="2"/>
  <c r="DH6" i="2"/>
  <c r="CJ6" i="2"/>
  <c r="DO6" i="2"/>
  <c r="CX6" i="2"/>
  <c r="DF6" i="2"/>
  <c r="CS6" i="2"/>
  <c r="DN6" i="2"/>
  <c r="DI6" i="2"/>
  <c r="CZ6" i="2"/>
  <c r="CV6" i="2"/>
  <c r="DP5" i="2"/>
  <c r="DQ5" i="2" s="1"/>
  <c r="DJ6" i="2"/>
  <c r="DK6" i="2"/>
  <c r="CR6" i="2"/>
  <c r="CT6" i="2"/>
  <c r="CQ6" i="2"/>
  <c r="DE6" i="2"/>
  <c r="CY6" i="2"/>
  <c r="DL6" i="2"/>
  <c r="CU6" i="2"/>
  <c r="DG6" i="2"/>
  <c r="DM6" i="2"/>
  <c r="CK5" i="2"/>
  <c r="CL5" i="2" s="1"/>
  <c r="BG6" i="2"/>
  <c r="AS7" i="2"/>
  <c r="BW7" i="2" s="1"/>
  <c r="AN7" i="2"/>
  <c r="BR7" i="2" s="1"/>
  <c r="AT7" i="2"/>
  <c r="BX7" i="2" s="1"/>
  <c r="AV7" i="2"/>
  <c r="BZ7" i="2" s="1"/>
  <c r="BD7" i="2"/>
  <c r="CH7" i="2" s="1"/>
  <c r="BF7" i="2"/>
  <c r="AP7" i="2"/>
  <c r="BT7" i="2" s="1"/>
  <c r="AW7" i="2"/>
  <c r="CA7" i="2" s="1"/>
  <c r="AX7" i="2"/>
  <c r="CB7" i="2" s="1"/>
  <c r="AZ7" i="2"/>
  <c r="CD7" i="2" s="1"/>
  <c r="BE7" i="2"/>
  <c r="CI7" i="2" s="1"/>
  <c r="AQ7" i="2"/>
  <c r="BU7" i="2" s="1"/>
  <c r="AU7" i="2"/>
  <c r="BY7" i="2" s="1"/>
  <c r="AY7" i="2"/>
  <c r="CC7" i="2" s="1"/>
  <c r="BC7" i="2"/>
  <c r="CG7" i="2" s="1"/>
  <c r="AR8" i="2"/>
  <c r="BV8" i="2" s="1"/>
  <c r="BA7" i="2"/>
  <c r="CE7" i="2" s="1"/>
  <c r="BB7" i="2"/>
  <c r="CF7" i="2" s="1"/>
  <c r="AM7" i="2"/>
  <c r="BQ7" i="2" s="1"/>
  <c r="AF7" i="2"/>
  <c r="BJ7" i="2" s="1"/>
  <c r="AD8" i="2"/>
  <c r="AG7" i="2"/>
  <c r="BK7" i="2" s="1"/>
  <c r="AK7" i="2"/>
  <c r="BO7" i="2" s="1"/>
  <c r="AO7" i="2"/>
  <c r="BS7" i="2" s="1"/>
  <c r="AJ7" i="2"/>
  <c r="BN7" i="2" s="1"/>
  <c r="AI7" i="2"/>
  <c r="BM7" i="2" s="1"/>
  <c r="AL7" i="2"/>
  <c r="BP7" i="2" s="1"/>
  <c r="AE7" i="2"/>
  <c r="BI7" i="2" s="1"/>
  <c r="AH7" i="2"/>
  <c r="DI52" i="8" l="1"/>
  <c r="CD52" i="8"/>
  <c r="CG52" i="8"/>
  <c r="DL52" i="8"/>
  <c r="CJ52" i="8"/>
  <c r="DO52" i="8"/>
  <c r="BK52" i="8"/>
  <c r="CP52" i="8"/>
  <c r="DN51" i="8"/>
  <c r="CI51" i="8"/>
  <c r="BT52" i="8"/>
  <c r="CY52" i="8"/>
  <c r="CN52" i="8"/>
  <c r="BI52" i="8"/>
  <c r="CT52" i="8"/>
  <c r="BO52" i="8"/>
  <c r="CH52" i="8"/>
  <c r="DM52" i="8"/>
  <c r="CW52" i="8"/>
  <c r="BR52" i="8"/>
  <c r="DF52" i="8"/>
  <c r="CA52" i="8"/>
  <c r="AX52" i="8"/>
  <c r="CD51" i="8"/>
  <c r="DI51" i="8"/>
  <c r="DE51" i="8"/>
  <c r="BZ51" i="8"/>
  <c r="CM52" i="8"/>
  <c r="BH52" i="8"/>
  <c r="AF53" i="8"/>
  <c r="AE53" i="8"/>
  <c r="AH53" i="8"/>
  <c r="AM53" i="8"/>
  <c r="AD53" i="8"/>
  <c r="DG51" i="8"/>
  <c r="CB51" i="8"/>
  <c r="BE52" i="8"/>
  <c r="BE53" i="8" s="1"/>
  <c r="BX51" i="8"/>
  <c r="DC51" i="8"/>
  <c r="AV52" i="8"/>
  <c r="BA52" i="8"/>
  <c r="DA51" i="8"/>
  <c r="DP51" i="8" s="1"/>
  <c r="DQ51" i="8" s="1"/>
  <c r="AT52" i="8"/>
  <c r="AU53" i="8" s="1"/>
  <c r="AR52" i="8"/>
  <c r="AS52" i="8"/>
  <c r="BV51" i="8"/>
  <c r="CK51" i="8" s="1"/>
  <c r="CL51" i="8" s="1"/>
  <c r="CR52" i="8"/>
  <c r="BM52" i="8"/>
  <c r="AU52" i="8"/>
  <c r="AO53" i="8"/>
  <c r="AG53" i="8"/>
  <c r="BJ52" i="8"/>
  <c r="CO52" i="8"/>
  <c r="AK53" i="8"/>
  <c r="AL53" i="8"/>
  <c r="CS52" i="8"/>
  <c r="BN52" i="8"/>
  <c r="AN53" i="8"/>
  <c r="AP53" i="8"/>
  <c r="BQ52" i="8"/>
  <c r="CV52" i="8"/>
  <c r="AQ53" i="8"/>
  <c r="CX52" i="8"/>
  <c r="BS52" i="8"/>
  <c r="BW51" i="8"/>
  <c r="DB51" i="8"/>
  <c r="DK52" i="8"/>
  <c r="CF52" i="8"/>
  <c r="CC51" i="8"/>
  <c r="DH51" i="8"/>
  <c r="BP52" i="8"/>
  <c r="CU52" i="8"/>
  <c r="BL52" i="8"/>
  <c r="AI53" i="8"/>
  <c r="CQ52" i="8"/>
  <c r="AJ53" i="8"/>
  <c r="DJ51" i="8"/>
  <c r="CE51" i="8"/>
  <c r="BG51" i="8"/>
  <c r="AY52" i="8"/>
  <c r="CZ52" i="8"/>
  <c r="BU52" i="8"/>
  <c r="CI52" i="6"/>
  <c r="DN52" i="6"/>
  <c r="DG52" i="6"/>
  <c r="CB52" i="6"/>
  <c r="CH52" i="6"/>
  <c r="DM52" i="6"/>
  <c r="DF52" i="6"/>
  <c r="CA52" i="6"/>
  <c r="BM52" i="6"/>
  <c r="CR52" i="6"/>
  <c r="BX51" i="6"/>
  <c r="CK51" i="6" s="1"/>
  <c r="CL51" i="6" s="1"/>
  <c r="DC51" i="6"/>
  <c r="BC52" i="6"/>
  <c r="CN52" i="6"/>
  <c r="BI52" i="6"/>
  <c r="DB51" i="6"/>
  <c r="BW51" i="6"/>
  <c r="AQ53" i="6"/>
  <c r="CX52" i="6"/>
  <c r="BS52" i="6"/>
  <c r="AO53" i="6"/>
  <c r="CO52" i="6"/>
  <c r="AG53" i="6"/>
  <c r="AK53" i="6"/>
  <c r="AY53" i="6"/>
  <c r="BC53" i="6"/>
  <c r="BJ52" i="6"/>
  <c r="AJ53" i="6"/>
  <c r="AI53" i="6"/>
  <c r="CQ52" i="6"/>
  <c r="BL52" i="6"/>
  <c r="BO52" i="6"/>
  <c r="CT52" i="6"/>
  <c r="DL51" i="6"/>
  <c r="CG51" i="6"/>
  <c r="AU52" i="6"/>
  <c r="CY52" i="6"/>
  <c r="BT52" i="6"/>
  <c r="BU52" i="6"/>
  <c r="CZ52" i="6"/>
  <c r="BR52" i="6"/>
  <c r="CW52" i="6"/>
  <c r="CH51" i="6"/>
  <c r="DM51" i="6"/>
  <c r="CE51" i="6"/>
  <c r="DJ51" i="6"/>
  <c r="DG51" i="6"/>
  <c r="CB51" i="6"/>
  <c r="AR52" i="6"/>
  <c r="BG52" i="6" s="1"/>
  <c r="AS52" i="6"/>
  <c r="BF53" i="6" s="1"/>
  <c r="AT52" i="6"/>
  <c r="AU53" i="6" s="1"/>
  <c r="BA52" i="6"/>
  <c r="BV51" i="6"/>
  <c r="AV52" i="6"/>
  <c r="DA51" i="6"/>
  <c r="DP51" i="6" s="1"/>
  <c r="DQ51" i="6" s="1"/>
  <c r="AN53" i="6"/>
  <c r="BD53" i="6"/>
  <c r="AP53" i="6"/>
  <c r="BQ52" i="6"/>
  <c r="CV52" i="6"/>
  <c r="CM52" i="6"/>
  <c r="BH52" i="6"/>
  <c r="AF53" i="6"/>
  <c r="AH53" i="6"/>
  <c r="AE53" i="6"/>
  <c r="AM53" i="6"/>
  <c r="AD53" i="6"/>
  <c r="BF52" i="6"/>
  <c r="BP52" i="6"/>
  <c r="CU52" i="6"/>
  <c r="BN52" i="6"/>
  <c r="AZ53" i="6"/>
  <c r="CS52" i="6"/>
  <c r="AL53" i="6"/>
  <c r="DE51" i="6"/>
  <c r="BZ51" i="6"/>
  <c r="AY52" i="6"/>
  <c r="CP52" i="6"/>
  <c r="BK52" i="6"/>
  <c r="BB52" i="6"/>
  <c r="AZ52" i="6"/>
  <c r="CI8" i="6"/>
  <c r="BS8" i="6"/>
  <c r="CB8" i="6"/>
  <c r="BY8" i="6"/>
  <c r="CH8" i="6"/>
  <c r="CL6" i="6"/>
  <c r="DM52" i="5"/>
  <c r="CH52" i="5"/>
  <c r="DI52" i="5"/>
  <c r="CD52" i="5"/>
  <c r="CU52" i="5"/>
  <c r="BP52" i="5"/>
  <c r="DM51" i="5"/>
  <c r="CH51" i="5"/>
  <c r="BE52" i="5"/>
  <c r="AR52" i="5"/>
  <c r="AS52" i="5"/>
  <c r="AT52" i="5"/>
  <c r="AV52" i="5"/>
  <c r="BA52" i="5"/>
  <c r="BV51" i="5"/>
  <c r="CK51" i="5" s="1"/>
  <c r="CL51" i="5" s="1"/>
  <c r="DA51" i="5"/>
  <c r="DK51" i="5"/>
  <c r="CF51" i="5"/>
  <c r="DI51" i="5"/>
  <c r="CD51" i="5"/>
  <c r="DH51" i="5"/>
  <c r="CC51" i="5"/>
  <c r="BT52" i="5"/>
  <c r="CY52" i="5"/>
  <c r="BU52" i="5"/>
  <c r="CZ52" i="5"/>
  <c r="BF52" i="5"/>
  <c r="AX52" i="5"/>
  <c r="CW52" i="5"/>
  <c r="BR52" i="5"/>
  <c r="DO51" i="5"/>
  <c r="CJ51" i="5"/>
  <c r="DK52" i="5"/>
  <c r="CF52" i="5"/>
  <c r="AP53" i="5"/>
  <c r="CV52" i="5"/>
  <c r="BQ52" i="5"/>
  <c r="AN53" i="5"/>
  <c r="BE53" i="5"/>
  <c r="AQ53" i="5"/>
  <c r="CX52" i="5"/>
  <c r="BS52" i="5"/>
  <c r="CR52" i="5"/>
  <c r="BM52" i="5"/>
  <c r="DF51" i="5"/>
  <c r="CA51" i="5"/>
  <c r="DL52" i="5"/>
  <c r="CG52" i="5"/>
  <c r="CQ52" i="5"/>
  <c r="BL52" i="5"/>
  <c r="AI53" i="5"/>
  <c r="AJ53" i="5"/>
  <c r="BO52" i="5"/>
  <c r="CT52" i="5"/>
  <c r="AW52" i="5"/>
  <c r="CS52" i="5"/>
  <c r="AZ53" i="5"/>
  <c r="AL53" i="5"/>
  <c r="BN52" i="5"/>
  <c r="BG51" i="5"/>
  <c r="AY52" i="5"/>
  <c r="AO53" i="5"/>
  <c r="CO52" i="5"/>
  <c r="BJ52" i="5"/>
  <c r="AG53" i="5"/>
  <c r="AK53" i="5"/>
  <c r="CP52" i="5"/>
  <c r="BK52" i="5"/>
  <c r="DG51" i="5"/>
  <c r="CB51" i="5"/>
  <c r="CN52" i="5"/>
  <c r="BI52" i="5"/>
  <c r="DD52" i="5"/>
  <c r="BY52" i="5"/>
  <c r="DJ51" i="5"/>
  <c r="CE51" i="5"/>
  <c r="CM52" i="5"/>
  <c r="BH52" i="5"/>
  <c r="AD53" i="5"/>
  <c r="AE53" i="5"/>
  <c r="AH53" i="5"/>
  <c r="AF53" i="5"/>
  <c r="AM53" i="5"/>
  <c r="CG51" i="5"/>
  <c r="DL51" i="5"/>
  <c r="DE51" i="5"/>
  <c r="DP51" i="5" s="1"/>
  <c r="DQ51" i="5" s="1"/>
  <c r="BZ51" i="5"/>
  <c r="BX51" i="5"/>
  <c r="DC51" i="5"/>
  <c r="DD51" i="5"/>
  <c r="BY51" i="5"/>
  <c r="BW51" i="5"/>
  <c r="DB51" i="5"/>
  <c r="AK9" i="5"/>
  <c r="CT9" i="5" s="1"/>
  <c r="DP7" i="5"/>
  <c r="DQ7" i="5" s="1"/>
  <c r="BS8" i="5"/>
  <c r="CA8" i="5"/>
  <c r="DN52" i="2"/>
  <c r="CI52" i="2"/>
  <c r="CD52" i="2"/>
  <c r="DI52" i="2"/>
  <c r="DL52" i="2"/>
  <c r="CG52" i="2"/>
  <c r="DO52" i="2"/>
  <c r="CJ52" i="2"/>
  <c r="AN53" i="2"/>
  <c r="AP53" i="2"/>
  <c r="CV52" i="2"/>
  <c r="BQ52" i="2"/>
  <c r="BB53" i="2"/>
  <c r="DO51" i="2"/>
  <c r="CJ51" i="2"/>
  <c r="BR52" i="2"/>
  <c r="CW52" i="2"/>
  <c r="DH51" i="2"/>
  <c r="CC51" i="2"/>
  <c r="AX52" i="2"/>
  <c r="CM52" i="2"/>
  <c r="BH52" i="2"/>
  <c r="AH53" i="2"/>
  <c r="AM53" i="2"/>
  <c r="AF53" i="2"/>
  <c r="AD53" i="2"/>
  <c r="AE53" i="2"/>
  <c r="BN52" i="2"/>
  <c r="AL53" i="2"/>
  <c r="CS52" i="2"/>
  <c r="CY52" i="2"/>
  <c r="BT52" i="2"/>
  <c r="BP52" i="2"/>
  <c r="CU52" i="2"/>
  <c r="DD51" i="2"/>
  <c r="BY51" i="2"/>
  <c r="AJ53" i="2"/>
  <c r="CQ52" i="2"/>
  <c r="AW53" i="2"/>
  <c r="BL52" i="2"/>
  <c r="AI53" i="2"/>
  <c r="AO53" i="2"/>
  <c r="CO52" i="2"/>
  <c r="BJ52" i="2"/>
  <c r="AK53" i="2"/>
  <c r="AG53" i="2"/>
  <c r="CE51" i="2"/>
  <c r="DJ51" i="2"/>
  <c r="BU52" i="2"/>
  <c r="CZ52" i="2"/>
  <c r="CP52" i="2"/>
  <c r="BK52" i="2"/>
  <c r="DG51" i="2"/>
  <c r="CB51" i="2"/>
  <c r="CR52" i="2"/>
  <c r="BM52" i="2"/>
  <c r="BO52" i="2"/>
  <c r="CT52" i="2"/>
  <c r="CD51" i="2"/>
  <c r="DI51" i="2"/>
  <c r="DE51" i="2"/>
  <c r="BZ51" i="2"/>
  <c r="DN51" i="2"/>
  <c r="CI51" i="2"/>
  <c r="DF52" i="2"/>
  <c r="CA52" i="2"/>
  <c r="BD52" i="2"/>
  <c r="BX51" i="2"/>
  <c r="DC51" i="2"/>
  <c r="AU52" i="2"/>
  <c r="BG52" i="2" s="1"/>
  <c r="AR52" i="2"/>
  <c r="AS52" i="2"/>
  <c r="BF53" i="2" s="1"/>
  <c r="AT52" i="2"/>
  <c r="AU53" i="2" s="1"/>
  <c r="AV52" i="2"/>
  <c r="AX53" i="2" s="1"/>
  <c r="BA52" i="2"/>
  <c r="BD53" i="2" s="1"/>
  <c r="DA51" i="2"/>
  <c r="DP51" i="2" s="1"/>
  <c r="DQ51" i="2" s="1"/>
  <c r="BV51" i="2"/>
  <c r="CN52" i="2"/>
  <c r="BI52" i="2"/>
  <c r="CF52" i="2"/>
  <c r="DK52" i="2"/>
  <c r="CH51" i="2"/>
  <c r="DM51" i="2"/>
  <c r="AY52" i="2"/>
  <c r="BW51" i="2"/>
  <c r="CK51" i="2" s="1"/>
  <c r="CL51" i="2" s="1"/>
  <c r="DB51" i="2"/>
  <c r="BG51" i="2"/>
  <c r="AQ53" i="2"/>
  <c r="BS52" i="2"/>
  <c r="CX52" i="2"/>
  <c r="DD52" i="4"/>
  <c r="BY52" i="4"/>
  <c r="DF51" i="4"/>
  <c r="CA51" i="4"/>
  <c r="BR52" i="4"/>
  <c r="CW52" i="4"/>
  <c r="DK52" i="4"/>
  <c r="CF52" i="4"/>
  <c r="BG51" i="4"/>
  <c r="AN53" i="4"/>
  <c r="BQ52" i="4"/>
  <c r="BB53" i="4"/>
  <c r="AP53" i="4"/>
  <c r="CV52" i="4"/>
  <c r="DJ51" i="4"/>
  <c r="CE51" i="4"/>
  <c r="CT52" i="4"/>
  <c r="BO52" i="4"/>
  <c r="AI53" i="4"/>
  <c r="CQ52" i="4"/>
  <c r="AJ53" i="4"/>
  <c r="BL52" i="4"/>
  <c r="DH51" i="4"/>
  <c r="CC51" i="4"/>
  <c r="BX51" i="4"/>
  <c r="DC51" i="4"/>
  <c r="DP51" i="4" s="1"/>
  <c r="DQ51" i="4" s="1"/>
  <c r="CU52" i="4"/>
  <c r="BP52" i="4"/>
  <c r="DE51" i="4"/>
  <c r="BZ51" i="4"/>
  <c r="AH53" i="4"/>
  <c r="AE53" i="4"/>
  <c r="CM52" i="4"/>
  <c r="AF53" i="4"/>
  <c r="AM53" i="4"/>
  <c r="AD53" i="4"/>
  <c r="BH52" i="4"/>
  <c r="AX52" i="4"/>
  <c r="BS52" i="4"/>
  <c r="CX52" i="4"/>
  <c r="AQ53" i="4"/>
  <c r="CH51" i="4"/>
  <c r="DM51" i="4"/>
  <c r="AT52" i="4"/>
  <c r="AY53" i="4" s="1"/>
  <c r="DA51" i="4"/>
  <c r="AR52" i="4"/>
  <c r="BA52" i="4"/>
  <c r="BV51" i="4"/>
  <c r="CK51" i="4" s="1"/>
  <c r="CL51" i="4" s="1"/>
  <c r="AV52" i="4"/>
  <c r="AS52" i="4"/>
  <c r="AY52" i="4"/>
  <c r="BF52" i="4"/>
  <c r="AZ52" i="4"/>
  <c r="AZ53" i="4" s="1"/>
  <c r="BU52" i="4"/>
  <c r="CZ52" i="4"/>
  <c r="CY52" i="4"/>
  <c r="BT52" i="4"/>
  <c r="BC52" i="4"/>
  <c r="DB51" i="4"/>
  <c r="BW51" i="4"/>
  <c r="AW52" i="4"/>
  <c r="AW53" i="4" s="1"/>
  <c r="CI51" i="4"/>
  <c r="DN51" i="4"/>
  <c r="BI52" i="4"/>
  <c r="CN52" i="4"/>
  <c r="DD51" i="4"/>
  <c r="BY51" i="4"/>
  <c r="AL53" i="4"/>
  <c r="BN52" i="4"/>
  <c r="CS52" i="4"/>
  <c r="CI52" i="4"/>
  <c r="DN52" i="4"/>
  <c r="DM52" i="4"/>
  <c r="CH52" i="4"/>
  <c r="BJ52" i="4"/>
  <c r="AG53" i="4"/>
  <c r="AK53" i="4"/>
  <c r="AO53" i="4"/>
  <c r="AU53" i="4"/>
  <c r="CO52" i="4"/>
  <c r="CP52" i="4"/>
  <c r="BK52" i="4"/>
  <c r="CR52" i="4"/>
  <c r="BM52" i="4"/>
  <c r="CK7" i="4"/>
  <c r="CL7" i="4" s="1"/>
  <c r="BY66" i="3"/>
  <c r="DD66" i="3"/>
  <c r="DK66" i="3"/>
  <c r="CF66" i="3"/>
  <c r="DO65" i="3"/>
  <c r="CJ65" i="3"/>
  <c r="DB65" i="3"/>
  <c r="DP65" i="3" s="1"/>
  <c r="DQ65" i="3" s="1"/>
  <c r="BW65" i="3"/>
  <c r="CN66" i="3"/>
  <c r="BI66" i="3"/>
  <c r="CT66" i="3"/>
  <c r="BO66" i="3"/>
  <c r="BR66" i="3"/>
  <c r="CW66" i="3"/>
  <c r="AS66" i="3"/>
  <c r="AR66" i="3"/>
  <c r="BF67" i="3" s="1"/>
  <c r="AT66" i="3"/>
  <c r="BA66" i="3"/>
  <c r="AV66" i="3"/>
  <c r="BV65" i="3"/>
  <c r="DA65" i="3"/>
  <c r="CA65" i="3"/>
  <c r="DF65" i="3"/>
  <c r="DE65" i="3"/>
  <c r="BZ65" i="3"/>
  <c r="BG65" i="3"/>
  <c r="DG65" i="3"/>
  <c r="CB65" i="3"/>
  <c r="DH65" i="3"/>
  <c r="CC65" i="3"/>
  <c r="BX65" i="3"/>
  <c r="CK65" i="3" s="1"/>
  <c r="CL65" i="3" s="1"/>
  <c r="DC65" i="3"/>
  <c r="BC66" i="3"/>
  <c r="BD67" i="3" s="1"/>
  <c r="CY66" i="3"/>
  <c r="BT66" i="3"/>
  <c r="CU66" i="3"/>
  <c r="BP66" i="3"/>
  <c r="AW66" i="3"/>
  <c r="CR66" i="3"/>
  <c r="BM66" i="3"/>
  <c r="CF65" i="3"/>
  <c r="DK65" i="3"/>
  <c r="CO66" i="3"/>
  <c r="AO67" i="3"/>
  <c r="AG67" i="3"/>
  <c r="AU67" i="3"/>
  <c r="AK67" i="3"/>
  <c r="BJ66" i="3"/>
  <c r="AN67" i="3"/>
  <c r="AP67" i="3"/>
  <c r="CV66" i="3"/>
  <c r="BB67" i="3"/>
  <c r="BQ66" i="3"/>
  <c r="BK66" i="3"/>
  <c r="CP66" i="3"/>
  <c r="BU66" i="3"/>
  <c r="CZ66" i="3"/>
  <c r="AX66" i="3"/>
  <c r="AZ67" i="3" s="1"/>
  <c r="AW67" i="3"/>
  <c r="AI67" i="3"/>
  <c r="AJ67" i="3"/>
  <c r="CQ66" i="3"/>
  <c r="BL66" i="3"/>
  <c r="AY66" i="3"/>
  <c r="BN66" i="3"/>
  <c r="CS66" i="3"/>
  <c r="AL67" i="3"/>
  <c r="BE67" i="3"/>
  <c r="AQ67" i="3"/>
  <c r="CX66" i="3"/>
  <c r="BS66" i="3"/>
  <c r="BF66" i="3"/>
  <c r="AZ66" i="3"/>
  <c r="AX67" i="3" s="1"/>
  <c r="DJ65" i="3"/>
  <c r="CE65" i="3"/>
  <c r="BD66" i="3"/>
  <c r="CM66" i="3"/>
  <c r="BH66" i="3"/>
  <c r="AF67" i="3"/>
  <c r="AH67" i="3"/>
  <c r="AD67" i="3"/>
  <c r="AE67" i="3"/>
  <c r="AM67" i="3"/>
  <c r="CI66" i="3"/>
  <c r="DN66" i="3"/>
  <c r="BI8" i="3"/>
  <c r="AR9" i="3"/>
  <c r="DA9" i="3" s="1"/>
  <c r="BV8" i="3"/>
  <c r="AW9" i="8"/>
  <c r="DF9" i="8" s="1"/>
  <c r="AI9" i="8"/>
  <c r="CR9" i="8" s="1"/>
  <c r="AX9" i="8"/>
  <c r="DG9" i="8" s="1"/>
  <c r="AJ9" i="8"/>
  <c r="CS9" i="8" s="1"/>
  <c r="BL8" i="8"/>
  <c r="CH8" i="8"/>
  <c r="AG9" i="8"/>
  <c r="CP9" i="8" s="1"/>
  <c r="AO9" i="8"/>
  <c r="CX9" i="8" s="1"/>
  <c r="BC9" i="8"/>
  <c r="DL9" i="8" s="1"/>
  <c r="AY9" i="8"/>
  <c r="DH9" i="8" s="1"/>
  <c r="AU9" i="8"/>
  <c r="DD9" i="8" s="1"/>
  <c r="AK9" i="8"/>
  <c r="CT9" i="8" s="1"/>
  <c r="BJ8" i="8"/>
  <c r="AO9" i="5"/>
  <c r="CX9" i="5" s="1"/>
  <c r="BT8" i="8"/>
  <c r="AF9" i="8"/>
  <c r="CO9" i="8" s="1"/>
  <c r="AH9" i="8"/>
  <c r="CQ9" i="8" s="1"/>
  <c r="AD9" i="8"/>
  <c r="CM9" i="8" s="1"/>
  <c r="BG8" i="8"/>
  <c r="AE9" i="8"/>
  <c r="CN9" i="8" s="1"/>
  <c r="BF9" i="8"/>
  <c r="AM9" i="8"/>
  <c r="CV9" i="8" s="1"/>
  <c r="BH8" i="8"/>
  <c r="BR8" i="8"/>
  <c r="AP9" i="8"/>
  <c r="CY9" i="8" s="1"/>
  <c r="BB9" i="8"/>
  <c r="DK9" i="8" s="1"/>
  <c r="BD9" i="8"/>
  <c r="DM9" i="8" s="1"/>
  <c r="AN9" i="8"/>
  <c r="CW9" i="8" s="1"/>
  <c r="BQ8" i="8"/>
  <c r="CG8" i="8"/>
  <c r="CF8" i="8"/>
  <c r="CD8" i="8"/>
  <c r="BY8" i="8"/>
  <c r="BK8" i="8"/>
  <c r="BP8" i="8"/>
  <c r="BE9" i="8"/>
  <c r="DN9" i="8" s="1"/>
  <c r="AQ9" i="8"/>
  <c r="CZ9" i="8" s="1"/>
  <c r="BS8" i="8"/>
  <c r="BW8" i="8"/>
  <c r="AN9" i="5"/>
  <c r="CW9" i="5" s="1"/>
  <c r="AP9" i="6"/>
  <c r="CY9" i="6" s="1"/>
  <c r="BO8" i="5"/>
  <c r="AJ9" i="5"/>
  <c r="CS9" i="5" s="1"/>
  <c r="BE9" i="6"/>
  <c r="DN9" i="6" s="1"/>
  <c r="AT9" i="4"/>
  <c r="DC9" i="4" s="1"/>
  <c r="AQ9" i="6"/>
  <c r="CZ9" i="6" s="1"/>
  <c r="AV9" i="4"/>
  <c r="DE9" i="4" s="1"/>
  <c r="CH8" i="5"/>
  <c r="BT8" i="6"/>
  <c r="BU8" i="8"/>
  <c r="DO8" i="8"/>
  <c r="CJ8" i="8"/>
  <c r="CC8" i="8"/>
  <c r="BR8" i="5"/>
  <c r="BU8" i="5"/>
  <c r="BI8" i="8"/>
  <c r="CB8" i="8"/>
  <c r="AV9" i="8"/>
  <c r="DE9" i="8" s="1"/>
  <c r="AS9" i="8"/>
  <c r="DB9" i="8" s="1"/>
  <c r="BA9" i="8"/>
  <c r="DJ9" i="8" s="1"/>
  <c r="AT9" i="8"/>
  <c r="DC9" i="8" s="1"/>
  <c r="AR9" i="8"/>
  <c r="DA9" i="8" s="1"/>
  <c r="BV8" i="8"/>
  <c r="DP7" i="8"/>
  <c r="DQ7" i="8" s="1"/>
  <c r="BM8" i="8"/>
  <c r="AP9" i="5"/>
  <c r="CY9" i="5" s="1"/>
  <c r="AZ9" i="8"/>
  <c r="DI9" i="8" s="1"/>
  <c r="AL9" i="8"/>
  <c r="CU9" i="8" s="1"/>
  <c r="BN8" i="8"/>
  <c r="BZ8" i="8"/>
  <c r="CI8" i="4"/>
  <c r="BO8" i="8"/>
  <c r="AE9" i="3"/>
  <c r="CN9" i="3" s="1"/>
  <c r="CA8" i="8"/>
  <c r="BX8" i="8"/>
  <c r="AQ9" i="5"/>
  <c r="CZ9" i="5" s="1"/>
  <c r="CE8" i="8"/>
  <c r="AF9" i="5"/>
  <c r="CO9" i="5" s="1"/>
  <c r="BJ8" i="5"/>
  <c r="CF8" i="6"/>
  <c r="CK7" i="8"/>
  <c r="CI8" i="8"/>
  <c r="CK7" i="6"/>
  <c r="AZ9" i="6"/>
  <c r="DI9" i="6" s="1"/>
  <c r="DH8" i="6"/>
  <c r="AX9" i="6"/>
  <c r="DG9" i="6" s="1"/>
  <c r="DE8" i="6"/>
  <c r="BD9" i="6"/>
  <c r="DM9" i="6" s="1"/>
  <c r="DJ8" i="6"/>
  <c r="BB9" i="6"/>
  <c r="DK9" i="6" s="1"/>
  <c r="BC9" i="6"/>
  <c r="DL9" i="6" s="1"/>
  <c r="DC8" i="6"/>
  <c r="DQ7" i="6"/>
  <c r="CB9" i="6"/>
  <c r="CL7" i="6"/>
  <c r="CJ8" i="5"/>
  <c r="AH10" i="6"/>
  <c r="CQ10" i="6" s="1"/>
  <c r="AD10" i="6"/>
  <c r="CM10" i="6" s="1"/>
  <c r="AM10" i="6"/>
  <c r="CV10" i="6" s="1"/>
  <c r="AF10" i="6"/>
  <c r="CO10" i="6" s="1"/>
  <c r="AE10" i="6"/>
  <c r="CN10" i="6" s="1"/>
  <c r="BH9" i="6"/>
  <c r="CG8" i="4"/>
  <c r="AW9" i="6"/>
  <c r="DF9" i="6" s="1"/>
  <c r="BA9" i="4"/>
  <c r="DJ9" i="4" s="1"/>
  <c r="AW9" i="4"/>
  <c r="DF9" i="4" s="1"/>
  <c r="CF9" i="6"/>
  <c r="BP9" i="6"/>
  <c r="CD8" i="5"/>
  <c r="CD8" i="6"/>
  <c r="BR9" i="6"/>
  <c r="CC8" i="6"/>
  <c r="BM9" i="6"/>
  <c r="BY8" i="4"/>
  <c r="BB9" i="5"/>
  <c r="DK9" i="5" s="1"/>
  <c r="BY9" i="6"/>
  <c r="AL10" i="6"/>
  <c r="CU10" i="6" s="1"/>
  <c r="BN9" i="6"/>
  <c r="BZ8" i="4"/>
  <c r="BY8" i="5"/>
  <c r="BE9" i="5"/>
  <c r="DN9" i="5" s="1"/>
  <c r="BK9" i="6"/>
  <c r="BT9" i="6"/>
  <c r="BD9" i="4"/>
  <c r="DM9" i="4" s="1"/>
  <c r="BD9" i="5"/>
  <c r="DM9" i="5" s="1"/>
  <c r="AY9" i="6"/>
  <c r="BO9" i="6"/>
  <c r="CE8" i="6"/>
  <c r="CA8" i="6"/>
  <c r="AU9" i="4"/>
  <c r="DD9" i="4" s="1"/>
  <c r="AT9" i="6"/>
  <c r="DC9" i="6" s="1"/>
  <c r="AS9" i="6"/>
  <c r="DB9" i="6" s="1"/>
  <c r="AR9" i="6"/>
  <c r="DA9" i="6" s="1"/>
  <c r="BA9" i="6"/>
  <c r="AV9" i="6"/>
  <c r="DE9" i="6" s="1"/>
  <c r="BV8" i="6"/>
  <c r="AU9" i="5"/>
  <c r="DD9" i="5" s="1"/>
  <c r="BI9" i="6"/>
  <c r="BW8" i="6"/>
  <c r="AG10" i="6"/>
  <c r="CP10" i="6" s="1"/>
  <c r="AU10" i="6"/>
  <c r="DD10" i="6" s="1"/>
  <c r="AO10" i="6"/>
  <c r="CX10" i="6" s="1"/>
  <c r="AK10" i="6"/>
  <c r="CT10" i="6" s="1"/>
  <c r="BJ9" i="6"/>
  <c r="BS9" i="6"/>
  <c r="BX8" i="6"/>
  <c r="BF9" i="6"/>
  <c r="CJ8" i="4"/>
  <c r="AJ10" i="6"/>
  <c r="CS10" i="6" s="1"/>
  <c r="AI10" i="6"/>
  <c r="CR10" i="6" s="1"/>
  <c r="BL9" i="6"/>
  <c r="BZ8" i="6"/>
  <c r="AN10" i="6"/>
  <c r="CW10" i="6" s="1"/>
  <c r="BQ9" i="6"/>
  <c r="BG8" i="6"/>
  <c r="CJ8" i="6"/>
  <c r="DO8" i="6"/>
  <c r="AY9" i="5"/>
  <c r="DH9" i="5" s="1"/>
  <c r="CK7" i="5"/>
  <c r="CL7" i="5" s="1"/>
  <c r="BC9" i="5"/>
  <c r="DL9" i="5" s="1"/>
  <c r="BF9" i="5"/>
  <c r="CJ9" i="5" s="1"/>
  <c r="AW9" i="5"/>
  <c r="DF9" i="5" s="1"/>
  <c r="BU9" i="5"/>
  <c r="AI10" i="5"/>
  <c r="CR10" i="5" s="1"/>
  <c r="BL9" i="5"/>
  <c r="AX9" i="4"/>
  <c r="DG9" i="4" s="1"/>
  <c r="CE8" i="5"/>
  <c r="AH10" i="5"/>
  <c r="CQ10" i="5" s="1"/>
  <c r="AM10" i="5"/>
  <c r="CV10" i="5" s="1"/>
  <c r="AE10" i="5"/>
  <c r="CN10" i="5" s="1"/>
  <c r="AD10" i="5"/>
  <c r="CM10" i="5" s="1"/>
  <c r="BH9" i="5"/>
  <c r="CB8" i="5"/>
  <c r="AZ9" i="4"/>
  <c r="DI9" i="4" s="1"/>
  <c r="BK9" i="5"/>
  <c r="BG8" i="4"/>
  <c r="BI9" i="5"/>
  <c r="AQ10" i="5"/>
  <c r="CZ10" i="5" s="1"/>
  <c r="BS9" i="5"/>
  <c r="BZ8" i="5"/>
  <c r="BF9" i="4"/>
  <c r="DO9" i="4" s="1"/>
  <c r="BE9" i="4"/>
  <c r="DN9" i="4" s="1"/>
  <c r="BQ9" i="5"/>
  <c r="BP9" i="5"/>
  <c r="BR9" i="5"/>
  <c r="CC8" i="5"/>
  <c r="BM9" i="5"/>
  <c r="BW8" i="5"/>
  <c r="BC9" i="4"/>
  <c r="DL9" i="4" s="1"/>
  <c r="CB8" i="4"/>
  <c r="CG8" i="5"/>
  <c r="BA9" i="5"/>
  <c r="DJ9" i="5" s="1"/>
  <c r="AV9" i="5"/>
  <c r="DE9" i="5" s="1"/>
  <c r="AS9" i="5"/>
  <c r="DB9" i="5" s="1"/>
  <c r="AT9" i="5"/>
  <c r="DC9" i="5" s="1"/>
  <c r="AR9" i="5"/>
  <c r="DA9" i="5" s="1"/>
  <c r="BV8" i="5"/>
  <c r="BG8" i="5"/>
  <c r="DP8" i="5"/>
  <c r="DQ8" i="5" s="1"/>
  <c r="BX8" i="5"/>
  <c r="BQ8" i="3"/>
  <c r="BY9" i="5"/>
  <c r="AZ9" i="5"/>
  <c r="DI9" i="5" s="1"/>
  <c r="AX9" i="5"/>
  <c r="DG9" i="5" s="1"/>
  <c r="BO9" i="5"/>
  <c r="AG10" i="5"/>
  <c r="CP10" i="5" s="1"/>
  <c r="BJ9" i="5"/>
  <c r="AY9" i="4"/>
  <c r="DH9" i="4" s="1"/>
  <c r="CH8" i="4"/>
  <c r="CE8" i="3"/>
  <c r="DJ8" i="3"/>
  <c r="CJ8" i="3"/>
  <c r="DO8" i="3"/>
  <c r="BK8" i="3"/>
  <c r="CP8" i="3"/>
  <c r="CF8" i="3"/>
  <c r="DK8" i="3"/>
  <c r="CB8" i="3"/>
  <c r="DG8" i="3"/>
  <c r="BN8" i="3"/>
  <c r="CS8" i="3"/>
  <c r="BT8" i="3"/>
  <c r="CY8" i="3"/>
  <c r="AQ10" i="4"/>
  <c r="CZ10" i="4" s="1"/>
  <c r="BS9" i="4"/>
  <c r="BP9" i="4"/>
  <c r="AP10" i="4"/>
  <c r="CY10" i="4" s="1"/>
  <c r="AN10" i="4"/>
  <c r="CW10" i="4" s="1"/>
  <c r="BQ9" i="4"/>
  <c r="BY9" i="4"/>
  <c r="BO9" i="4"/>
  <c r="AF10" i="4"/>
  <c r="CO10" i="4" s="1"/>
  <c r="AE10" i="4"/>
  <c r="CN10" i="4" s="1"/>
  <c r="AD10" i="4"/>
  <c r="CM10" i="4" s="1"/>
  <c r="AM10" i="4"/>
  <c r="CV10" i="4" s="1"/>
  <c r="AH10" i="4"/>
  <c r="CQ10" i="4" s="1"/>
  <c r="BH9" i="4"/>
  <c r="BU9" i="4"/>
  <c r="CI9" i="4"/>
  <c r="DP8" i="4"/>
  <c r="DQ8" i="4" s="1"/>
  <c r="BT9" i="4"/>
  <c r="BI9" i="4"/>
  <c r="BK9" i="4"/>
  <c r="AS10" i="4"/>
  <c r="DB10" i="4" s="1"/>
  <c r="AR10" i="4"/>
  <c r="DA10" i="4" s="1"/>
  <c r="BV9" i="4"/>
  <c r="CF9" i="4"/>
  <c r="AO10" i="4"/>
  <c r="CX10" i="4" s="1"/>
  <c r="AG10" i="4"/>
  <c r="CP10" i="4" s="1"/>
  <c r="AK10" i="4"/>
  <c r="CT10" i="4" s="1"/>
  <c r="BJ9" i="4"/>
  <c r="BW9" i="4"/>
  <c r="BM9" i="4"/>
  <c r="AJ10" i="4"/>
  <c r="CS10" i="4" s="1"/>
  <c r="AI10" i="4"/>
  <c r="CR10" i="4" s="1"/>
  <c r="BL9" i="4"/>
  <c r="AL10" i="4"/>
  <c r="CU10" i="4" s="1"/>
  <c r="BN9" i="4"/>
  <c r="BZ9" i="4"/>
  <c r="BR9" i="4"/>
  <c r="BL8" i="3"/>
  <c r="BJ8" i="3"/>
  <c r="AM9" i="3"/>
  <c r="AS9" i="3"/>
  <c r="BW9" i="3" s="1"/>
  <c r="AW9" i="3"/>
  <c r="DF9" i="3" s="1"/>
  <c r="AN9" i="3"/>
  <c r="BM8" i="3"/>
  <c r="AH9" i="3"/>
  <c r="CQ9" i="3" s="1"/>
  <c r="AI9" i="3"/>
  <c r="CR9" i="3" s="1"/>
  <c r="BA9" i="3"/>
  <c r="DJ9" i="3" s="1"/>
  <c r="BW8" i="3"/>
  <c r="CC8" i="3"/>
  <c r="BZ8" i="3"/>
  <c r="AU9" i="3"/>
  <c r="DD9" i="3" s="1"/>
  <c r="CA8" i="3"/>
  <c r="DP7" i="3"/>
  <c r="DQ7" i="3" s="1"/>
  <c r="CI8" i="3"/>
  <c r="BE9" i="3"/>
  <c r="DN9" i="3" s="1"/>
  <c r="AV9" i="3"/>
  <c r="DE9" i="3" s="1"/>
  <c r="AF9" i="3"/>
  <c r="CO9" i="3" s="1"/>
  <c r="BU8" i="3"/>
  <c r="BR8" i="3"/>
  <c r="BB9" i="3"/>
  <c r="CG8" i="3"/>
  <c r="CK7" i="3"/>
  <c r="CL7" i="3" s="1"/>
  <c r="AL9" i="3"/>
  <c r="CU9" i="3" s="1"/>
  <c r="BD9" i="3"/>
  <c r="CD8" i="3"/>
  <c r="AT9" i="3"/>
  <c r="DC9" i="3" s="1"/>
  <c r="AG9" i="3"/>
  <c r="CP9" i="3" s="1"/>
  <c r="BS8" i="3"/>
  <c r="AQ9" i="3"/>
  <c r="CZ9" i="3" s="1"/>
  <c r="CH8" i="3"/>
  <c r="AP9" i="3"/>
  <c r="CY9" i="3" s="1"/>
  <c r="BX8" i="3"/>
  <c r="BY8" i="3"/>
  <c r="AJ9" i="3"/>
  <c r="CS9" i="3" s="1"/>
  <c r="AX9" i="3"/>
  <c r="AO9" i="3"/>
  <c r="BF9" i="3"/>
  <c r="DO9" i="3" s="1"/>
  <c r="AZ9" i="3"/>
  <c r="BC9" i="3"/>
  <c r="DL9" i="3" s="1"/>
  <c r="BG8" i="3"/>
  <c r="AY9" i="3"/>
  <c r="DH9" i="3" s="1"/>
  <c r="AK9" i="3"/>
  <c r="CT9" i="3" s="1"/>
  <c r="BO8" i="3"/>
  <c r="BP8" i="3"/>
  <c r="CQ7" i="2"/>
  <c r="BL7" i="2"/>
  <c r="CM8" i="2"/>
  <c r="BH8" i="2"/>
  <c r="AD10" i="3"/>
  <c r="CM10" i="3" s="1"/>
  <c r="BH9" i="3"/>
  <c r="CN7" i="2"/>
  <c r="CO7" i="2"/>
  <c r="DC7" i="2"/>
  <c r="DA8" i="2"/>
  <c r="CP7" i="2"/>
  <c r="DB7" i="2"/>
  <c r="DD7" i="2"/>
  <c r="CZ7" i="2"/>
  <c r="DJ7" i="2"/>
  <c r="CU7" i="2"/>
  <c r="DI7" i="2"/>
  <c r="CW7" i="2"/>
  <c r="DP6" i="2"/>
  <c r="DQ6" i="2" s="1"/>
  <c r="DN7" i="2"/>
  <c r="CS7" i="2"/>
  <c r="DF7" i="2"/>
  <c r="DM7" i="2"/>
  <c r="CJ7" i="2"/>
  <c r="DO7" i="2"/>
  <c r="DE7" i="2"/>
  <c r="DL7" i="2"/>
  <c r="DG7" i="2"/>
  <c r="CT7" i="2"/>
  <c r="CV7" i="2"/>
  <c r="DH7" i="2"/>
  <c r="CR7" i="2"/>
  <c r="CX7" i="2"/>
  <c r="CY7" i="2"/>
  <c r="DK7" i="2"/>
  <c r="CK6" i="2"/>
  <c r="CL6" i="2" s="1"/>
  <c r="BG7" i="2"/>
  <c r="BA8" i="2"/>
  <c r="CE8" i="2" s="1"/>
  <c r="BB8" i="2"/>
  <c r="CF8" i="2" s="1"/>
  <c r="AV8" i="2"/>
  <c r="BZ8" i="2" s="1"/>
  <c r="AS8" i="2"/>
  <c r="BW8" i="2" s="1"/>
  <c r="BF8" i="2"/>
  <c r="AT8" i="2"/>
  <c r="BX8" i="2" s="1"/>
  <c r="AZ8" i="2"/>
  <c r="CD8" i="2" s="1"/>
  <c r="BE8" i="2"/>
  <c r="CI8" i="2" s="1"/>
  <c r="AQ8" i="2"/>
  <c r="BU8" i="2" s="1"/>
  <c r="AW8" i="2"/>
  <c r="CA8" i="2" s="1"/>
  <c r="AX8" i="2"/>
  <c r="CB8" i="2" s="1"/>
  <c r="AR9" i="2"/>
  <c r="BV9" i="2" s="1"/>
  <c r="BD8" i="2"/>
  <c r="CH8" i="2" s="1"/>
  <c r="BC8" i="2"/>
  <c r="CG8" i="2" s="1"/>
  <c r="AY8" i="2"/>
  <c r="CC8" i="2" s="1"/>
  <c r="AN8" i="2"/>
  <c r="BR8" i="2" s="1"/>
  <c r="AP8" i="2"/>
  <c r="BT8" i="2" s="1"/>
  <c r="AU8" i="2"/>
  <c r="BY8" i="2" s="1"/>
  <c r="AM8" i="2"/>
  <c r="BQ8" i="2" s="1"/>
  <c r="AH8" i="2"/>
  <c r="BL8" i="2" s="1"/>
  <c r="AO8" i="2"/>
  <c r="BS8" i="2" s="1"/>
  <c r="AD9" i="2"/>
  <c r="AJ8" i="2"/>
  <c r="BN8" i="2" s="1"/>
  <c r="AI8" i="2"/>
  <c r="BM8" i="2" s="1"/>
  <c r="AE8" i="2"/>
  <c r="AF8" i="2"/>
  <c r="BJ8" i="2" s="1"/>
  <c r="AL8" i="2"/>
  <c r="BP8" i="2" s="1"/>
  <c r="AK8" i="2"/>
  <c r="BO8" i="2" s="1"/>
  <c r="AG8" i="2"/>
  <c r="BK8" i="2" s="1"/>
  <c r="DD53" i="8" l="1"/>
  <c r="BY53" i="8"/>
  <c r="DN53" i="8"/>
  <c r="CI53" i="8"/>
  <c r="BO53" i="8"/>
  <c r="CT53" i="8"/>
  <c r="DJ52" i="8"/>
  <c r="CE52" i="8"/>
  <c r="AY53" i="8"/>
  <c r="AY54" i="8" s="1"/>
  <c r="BZ52" i="8"/>
  <c r="DE52" i="8"/>
  <c r="AL54" i="8"/>
  <c r="AZ54" i="8"/>
  <c r="CS53" i="8"/>
  <c r="BN53" i="8"/>
  <c r="CZ53" i="8"/>
  <c r="BU53" i="8"/>
  <c r="DB52" i="8"/>
  <c r="BW52" i="8"/>
  <c r="BV52" i="8"/>
  <c r="DA52" i="8"/>
  <c r="AT53" i="8"/>
  <c r="BC54" i="8" s="1"/>
  <c r="AR53" i="8"/>
  <c r="AS53" i="8"/>
  <c r="BA53" i="8"/>
  <c r="BD54" i="8" s="1"/>
  <c r="AV53" i="8"/>
  <c r="DH52" i="8"/>
  <c r="CC52" i="8"/>
  <c r="CB52" i="8"/>
  <c r="DG52" i="8"/>
  <c r="BE54" i="8"/>
  <c r="BS53" i="8"/>
  <c r="CX53" i="8"/>
  <c r="AQ54" i="8"/>
  <c r="BY52" i="8"/>
  <c r="DD52" i="8"/>
  <c r="AM54" i="8"/>
  <c r="BH53" i="8"/>
  <c r="AH54" i="8"/>
  <c r="AD54" i="8"/>
  <c r="AE54" i="8"/>
  <c r="BG53" i="8"/>
  <c r="CM53" i="8"/>
  <c r="AF54" i="8"/>
  <c r="BP53" i="8"/>
  <c r="CU53" i="8"/>
  <c r="CP53" i="8"/>
  <c r="BK53" i="8"/>
  <c r="BT53" i="8"/>
  <c r="CY53" i="8"/>
  <c r="BD53" i="8"/>
  <c r="BF53" i="8"/>
  <c r="AK54" i="8"/>
  <c r="AO54" i="8"/>
  <c r="AU54" i="8"/>
  <c r="CO53" i="8"/>
  <c r="AG54" i="8"/>
  <c r="BJ53" i="8"/>
  <c r="DC52" i="8"/>
  <c r="DP52" i="8" s="1"/>
  <c r="DQ52" i="8" s="1"/>
  <c r="BX52" i="8"/>
  <c r="CK52" i="8" s="1"/>
  <c r="CL52" i="8" s="1"/>
  <c r="BC53" i="8"/>
  <c r="CR53" i="8"/>
  <c r="BM53" i="8"/>
  <c r="AW53" i="8"/>
  <c r="BB53" i="8"/>
  <c r="AX53" i="8"/>
  <c r="BR53" i="8"/>
  <c r="CW53" i="8"/>
  <c r="AI54" i="8"/>
  <c r="BL53" i="8"/>
  <c r="AX54" i="8"/>
  <c r="CQ53" i="8"/>
  <c r="AJ54" i="8"/>
  <c r="AW54" i="8"/>
  <c r="BG52" i="8"/>
  <c r="CI52" i="8"/>
  <c r="DN52" i="8"/>
  <c r="CV53" i="8"/>
  <c r="AN54" i="8"/>
  <c r="AP54" i="8"/>
  <c r="BQ53" i="8"/>
  <c r="AZ53" i="8"/>
  <c r="BI53" i="8"/>
  <c r="CN53" i="8"/>
  <c r="BY53" i="6"/>
  <c r="DD53" i="6"/>
  <c r="CJ53" i="6"/>
  <c r="DO53" i="6"/>
  <c r="DL53" i="6"/>
  <c r="CG53" i="6"/>
  <c r="DH53" i="6"/>
  <c r="CC53" i="6"/>
  <c r="CD52" i="6"/>
  <c r="DI52" i="6"/>
  <c r="AN54" i="6"/>
  <c r="CV53" i="6"/>
  <c r="AP54" i="6"/>
  <c r="BQ53" i="6"/>
  <c r="DK52" i="6"/>
  <c r="CF52" i="6"/>
  <c r="CN53" i="6"/>
  <c r="BI53" i="6"/>
  <c r="DJ52" i="6"/>
  <c r="CE52" i="6"/>
  <c r="DD52" i="6"/>
  <c r="BY52" i="6"/>
  <c r="CT53" i="6"/>
  <c r="BO53" i="6"/>
  <c r="BT53" i="6"/>
  <c r="CY53" i="6"/>
  <c r="CH53" i="6"/>
  <c r="DM53" i="6"/>
  <c r="DE52" i="6"/>
  <c r="BZ52" i="6"/>
  <c r="CP53" i="6"/>
  <c r="BK53" i="6"/>
  <c r="DO52" i="6"/>
  <c r="CJ52" i="6"/>
  <c r="AO54" i="6"/>
  <c r="BJ53" i="6"/>
  <c r="AK54" i="6"/>
  <c r="AG54" i="6"/>
  <c r="CO53" i="6"/>
  <c r="CC52" i="6"/>
  <c r="DH52" i="6"/>
  <c r="AX53" i="6"/>
  <c r="CZ53" i="6"/>
  <c r="BU53" i="6"/>
  <c r="DI53" i="6"/>
  <c r="CD53" i="6"/>
  <c r="CR53" i="6"/>
  <c r="BM53" i="6"/>
  <c r="DL52" i="6"/>
  <c r="CG52" i="6"/>
  <c r="AJ54" i="6"/>
  <c r="AI54" i="6"/>
  <c r="CQ53" i="6"/>
  <c r="AX54" i="6"/>
  <c r="BL53" i="6"/>
  <c r="DB52" i="6"/>
  <c r="BW52" i="6"/>
  <c r="BS53" i="6"/>
  <c r="AQ54" i="6"/>
  <c r="CX53" i="6"/>
  <c r="BP53" i="6"/>
  <c r="CU53" i="6"/>
  <c r="BB53" i="6"/>
  <c r="BE53" i="6"/>
  <c r="AL54" i="6"/>
  <c r="AZ54" i="6"/>
  <c r="CS53" i="6"/>
  <c r="BN53" i="6"/>
  <c r="BR53" i="6"/>
  <c r="CW53" i="6"/>
  <c r="AM54" i="6"/>
  <c r="CM53" i="6"/>
  <c r="AF54" i="6"/>
  <c r="BH53" i="6"/>
  <c r="AH54" i="6"/>
  <c r="AD54" i="6"/>
  <c r="AE54" i="6"/>
  <c r="DC52" i="6"/>
  <c r="BX52" i="6"/>
  <c r="BV52" i="6"/>
  <c r="CK52" i="6" s="1"/>
  <c r="CL52" i="6" s="1"/>
  <c r="AV53" i="6"/>
  <c r="DA52" i="6"/>
  <c r="DP52" i="6" s="1"/>
  <c r="DQ52" i="6" s="1"/>
  <c r="AT53" i="6"/>
  <c r="AY54" i="6" s="1"/>
  <c r="AR53" i="6"/>
  <c r="BA53" i="6"/>
  <c r="BD54" i="6" s="1"/>
  <c r="AS53" i="6"/>
  <c r="AW53" i="6"/>
  <c r="DP8" i="6"/>
  <c r="DQ8" i="6" s="1"/>
  <c r="CH9" i="6"/>
  <c r="AY10" i="6"/>
  <c r="DH10" i="6" s="1"/>
  <c r="CD9" i="6"/>
  <c r="CU53" i="5"/>
  <c r="BP53" i="5"/>
  <c r="CE52" i="5"/>
  <c r="DJ52" i="5"/>
  <c r="DI53" i="5"/>
  <c r="CD53" i="5"/>
  <c r="DE52" i="5"/>
  <c r="BZ52" i="5"/>
  <c r="AN54" i="5"/>
  <c r="AP54" i="5"/>
  <c r="CV53" i="5"/>
  <c r="BQ53" i="5"/>
  <c r="AO54" i="5"/>
  <c r="CO53" i="5"/>
  <c r="BJ53" i="5"/>
  <c r="AG54" i="5"/>
  <c r="AK54" i="5"/>
  <c r="DG52" i="5"/>
  <c r="CB52" i="5"/>
  <c r="DC52" i="5"/>
  <c r="BX52" i="5"/>
  <c r="CJ52" i="5"/>
  <c r="DO52" i="5"/>
  <c r="BW52" i="5"/>
  <c r="CK52" i="5" s="1"/>
  <c r="CL52" i="5" s="1"/>
  <c r="DB52" i="5"/>
  <c r="CN53" i="5"/>
  <c r="BI53" i="5"/>
  <c r="BU53" i="5"/>
  <c r="CZ53" i="5"/>
  <c r="AR53" i="5"/>
  <c r="AS53" i="5"/>
  <c r="AT53" i="5"/>
  <c r="BV52" i="5"/>
  <c r="AV53" i="5"/>
  <c r="DA52" i="5"/>
  <c r="BA53" i="5"/>
  <c r="BD54" i="5" s="1"/>
  <c r="CQ53" i="5"/>
  <c r="AI54" i="5"/>
  <c r="AJ54" i="5"/>
  <c r="BL53" i="5"/>
  <c r="AM54" i="5"/>
  <c r="CM53" i="5"/>
  <c r="BH53" i="5"/>
  <c r="AE54" i="5"/>
  <c r="AF54" i="5"/>
  <c r="AD54" i="5"/>
  <c r="AH54" i="5"/>
  <c r="BC53" i="5"/>
  <c r="DN53" i="5"/>
  <c r="CI53" i="5"/>
  <c r="DN52" i="5"/>
  <c r="CI52" i="5"/>
  <c r="BF53" i="5"/>
  <c r="CT53" i="5"/>
  <c r="BO53" i="5"/>
  <c r="CS53" i="5"/>
  <c r="BN53" i="5"/>
  <c r="AL54" i="5"/>
  <c r="BD53" i="5"/>
  <c r="AY53" i="5"/>
  <c r="BM53" i="5"/>
  <c r="CR53" i="5"/>
  <c r="BB53" i="5"/>
  <c r="DF52" i="5"/>
  <c r="CA52" i="5"/>
  <c r="DP52" i="5"/>
  <c r="DQ52" i="5" s="1"/>
  <c r="CP53" i="5"/>
  <c r="BK53" i="5"/>
  <c r="AX53" i="5"/>
  <c r="BC54" i="5" s="1"/>
  <c r="BR53" i="5"/>
  <c r="CW53" i="5"/>
  <c r="BG52" i="5"/>
  <c r="AU53" i="5"/>
  <c r="AW53" i="5"/>
  <c r="AW54" i="5" s="1"/>
  <c r="BT53" i="5"/>
  <c r="CY53" i="5"/>
  <c r="AQ54" i="5"/>
  <c r="BS53" i="5"/>
  <c r="CX53" i="5"/>
  <c r="DH52" i="5"/>
  <c r="CC52" i="5"/>
  <c r="BN9" i="5"/>
  <c r="AL10" i="5"/>
  <c r="CU10" i="5" s="1"/>
  <c r="BT9" i="5"/>
  <c r="AK10" i="5"/>
  <c r="CT10" i="5" s="1"/>
  <c r="AP10" i="5"/>
  <c r="CY10" i="5" s="1"/>
  <c r="AO10" i="5"/>
  <c r="CX10" i="5" s="1"/>
  <c r="CI9" i="5"/>
  <c r="CH53" i="2"/>
  <c r="DM53" i="2"/>
  <c r="DG53" i="2"/>
  <c r="CB53" i="2"/>
  <c r="DD53" i="2"/>
  <c r="BY53" i="2"/>
  <c r="CJ53" i="2"/>
  <c r="DO53" i="2"/>
  <c r="DM52" i="2"/>
  <c r="CH52" i="2"/>
  <c r="AO54" i="2"/>
  <c r="CO53" i="2"/>
  <c r="AK54" i="2"/>
  <c r="AG54" i="2"/>
  <c r="BJ53" i="2"/>
  <c r="AL54" i="2"/>
  <c r="BN53" i="2"/>
  <c r="CS53" i="2"/>
  <c r="BT53" i="2"/>
  <c r="CY53" i="2"/>
  <c r="AI54" i="2"/>
  <c r="BL53" i="2"/>
  <c r="AJ54" i="2"/>
  <c r="CQ53" i="2"/>
  <c r="BM53" i="2"/>
  <c r="CR53" i="2"/>
  <c r="CA53" i="2"/>
  <c r="DF53" i="2"/>
  <c r="AN54" i="2"/>
  <c r="AP54" i="2"/>
  <c r="CV53" i="2"/>
  <c r="BQ53" i="2"/>
  <c r="CW53" i="2"/>
  <c r="BR53" i="2"/>
  <c r="DH52" i="2"/>
  <c r="CC52" i="2"/>
  <c r="AM54" i="2"/>
  <c r="CM53" i="2"/>
  <c r="BH53" i="2"/>
  <c r="AF54" i="2"/>
  <c r="AH54" i="2"/>
  <c r="AD54" i="2"/>
  <c r="AE54" i="2"/>
  <c r="BP53" i="2"/>
  <c r="CU53" i="2"/>
  <c r="BK53" i="2"/>
  <c r="CP53" i="2"/>
  <c r="CB52" i="2"/>
  <c r="DG52" i="2"/>
  <c r="AY53" i="2"/>
  <c r="CZ53" i="2"/>
  <c r="BU53" i="2"/>
  <c r="DC52" i="2"/>
  <c r="BX52" i="2"/>
  <c r="CT53" i="2"/>
  <c r="BO53" i="2"/>
  <c r="AQ54" i="2"/>
  <c r="CX53" i="2"/>
  <c r="BS53" i="2"/>
  <c r="CN53" i="2"/>
  <c r="BI53" i="2"/>
  <c r="DE52" i="2"/>
  <c r="BZ52" i="2"/>
  <c r="BE53" i="2"/>
  <c r="DB52" i="2"/>
  <c r="DP52" i="2" s="1"/>
  <c r="DQ52" i="2" s="1"/>
  <c r="BW52" i="2"/>
  <c r="AZ53" i="2"/>
  <c r="DD52" i="2"/>
  <c r="BY52" i="2"/>
  <c r="DK53" i="2"/>
  <c r="CF53" i="2"/>
  <c r="DJ52" i="2"/>
  <c r="CE52" i="2"/>
  <c r="BC53" i="2"/>
  <c r="BE54" i="2" s="1"/>
  <c r="BV52" i="2"/>
  <c r="CK52" i="2" s="1"/>
  <c r="CL52" i="2" s="1"/>
  <c r="AR53" i="2"/>
  <c r="AS53" i="2"/>
  <c r="DA52" i="2"/>
  <c r="BA53" i="2"/>
  <c r="AT53" i="2"/>
  <c r="BC54" i="2" s="1"/>
  <c r="AV53" i="2"/>
  <c r="AX54" i="2" s="1"/>
  <c r="DH53" i="4"/>
  <c r="CC53" i="4"/>
  <c r="CA53" i="4"/>
  <c r="DF53" i="4"/>
  <c r="DI53" i="4"/>
  <c r="CD53" i="4"/>
  <c r="BT53" i="4"/>
  <c r="CY53" i="4"/>
  <c r="CU53" i="4"/>
  <c r="BP53" i="4"/>
  <c r="CB52" i="4"/>
  <c r="DG52" i="4"/>
  <c r="BO53" i="4"/>
  <c r="CT53" i="4"/>
  <c r="DB52" i="4"/>
  <c r="BW52" i="4"/>
  <c r="BH53" i="4"/>
  <c r="AH54" i="4"/>
  <c r="AM54" i="4"/>
  <c r="CM53" i="4"/>
  <c r="AF54" i="4"/>
  <c r="AD54" i="4"/>
  <c r="AE54" i="4"/>
  <c r="BC53" i="4"/>
  <c r="BE54" i="4" s="1"/>
  <c r="BZ52" i="4"/>
  <c r="DE52" i="4"/>
  <c r="AP54" i="4"/>
  <c r="BD54" i="4"/>
  <c r="AN54" i="4"/>
  <c r="CV53" i="4"/>
  <c r="BQ53" i="4"/>
  <c r="AX53" i="4"/>
  <c r="DL52" i="4"/>
  <c r="CG52" i="4"/>
  <c r="DK53" i="4"/>
  <c r="CF53" i="4"/>
  <c r="BD53" i="4"/>
  <c r="BS53" i="4"/>
  <c r="CX53" i="4"/>
  <c r="AQ54" i="4"/>
  <c r="BK53" i="4"/>
  <c r="CP53" i="4"/>
  <c r="BF53" i="4"/>
  <c r="AL54" i="4"/>
  <c r="CS53" i="4"/>
  <c r="BN53" i="4"/>
  <c r="AZ54" i="4"/>
  <c r="DJ52" i="4"/>
  <c r="CE52" i="4"/>
  <c r="CO53" i="4"/>
  <c r="BJ53" i="4"/>
  <c r="AK54" i="4"/>
  <c r="AO54" i="4"/>
  <c r="AG54" i="4"/>
  <c r="CZ53" i="4"/>
  <c r="BU53" i="4"/>
  <c r="BR53" i="4"/>
  <c r="CW53" i="4"/>
  <c r="DF52" i="4"/>
  <c r="CA52" i="4"/>
  <c r="CN53" i="4"/>
  <c r="BI53" i="4"/>
  <c r="BE53" i="4"/>
  <c r="CJ52" i="4"/>
  <c r="DO52" i="4"/>
  <c r="CC52" i="4"/>
  <c r="DH52" i="4"/>
  <c r="BV52" i="4"/>
  <c r="AR53" i="4"/>
  <c r="BF54" i="4" s="1"/>
  <c r="BA53" i="4"/>
  <c r="DA52" i="4"/>
  <c r="DP52" i="4" s="1"/>
  <c r="DQ52" i="4" s="1"/>
  <c r="AT53" i="4"/>
  <c r="AS53" i="4"/>
  <c r="AV53" i="4"/>
  <c r="DC52" i="4"/>
  <c r="BX52" i="4"/>
  <c r="CQ53" i="4"/>
  <c r="AI54" i="4"/>
  <c r="AJ54" i="4"/>
  <c r="BL53" i="4"/>
  <c r="AW54" i="4"/>
  <c r="AX54" i="4"/>
  <c r="DI52" i="4"/>
  <c r="CD52" i="4"/>
  <c r="DD53" i="4"/>
  <c r="BY53" i="4"/>
  <c r="BG52" i="4"/>
  <c r="CK52" i="4"/>
  <c r="CL52" i="4" s="1"/>
  <c r="CR53" i="4"/>
  <c r="BM53" i="4"/>
  <c r="CD9" i="4"/>
  <c r="CB67" i="3"/>
  <c r="DG67" i="3"/>
  <c r="CJ67" i="3"/>
  <c r="DO67" i="3"/>
  <c r="CD67" i="3"/>
  <c r="DI67" i="3"/>
  <c r="CH67" i="3"/>
  <c r="DM67" i="3"/>
  <c r="CX67" i="3"/>
  <c r="BS67" i="3"/>
  <c r="CM67" i="3"/>
  <c r="BH67" i="3"/>
  <c r="DB66" i="3"/>
  <c r="BW66" i="3"/>
  <c r="CV67" i="3"/>
  <c r="BQ67" i="3"/>
  <c r="BI67" i="3"/>
  <c r="CN67" i="3"/>
  <c r="BJ67" i="3"/>
  <c r="CO67" i="3"/>
  <c r="CA66" i="3"/>
  <c r="DF66" i="3"/>
  <c r="CJ66" i="3"/>
  <c r="DO66" i="3"/>
  <c r="CZ67" i="3"/>
  <c r="BU67" i="3"/>
  <c r="BT67" i="3"/>
  <c r="CY67" i="3"/>
  <c r="BV66" i="3"/>
  <c r="CK66" i="3" s="1"/>
  <c r="CL66" i="3" s="1"/>
  <c r="AV67" i="3"/>
  <c r="DA66" i="3"/>
  <c r="BA67" i="3"/>
  <c r="AR67" i="3"/>
  <c r="AT67" i="3"/>
  <c r="AS67" i="3"/>
  <c r="CB66" i="3"/>
  <c r="DG66" i="3"/>
  <c r="CI67" i="3"/>
  <c r="DN67" i="3"/>
  <c r="CC66" i="3"/>
  <c r="DH66" i="3"/>
  <c r="CT67" i="3"/>
  <c r="BO67" i="3"/>
  <c r="CF67" i="3"/>
  <c r="DK67" i="3"/>
  <c r="DP66" i="3"/>
  <c r="DQ66" i="3" s="1"/>
  <c r="BR67" i="3"/>
  <c r="CW67" i="3"/>
  <c r="CD66" i="3"/>
  <c r="DI66" i="3"/>
  <c r="BL67" i="3"/>
  <c r="CQ67" i="3"/>
  <c r="BG66" i="3"/>
  <c r="AY67" i="3"/>
  <c r="DE66" i="3"/>
  <c r="BZ66" i="3"/>
  <c r="CA67" i="3"/>
  <c r="DF67" i="3"/>
  <c r="BK67" i="3"/>
  <c r="CP67" i="3"/>
  <c r="BP67" i="3"/>
  <c r="CU67" i="3"/>
  <c r="CH66" i="3"/>
  <c r="DM66" i="3"/>
  <c r="CS67" i="3"/>
  <c r="BN67" i="3"/>
  <c r="DL66" i="3"/>
  <c r="CG66" i="3"/>
  <c r="DJ66" i="3"/>
  <c r="CE66" i="3"/>
  <c r="DD67" i="3"/>
  <c r="BY67" i="3"/>
  <c r="CR67" i="3"/>
  <c r="BM67" i="3"/>
  <c r="BC67" i="3"/>
  <c r="DC66" i="3"/>
  <c r="BX66" i="3"/>
  <c r="BV9" i="3"/>
  <c r="AR10" i="3"/>
  <c r="DA10" i="3" s="1"/>
  <c r="BI9" i="3"/>
  <c r="AE10" i="3"/>
  <c r="CN10" i="3" s="1"/>
  <c r="BT9" i="8"/>
  <c r="BY9" i="8"/>
  <c r="AV10" i="4"/>
  <c r="DE10" i="4" s="1"/>
  <c r="BE10" i="5"/>
  <c r="DN10" i="5" s="1"/>
  <c r="DP8" i="8"/>
  <c r="CB9" i="4"/>
  <c r="BU9" i="6"/>
  <c r="CD9" i="8"/>
  <c r="BI9" i="8"/>
  <c r="AF10" i="8"/>
  <c r="CO10" i="8" s="1"/>
  <c r="BG9" i="8"/>
  <c r="AH10" i="8"/>
  <c r="CQ10" i="8" s="1"/>
  <c r="AE10" i="8"/>
  <c r="CN10" i="8" s="1"/>
  <c r="AD10" i="8"/>
  <c r="CM10" i="8" s="1"/>
  <c r="BF10" i="8"/>
  <c r="AM10" i="8"/>
  <c r="CV10" i="8" s="1"/>
  <c r="BH9" i="8"/>
  <c r="CA9" i="4"/>
  <c r="AI10" i="8"/>
  <c r="CR10" i="8" s="1"/>
  <c r="AX10" i="8"/>
  <c r="DG10" i="8" s="1"/>
  <c r="AW10" i="8"/>
  <c r="DF10" i="8" s="1"/>
  <c r="AJ10" i="8"/>
  <c r="CS10" i="8" s="1"/>
  <c r="BL9" i="8"/>
  <c r="BO9" i="8"/>
  <c r="BA10" i="4"/>
  <c r="DJ10" i="4" s="1"/>
  <c r="BZ9" i="8"/>
  <c r="CC9" i="8"/>
  <c r="CL7" i="8"/>
  <c r="CH9" i="5"/>
  <c r="AP10" i="6"/>
  <c r="CY10" i="6" s="1"/>
  <c r="CG9" i="8"/>
  <c r="CK8" i="5"/>
  <c r="CL8" i="5" s="1"/>
  <c r="DO9" i="8"/>
  <c r="CJ9" i="8"/>
  <c r="AW10" i="4"/>
  <c r="DF10" i="4" s="1"/>
  <c r="AJ10" i="5"/>
  <c r="CS10" i="5" s="1"/>
  <c r="CH9" i="4"/>
  <c r="BX9" i="4"/>
  <c r="BB10" i="4"/>
  <c r="DK10" i="4" s="1"/>
  <c r="CF9" i="5"/>
  <c r="AY10" i="8"/>
  <c r="DH10" i="8" s="1"/>
  <c r="BC10" i="8"/>
  <c r="DL10" i="8" s="1"/>
  <c r="AO10" i="8"/>
  <c r="CX10" i="8" s="1"/>
  <c r="AG10" i="8"/>
  <c r="CP10" i="8" s="1"/>
  <c r="AK10" i="8"/>
  <c r="CT10" i="8" s="1"/>
  <c r="AU10" i="8"/>
  <c r="DD10" i="8" s="1"/>
  <c r="BJ9" i="8"/>
  <c r="AZ10" i="8"/>
  <c r="DI10" i="8" s="1"/>
  <c r="AL10" i="8"/>
  <c r="CU10" i="8" s="1"/>
  <c r="BN9" i="8"/>
  <c r="BW9" i="8"/>
  <c r="CK8" i="8"/>
  <c r="CL8" i="8" s="1"/>
  <c r="BD10" i="8"/>
  <c r="DM10" i="8" s="1"/>
  <c r="BB10" i="8"/>
  <c r="DK10" i="8" s="1"/>
  <c r="AP10" i="8"/>
  <c r="CY10" i="8" s="1"/>
  <c r="AN10" i="8"/>
  <c r="CW10" i="8" s="1"/>
  <c r="BQ9" i="8"/>
  <c r="AQ10" i="8"/>
  <c r="CZ10" i="8" s="1"/>
  <c r="BE10" i="8"/>
  <c r="DN10" i="8" s="1"/>
  <c r="BS9" i="8"/>
  <c r="BP9" i="8"/>
  <c r="BK9" i="8"/>
  <c r="BU9" i="8"/>
  <c r="BR9" i="8"/>
  <c r="CB9" i="8"/>
  <c r="AN10" i="5"/>
  <c r="CW10" i="5" s="1"/>
  <c r="CI9" i="6"/>
  <c r="AR10" i="8"/>
  <c r="DA10" i="8" s="1"/>
  <c r="BA10" i="8"/>
  <c r="DJ10" i="8" s="1"/>
  <c r="AV10" i="8"/>
  <c r="DE10" i="8" s="1"/>
  <c r="AS10" i="8"/>
  <c r="DB10" i="8" s="1"/>
  <c r="AT10" i="8"/>
  <c r="DC10" i="8" s="1"/>
  <c r="BV9" i="8"/>
  <c r="CI9" i="8"/>
  <c r="CH9" i="8"/>
  <c r="CE9" i="4"/>
  <c r="BX9" i="8"/>
  <c r="CF9" i="8"/>
  <c r="BM9" i="8"/>
  <c r="AF10" i="5"/>
  <c r="CO10" i="5" s="1"/>
  <c r="AQ10" i="6"/>
  <c r="CZ10" i="6" s="1"/>
  <c r="CE9" i="8"/>
  <c r="CA9" i="8"/>
  <c r="CG9" i="6"/>
  <c r="BE10" i="6"/>
  <c r="DN10" i="6" s="1"/>
  <c r="BD10" i="6"/>
  <c r="DM10" i="6" s="1"/>
  <c r="DJ9" i="6"/>
  <c r="AZ10" i="6"/>
  <c r="DI10" i="6" s="1"/>
  <c r="DH9" i="6"/>
  <c r="BB10" i="6"/>
  <c r="DK10" i="6" s="1"/>
  <c r="CK8" i="6"/>
  <c r="CL8" i="6" s="1"/>
  <c r="BC10" i="6"/>
  <c r="DL10" i="6" s="1"/>
  <c r="CD10" i="6"/>
  <c r="CH10" i="6"/>
  <c r="BP10" i="6"/>
  <c r="AI11" i="6"/>
  <c r="CR11" i="6" s="1"/>
  <c r="AJ11" i="6"/>
  <c r="CS11" i="6" s="1"/>
  <c r="BL10" i="6"/>
  <c r="BR10" i="6"/>
  <c r="CJ9" i="6"/>
  <c r="DO9" i="6"/>
  <c r="DP9" i="6" s="1"/>
  <c r="DQ9" i="6" s="1"/>
  <c r="BD10" i="4"/>
  <c r="DM10" i="4" s="1"/>
  <c r="AU10" i="4"/>
  <c r="DD10" i="4" s="1"/>
  <c r="CG9" i="5"/>
  <c r="BK10" i="6"/>
  <c r="AE11" i="6"/>
  <c r="CN11" i="6" s="1"/>
  <c r="AD11" i="6"/>
  <c r="CM11" i="6" s="1"/>
  <c r="AM11" i="6"/>
  <c r="CV11" i="6" s="1"/>
  <c r="AH11" i="6"/>
  <c r="CQ11" i="6" s="1"/>
  <c r="AF11" i="6"/>
  <c r="CO11" i="6" s="1"/>
  <c r="BH10" i="6"/>
  <c r="CC10" i="6"/>
  <c r="CC9" i="6"/>
  <c r="BE10" i="4"/>
  <c r="DN10" i="4" s="1"/>
  <c r="CK8" i="4"/>
  <c r="CL8" i="4" s="1"/>
  <c r="CA9" i="6"/>
  <c r="BZ9" i="6"/>
  <c r="BF10" i="6"/>
  <c r="BF10" i="4"/>
  <c r="DO10" i="4" s="1"/>
  <c r="CA9" i="5"/>
  <c r="AL11" i="6"/>
  <c r="CU11" i="6" s="1"/>
  <c r="BN10" i="6"/>
  <c r="CE9" i="6"/>
  <c r="BI10" i="6"/>
  <c r="AT10" i="4"/>
  <c r="DC10" i="4" s="1"/>
  <c r="BO10" i="6"/>
  <c r="AT10" i="6"/>
  <c r="BA10" i="6"/>
  <c r="DJ10" i="6" s="1"/>
  <c r="AV10" i="6"/>
  <c r="DE10" i="6" s="1"/>
  <c r="AS10" i="6"/>
  <c r="DB10" i="6" s="1"/>
  <c r="AR10" i="6"/>
  <c r="DA10" i="6" s="1"/>
  <c r="BV9" i="6"/>
  <c r="AO11" i="6"/>
  <c r="CX11" i="6" s="1"/>
  <c r="AK11" i="6"/>
  <c r="CT11" i="6" s="1"/>
  <c r="AG11" i="6"/>
  <c r="CP11" i="6" s="1"/>
  <c r="BJ10" i="6"/>
  <c r="AX10" i="4"/>
  <c r="DG10" i="4" s="1"/>
  <c r="AW10" i="6"/>
  <c r="BS10" i="6"/>
  <c r="BW9" i="6"/>
  <c r="BG9" i="6"/>
  <c r="AX10" i="6"/>
  <c r="DG10" i="6" s="1"/>
  <c r="BX9" i="6"/>
  <c r="BY10" i="6"/>
  <c r="BM10" i="6"/>
  <c r="AN11" i="6"/>
  <c r="CW11" i="6" s="1"/>
  <c r="BQ10" i="6"/>
  <c r="DO9" i="5"/>
  <c r="BD10" i="5"/>
  <c r="DM10" i="5" s="1"/>
  <c r="CC9" i="5"/>
  <c r="AZ10" i="5"/>
  <c r="DI10" i="5" s="1"/>
  <c r="AU10" i="5"/>
  <c r="DD10" i="5" s="1"/>
  <c r="AW10" i="5"/>
  <c r="DF10" i="5" s="1"/>
  <c r="BP10" i="5"/>
  <c r="BI10" i="5"/>
  <c r="BU10" i="5"/>
  <c r="BC10" i="4"/>
  <c r="DL10" i="4" s="1"/>
  <c r="CJ9" i="4"/>
  <c r="CI10" i="5"/>
  <c r="AE11" i="5"/>
  <c r="CN11" i="5" s="1"/>
  <c r="AD11" i="5"/>
  <c r="CM11" i="5" s="1"/>
  <c r="AH11" i="5"/>
  <c r="CQ11" i="5" s="1"/>
  <c r="AF11" i="5"/>
  <c r="CO11" i="5" s="1"/>
  <c r="AM11" i="5"/>
  <c r="CV11" i="5" s="1"/>
  <c r="BH10" i="5"/>
  <c r="AZ10" i="4"/>
  <c r="DI10" i="4" s="1"/>
  <c r="CC9" i="4"/>
  <c r="BZ9" i="5"/>
  <c r="BG9" i="5"/>
  <c r="CB9" i="5"/>
  <c r="AI11" i="5"/>
  <c r="CR11" i="5" s="1"/>
  <c r="BL10" i="5"/>
  <c r="AY10" i="4"/>
  <c r="DH10" i="4" s="1"/>
  <c r="CG9" i="4"/>
  <c r="BO10" i="5"/>
  <c r="BT10" i="5"/>
  <c r="DP9" i="5"/>
  <c r="DQ9" i="5" s="1"/>
  <c r="AR10" i="5"/>
  <c r="DA10" i="5" s="1"/>
  <c r="AT10" i="5"/>
  <c r="DC10" i="5" s="1"/>
  <c r="BA10" i="5"/>
  <c r="DJ10" i="5" s="1"/>
  <c r="AS10" i="5"/>
  <c r="DB10" i="5" s="1"/>
  <c r="AV10" i="5"/>
  <c r="DE10" i="5" s="1"/>
  <c r="BV9" i="5"/>
  <c r="CD9" i="5"/>
  <c r="AX10" i="5"/>
  <c r="DG10" i="5" s="1"/>
  <c r="BF10" i="5"/>
  <c r="BK10" i="5"/>
  <c r="BX9" i="5"/>
  <c r="AN11" i="5"/>
  <c r="CW11" i="5" s="1"/>
  <c r="AP11" i="5"/>
  <c r="CY11" i="5" s="1"/>
  <c r="BQ10" i="5"/>
  <c r="AY10" i="5"/>
  <c r="DH10" i="5" s="1"/>
  <c r="CE9" i="5"/>
  <c r="BM10" i="5"/>
  <c r="BB10" i="5"/>
  <c r="DK10" i="5" s="1"/>
  <c r="BC10" i="5"/>
  <c r="DL10" i="5" s="1"/>
  <c r="BG9" i="4"/>
  <c r="BW9" i="5"/>
  <c r="CA9" i="3"/>
  <c r="CH9" i="3"/>
  <c r="DM9" i="3"/>
  <c r="AS10" i="3"/>
  <c r="DB10" i="3" s="1"/>
  <c r="DB9" i="3"/>
  <c r="CD9" i="3"/>
  <c r="DI9" i="3"/>
  <c r="BS9" i="3"/>
  <c r="CX9" i="3"/>
  <c r="CF9" i="3"/>
  <c r="DK9" i="3"/>
  <c r="BQ9" i="3"/>
  <c r="CV9" i="3"/>
  <c r="CB9" i="3"/>
  <c r="DG9" i="3"/>
  <c r="BR9" i="3"/>
  <c r="CW9" i="3"/>
  <c r="AO11" i="4"/>
  <c r="CX11" i="4" s="1"/>
  <c r="AK11" i="4"/>
  <c r="CT11" i="4" s="1"/>
  <c r="AG11" i="4"/>
  <c r="CP11" i="4" s="1"/>
  <c r="BJ10" i="4"/>
  <c r="BR10" i="4"/>
  <c r="BA11" i="4"/>
  <c r="DJ11" i="4" s="1"/>
  <c r="AV11" i="4"/>
  <c r="DE11" i="4" s="1"/>
  <c r="AT11" i="4"/>
  <c r="DC11" i="4" s="1"/>
  <c r="AS11" i="4"/>
  <c r="DB11" i="4" s="1"/>
  <c r="AR11" i="4"/>
  <c r="DA11" i="4" s="1"/>
  <c r="BV10" i="4"/>
  <c r="BT10" i="4"/>
  <c r="AP11" i="4"/>
  <c r="CY11" i="4" s="1"/>
  <c r="AN11" i="4"/>
  <c r="CW11" i="4" s="1"/>
  <c r="BQ10" i="4"/>
  <c r="CK7" i="2"/>
  <c r="CL7" i="2" s="1"/>
  <c r="CF10" i="4"/>
  <c r="BP10" i="4"/>
  <c r="BZ10" i="4"/>
  <c r="CH10" i="4"/>
  <c r="BW10" i="4"/>
  <c r="BO10" i="4"/>
  <c r="AI11" i="4"/>
  <c r="CR11" i="4" s="1"/>
  <c r="AJ11" i="4"/>
  <c r="CS11" i="4" s="1"/>
  <c r="BL10" i="4"/>
  <c r="BM10" i="4"/>
  <c r="BK10" i="4"/>
  <c r="BI10" i="4"/>
  <c r="AL11" i="4"/>
  <c r="CU11" i="4" s="1"/>
  <c r="BN10" i="4"/>
  <c r="CC10" i="4"/>
  <c r="DP9" i="4"/>
  <c r="DQ9" i="4" s="1"/>
  <c r="AM11" i="4"/>
  <c r="CV11" i="4" s="1"/>
  <c r="AH11" i="4"/>
  <c r="CQ11" i="4" s="1"/>
  <c r="AF11" i="4"/>
  <c r="CO11" i="4" s="1"/>
  <c r="AE11" i="4"/>
  <c r="CN11" i="4" s="1"/>
  <c r="AD11" i="4"/>
  <c r="CM11" i="4" s="1"/>
  <c r="BH10" i="4"/>
  <c r="AQ11" i="4"/>
  <c r="CZ11" i="4" s="1"/>
  <c r="BS10" i="4"/>
  <c r="BU10" i="4"/>
  <c r="AN10" i="3"/>
  <c r="CE9" i="3"/>
  <c r="BY9" i="3"/>
  <c r="AM10" i="3"/>
  <c r="BB10" i="3"/>
  <c r="DK10" i="3" s="1"/>
  <c r="AH10" i="3"/>
  <c r="BM9" i="3"/>
  <c r="BO9" i="3"/>
  <c r="BL9" i="3"/>
  <c r="AI10" i="3"/>
  <c r="CI9" i="3"/>
  <c r="BA10" i="3"/>
  <c r="DJ10" i="3" s="1"/>
  <c r="BJ9" i="3"/>
  <c r="BZ9" i="3"/>
  <c r="AV10" i="3"/>
  <c r="DE10" i="3" s="1"/>
  <c r="AW10" i="3"/>
  <c r="DF10" i="3" s="1"/>
  <c r="DP8" i="3"/>
  <c r="DQ8" i="3" s="1"/>
  <c r="BK9" i="3"/>
  <c r="BD10" i="3"/>
  <c r="DM10" i="3" s="1"/>
  <c r="AL10" i="3"/>
  <c r="CU10" i="3" s="1"/>
  <c r="BX9" i="3"/>
  <c r="CK8" i="3"/>
  <c r="CL8" i="3" s="1"/>
  <c r="BF10" i="3"/>
  <c r="DO10" i="3" s="1"/>
  <c r="AP10" i="3"/>
  <c r="AU10" i="3"/>
  <c r="DD10" i="3" s="1"/>
  <c r="BP9" i="3"/>
  <c r="AG10" i="3"/>
  <c r="BT9" i="3"/>
  <c r="BN9" i="3"/>
  <c r="AF10" i="3"/>
  <c r="AO10" i="3"/>
  <c r="CX10" i="3" s="1"/>
  <c r="AT10" i="3"/>
  <c r="DC10" i="3" s="1"/>
  <c r="AQ10" i="3"/>
  <c r="CZ10" i="3" s="1"/>
  <c r="AX10" i="3"/>
  <c r="AJ10" i="3"/>
  <c r="CS10" i="3" s="1"/>
  <c r="AZ10" i="3"/>
  <c r="DI10" i="3" s="1"/>
  <c r="BU9" i="3"/>
  <c r="CC9" i="3"/>
  <c r="BG9" i="3"/>
  <c r="AY10" i="3"/>
  <c r="DH10" i="3" s="1"/>
  <c r="AK10" i="3"/>
  <c r="CT10" i="3" s="1"/>
  <c r="CG9" i="3"/>
  <c r="BE10" i="3"/>
  <c r="DN10" i="3" s="1"/>
  <c r="CJ9" i="3"/>
  <c r="BC10" i="3"/>
  <c r="DL10" i="3" s="1"/>
  <c r="CM9" i="2"/>
  <c r="BH9" i="2"/>
  <c r="CN8" i="2"/>
  <c r="BI8" i="2"/>
  <c r="AD11" i="3"/>
  <c r="CM11" i="3" s="1"/>
  <c r="BH10" i="3"/>
  <c r="DD8" i="2"/>
  <c r="DB8" i="2"/>
  <c r="CP8" i="2"/>
  <c r="DP7" i="2"/>
  <c r="DQ7" i="2" s="1"/>
  <c r="DC8" i="2"/>
  <c r="DA9" i="2"/>
  <c r="CO8" i="2"/>
  <c r="DE8" i="2"/>
  <c r="CY8" i="2"/>
  <c r="CW8" i="2"/>
  <c r="DJ8" i="2"/>
  <c r="CV8" i="2"/>
  <c r="DH8" i="2"/>
  <c r="DL8" i="2"/>
  <c r="DM8" i="2"/>
  <c r="DK8" i="2"/>
  <c r="DG8" i="2"/>
  <c r="CZ8" i="2"/>
  <c r="DN8" i="2"/>
  <c r="CQ8" i="2"/>
  <c r="DF8" i="2"/>
  <c r="DI8" i="2"/>
  <c r="CT8" i="2"/>
  <c r="CU8" i="2"/>
  <c r="CR8" i="2"/>
  <c r="CS8" i="2"/>
  <c r="CX8" i="2"/>
  <c r="CJ8" i="2"/>
  <c r="DO8" i="2"/>
  <c r="BG8" i="2"/>
  <c r="AS9" i="2"/>
  <c r="BW9" i="2" s="1"/>
  <c r="BA9" i="2"/>
  <c r="CE9" i="2" s="1"/>
  <c r="BF9" i="2"/>
  <c r="AZ9" i="2"/>
  <c r="CD9" i="2" s="1"/>
  <c r="AT9" i="2"/>
  <c r="BX9" i="2" s="1"/>
  <c r="AU9" i="2"/>
  <c r="BY9" i="2" s="1"/>
  <c r="AY9" i="2"/>
  <c r="CC9" i="2" s="1"/>
  <c r="BC9" i="2"/>
  <c r="CG9" i="2" s="1"/>
  <c r="AV9" i="2"/>
  <c r="BZ9" i="2" s="1"/>
  <c r="AR10" i="2"/>
  <c r="BV10" i="2" s="1"/>
  <c r="BD9" i="2"/>
  <c r="CH9" i="2" s="1"/>
  <c r="AP9" i="2"/>
  <c r="BT9" i="2" s="1"/>
  <c r="BE9" i="2"/>
  <c r="CI9" i="2" s="1"/>
  <c r="AQ9" i="2"/>
  <c r="BU9" i="2" s="1"/>
  <c r="AX9" i="2"/>
  <c r="CB9" i="2" s="1"/>
  <c r="AW9" i="2"/>
  <c r="CA9" i="2" s="1"/>
  <c r="BB9" i="2"/>
  <c r="CF9" i="2" s="1"/>
  <c r="AE9" i="2"/>
  <c r="BI9" i="2" s="1"/>
  <c r="AH9" i="2"/>
  <c r="BL9" i="2" s="1"/>
  <c r="AM9" i="2"/>
  <c r="BQ9" i="2" s="1"/>
  <c r="AD10" i="2"/>
  <c r="AF9" i="2"/>
  <c r="BJ9" i="2" s="1"/>
  <c r="AJ9" i="2"/>
  <c r="BN9" i="2" s="1"/>
  <c r="AI9" i="2"/>
  <c r="BM9" i="2" s="1"/>
  <c r="AK9" i="2"/>
  <c r="BO9" i="2" s="1"/>
  <c r="AG9" i="2"/>
  <c r="BK9" i="2" s="1"/>
  <c r="AO9" i="2"/>
  <c r="BS9" i="2" s="1"/>
  <c r="AN9" i="2"/>
  <c r="BR9" i="2" s="1"/>
  <c r="AL9" i="2"/>
  <c r="BP9" i="2" s="1"/>
  <c r="CH54" i="8" l="1"/>
  <c r="DM54" i="8"/>
  <c r="DH54" i="8"/>
  <c r="CC54" i="8"/>
  <c r="DL54" i="8"/>
  <c r="CG54" i="8"/>
  <c r="AZ55" i="8"/>
  <c r="AL55" i="8"/>
  <c r="BN54" i="8"/>
  <c r="CS54" i="8"/>
  <c r="BZ53" i="8"/>
  <c r="DE53" i="8"/>
  <c r="BM54" i="8"/>
  <c r="CR54" i="8"/>
  <c r="CT54" i="8"/>
  <c r="BO54" i="8"/>
  <c r="CY54" i="8"/>
  <c r="BT54" i="8"/>
  <c r="BR54" i="8"/>
  <c r="CW54" i="8"/>
  <c r="DK53" i="8"/>
  <c r="CF53" i="8"/>
  <c r="CJ53" i="8"/>
  <c r="DO53" i="8"/>
  <c r="AP55" i="8"/>
  <c r="CV54" i="8"/>
  <c r="BQ54" i="8"/>
  <c r="AN55" i="8"/>
  <c r="BB55" i="8"/>
  <c r="DN54" i="8"/>
  <c r="CI54" i="8"/>
  <c r="BP54" i="8"/>
  <c r="CU54" i="8"/>
  <c r="CD53" i="8"/>
  <c r="DI53" i="8"/>
  <c r="CM54" i="8"/>
  <c r="AD55" i="8"/>
  <c r="AM55" i="8"/>
  <c r="AE55" i="8"/>
  <c r="AF55" i="8"/>
  <c r="AH55" i="8"/>
  <c r="BH54" i="8"/>
  <c r="BF54" i="8"/>
  <c r="CA53" i="8"/>
  <c r="DF53" i="8"/>
  <c r="CH53" i="8"/>
  <c r="DM53" i="8"/>
  <c r="AK55" i="8"/>
  <c r="AG55" i="8"/>
  <c r="AY55" i="8"/>
  <c r="BJ54" i="8"/>
  <c r="AO55" i="8"/>
  <c r="CO54" i="8"/>
  <c r="DD54" i="8"/>
  <c r="BY54" i="8"/>
  <c r="DJ53" i="8"/>
  <c r="CE53" i="8"/>
  <c r="DA53" i="8"/>
  <c r="DP53" i="8" s="1"/>
  <c r="DQ53" i="8" s="1"/>
  <c r="BA54" i="8"/>
  <c r="AR54" i="8"/>
  <c r="AS54" i="8"/>
  <c r="BV53" i="8"/>
  <c r="AT54" i="8"/>
  <c r="BC55" i="8" s="1"/>
  <c r="AV54" i="8"/>
  <c r="AW55" i="8" s="1"/>
  <c r="BB54" i="8"/>
  <c r="BD55" i="8" s="1"/>
  <c r="CD54" i="8"/>
  <c r="DI54" i="8"/>
  <c r="CX54" i="8"/>
  <c r="BS54" i="8"/>
  <c r="BE55" i="8"/>
  <c r="AQ55" i="8"/>
  <c r="DB53" i="8"/>
  <c r="BW53" i="8"/>
  <c r="CK53" i="8" s="1"/>
  <c r="CL53" i="8" s="1"/>
  <c r="DC53" i="8"/>
  <c r="BX53" i="8"/>
  <c r="BU54" i="8"/>
  <c r="CZ54" i="8"/>
  <c r="CA54" i="8"/>
  <c r="DF54" i="8"/>
  <c r="CP54" i="8"/>
  <c r="BK54" i="8"/>
  <c r="CB54" i="8"/>
  <c r="DG54" i="8"/>
  <c r="CN54" i="8"/>
  <c r="BI54" i="8"/>
  <c r="CC53" i="8"/>
  <c r="DH53" i="8"/>
  <c r="AJ55" i="8"/>
  <c r="AX55" i="8"/>
  <c r="CQ54" i="8"/>
  <c r="AI55" i="8"/>
  <c r="BL54" i="8"/>
  <c r="CB53" i="8"/>
  <c r="DG53" i="8"/>
  <c r="DL53" i="8"/>
  <c r="CG53" i="8"/>
  <c r="DH54" i="6"/>
  <c r="CC54" i="6"/>
  <c r="CH54" i="6"/>
  <c r="DM54" i="6"/>
  <c r="DA53" i="6"/>
  <c r="BV53" i="6"/>
  <c r="CK53" i="6" s="1"/>
  <c r="CL53" i="6" s="1"/>
  <c r="AR54" i="6"/>
  <c r="BG54" i="6" s="1"/>
  <c r="BA54" i="6"/>
  <c r="AV54" i="6"/>
  <c r="AS54" i="6"/>
  <c r="AT54" i="6"/>
  <c r="BZ53" i="6"/>
  <c r="DE53" i="6"/>
  <c r="CR54" i="6"/>
  <c r="BM54" i="6"/>
  <c r="BK54" i="6"/>
  <c r="CP54" i="6"/>
  <c r="BB54" i="6"/>
  <c r="BP54" i="6"/>
  <c r="CU54" i="6"/>
  <c r="AZ55" i="6"/>
  <c r="AL55" i="6"/>
  <c r="CS54" i="6"/>
  <c r="BN54" i="6"/>
  <c r="BO54" i="6"/>
  <c r="CT54" i="6"/>
  <c r="DN53" i="6"/>
  <c r="CI53" i="6"/>
  <c r="DC53" i="6"/>
  <c r="DP53" i="6" s="1"/>
  <c r="DQ53" i="6" s="1"/>
  <c r="BX53" i="6"/>
  <c r="CX54" i="6"/>
  <c r="BS54" i="6"/>
  <c r="AQ55" i="6"/>
  <c r="AM55" i="6"/>
  <c r="BH54" i="6"/>
  <c r="AE55" i="6"/>
  <c r="CM54" i="6"/>
  <c r="AD55" i="6"/>
  <c r="AH55" i="6"/>
  <c r="AF55" i="6"/>
  <c r="BB55" i="6"/>
  <c r="CV54" i="6"/>
  <c r="AP55" i="6"/>
  <c r="BQ54" i="6"/>
  <c r="BD55" i="6"/>
  <c r="AN55" i="6"/>
  <c r="CY54" i="6"/>
  <c r="BT54" i="6"/>
  <c r="AU54" i="6"/>
  <c r="AW54" i="6"/>
  <c r="CF53" i="6"/>
  <c r="DK53" i="6"/>
  <c r="BC54" i="6"/>
  <c r="BF54" i="6"/>
  <c r="AJ55" i="6"/>
  <c r="BL54" i="6"/>
  <c r="AW55" i="6"/>
  <c r="AX55" i="6"/>
  <c r="AI55" i="6"/>
  <c r="CQ54" i="6"/>
  <c r="CE53" i="6"/>
  <c r="DJ53" i="6"/>
  <c r="DI54" i="6"/>
  <c r="CD54" i="6"/>
  <c r="CA53" i="6"/>
  <c r="DF53" i="6"/>
  <c r="BE54" i="6"/>
  <c r="CB54" i="6"/>
  <c r="DG54" i="6"/>
  <c r="BR54" i="6"/>
  <c r="CW54" i="6"/>
  <c r="CN54" i="6"/>
  <c r="BI54" i="6"/>
  <c r="CZ54" i="6"/>
  <c r="BU54" i="6"/>
  <c r="AK55" i="6"/>
  <c r="CO54" i="6"/>
  <c r="AG55" i="6"/>
  <c r="AO55" i="6"/>
  <c r="BJ54" i="6"/>
  <c r="DB53" i="6"/>
  <c r="BW53" i="6"/>
  <c r="BG53" i="6"/>
  <c r="CB53" i="6"/>
  <c r="DG53" i="6"/>
  <c r="CI10" i="6"/>
  <c r="AQ11" i="6"/>
  <c r="CZ11" i="6" s="1"/>
  <c r="BE11" i="6"/>
  <c r="DN11" i="6" s="1"/>
  <c r="BB11" i="6"/>
  <c r="DK11" i="6" s="1"/>
  <c r="CA54" i="5"/>
  <c r="DF54" i="5"/>
  <c r="DL54" i="5"/>
  <c r="CG54" i="5"/>
  <c r="CH54" i="5"/>
  <c r="DM54" i="5"/>
  <c r="BS54" i="5"/>
  <c r="AQ55" i="5"/>
  <c r="CX54" i="5"/>
  <c r="DO53" i="5"/>
  <c r="CJ53" i="5"/>
  <c r="CS54" i="5"/>
  <c r="BN54" i="5"/>
  <c r="AL55" i="5"/>
  <c r="CR54" i="5"/>
  <c r="BM54" i="5"/>
  <c r="BB54" i="5"/>
  <c r="AX54" i="5"/>
  <c r="CY54" i="5"/>
  <c r="BT54" i="5"/>
  <c r="DG53" i="5"/>
  <c r="CB53" i="5"/>
  <c r="DK53" i="5"/>
  <c r="CF53" i="5"/>
  <c r="CZ54" i="5"/>
  <c r="BU54" i="5"/>
  <c r="CG53" i="5"/>
  <c r="DL53" i="5"/>
  <c r="DJ53" i="5"/>
  <c r="CE53" i="5"/>
  <c r="CW54" i="5"/>
  <c r="BR54" i="5"/>
  <c r="BE54" i="5"/>
  <c r="BE55" i="5" s="1"/>
  <c r="CQ54" i="5"/>
  <c r="BL54" i="5"/>
  <c r="AI55" i="5"/>
  <c r="AJ55" i="5"/>
  <c r="CC53" i="5"/>
  <c r="DH53" i="5"/>
  <c r="AM55" i="5"/>
  <c r="CM54" i="5"/>
  <c r="BH54" i="5"/>
  <c r="AD55" i="5"/>
  <c r="AE55" i="5"/>
  <c r="AF55" i="5"/>
  <c r="AH55" i="5"/>
  <c r="DE53" i="5"/>
  <c r="BZ53" i="5"/>
  <c r="AN55" i="5"/>
  <c r="AP55" i="5"/>
  <c r="CV54" i="5"/>
  <c r="BQ54" i="5"/>
  <c r="AK55" i="5"/>
  <c r="AO55" i="5"/>
  <c r="CO54" i="5"/>
  <c r="AG55" i="5"/>
  <c r="BJ54" i="5"/>
  <c r="CT54" i="5"/>
  <c r="BO54" i="5"/>
  <c r="DF53" i="5"/>
  <c r="CA53" i="5"/>
  <c r="DM53" i="5"/>
  <c r="CH53" i="5"/>
  <c r="CN54" i="5"/>
  <c r="BI54" i="5"/>
  <c r="DC53" i="5"/>
  <c r="BX53" i="5"/>
  <c r="AY54" i="5"/>
  <c r="AZ55" i="5" s="1"/>
  <c r="DD53" i="5"/>
  <c r="BY53" i="5"/>
  <c r="CU54" i="5"/>
  <c r="BP54" i="5"/>
  <c r="BF54" i="5"/>
  <c r="DB53" i="5"/>
  <c r="BW53" i="5"/>
  <c r="BK54" i="5"/>
  <c r="CP54" i="5"/>
  <c r="AZ54" i="5"/>
  <c r="DA53" i="5"/>
  <c r="DP53" i="5" s="1"/>
  <c r="DQ53" i="5" s="1"/>
  <c r="BV53" i="5"/>
  <c r="CK53" i="5" s="1"/>
  <c r="CL53" i="5" s="1"/>
  <c r="AR54" i="5"/>
  <c r="AS54" i="5"/>
  <c r="AV54" i="5"/>
  <c r="BA54" i="5"/>
  <c r="BB55" i="5" s="1"/>
  <c r="AT54" i="5"/>
  <c r="AU54" i="5"/>
  <c r="BG53" i="5"/>
  <c r="BR10" i="5"/>
  <c r="BS10" i="5"/>
  <c r="CH10" i="5"/>
  <c r="AQ11" i="5"/>
  <c r="CZ11" i="5" s="1"/>
  <c r="DN54" i="2"/>
  <c r="CI54" i="2"/>
  <c r="CG54" i="2"/>
  <c r="DL54" i="2"/>
  <c r="CB54" i="2"/>
  <c r="DG54" i="2"/>
  <c r="BO54" i="2"/>
  <c r="CT54" i="2"/>
  <c r="DJ53" i="2"/>
  <c r="CE53" i="2"/>
  <c r="DB53" i="2"/>
  <c r="BW53" i="2"/>
  <c r="CK53" i="2" s="1"/>
  <c r="CL53" i="2" s="1"/>
  <c r="CC53" i="2"/>
  <c r="DH53" i="2"/>
  <c r="AW54" i="2"/>
  <c r="AW55" i="2" s="1"/>
  <c r="CX54" i="2"/>
  <c r="BS54" i="2"/>
  <c r="AQ55" i="2"/>
  <c r="AL55" i="2"/>
  <c r="BN54" i="2"/>
  <c r="CS54" i="2"/>
  <c r="DA53" i="2"/>
  <c r="DP53" i="2" s="1"/>
  <c r="DQ53" i="2" s="1"/>
  <c r="BV53" i="2"/>
  <c r="AV54" i="2"/>
  <c r="AR54" i="2"/>
  <c r="AS54" i="2"/>
  <c r="AT54" i="2"/>
  <c r="BC55" i="2" s="1"/>
  <c r="BA54" i="2"/>
  <c r="CR54" i="2"/>
  <c r="BM54" i="2"/>
  <c r="BK54" i="2"/>
  <c r="CP54" i="2"/>
  <c r="CN54" i="2"/>
  <c r="BI54" i="2"/>
  <c r="BD54" i="2"/>
  <c r="BE55" i="2" s="1"/>
  <c r="CI53" i="2"/>
  <c r="DN53" i="2"/>
  <c r="AZ54" i="2"/>
  <c r="AM55" i="2"/>
  <c r="AD55" i="2"/>
  <c r="CM54" i="2"/>
  <c r="AE55" i="2"/>
  <c r="AF55" i="2"/>
  <c r="AH55" i="2"/>
  <c r="BH54" i="2"/>
  <c r="BR54" i="2"/>
  <c r="CW54" i="2"/>
  <c r="DC53" i="2"/>
  <c r="BX53" i="2"/>
  <c r="DL53" i="2"/>
  <c r="CG53" i="2"/>
  <c r="AJ55" i="2"/>
  <c r="BL54" i="2"/>
  <c r="CQ54" i="2"/>
  <c r="AI55" i="2"/>
  <c r="BB54" i="2"/>
  <c r="CU54" i="2"/>
  <c r="BP54" i="2"/>
  <c r="CD53" i="2"/>
  <c r="DI53" i="2"/>
  <c r="DE53" i="2"/>
  <c r="BZ53" i="2"/>
  <c r="BG53" i="2"/>
  <c r="CY54" i="2"/>
  <c r="BT54" i="2"/>
  <c r="AK55" i="2"/>
  <c r="BJ54" i="2"/>
  <c r="CO54" i="2"/>
  <c r="AU55" i="2"/>
  <c r="AG55" i="2"/>
  <c r="AO55" i="2"/>
  <c r="AY54" i="2"/>
  <c r="AZ55" i="2" s="1"/>
  <c r="AN55" i="2"/>
  <c r="AP55" i="2"/>
  <c r="BQ54" i="2"/>
  <c r="CV54" i="2"/>
  <c r="CZ54" i="2"/>
  <c r="BU54" i="2"/>
  <c r="BF54" i="2"/>
  <c r="AU54" i="2"/>
  <c r="DN54" i="4"/>
  <c r="CI54" i="4"/>
  <c r="DO54" i="4"/>
  <c r="CJ54" i="4"/>
  <c r="BX53" i="4"/>
  <c r="DC53" i="4"/>
  <c r="CE53" i="4"/>
  <c r="DJ53" i="4"/>
  <c r="BK54" i="4"/>
  <c r="CP54" i="4"/>
  <c r="CH54" i="4"/>
  <c r="DM54" i="4"/>
  <c r="CT54" i="4"/>
  <c r="BO54" i="4"/>
  <c r="CU54" i="4"/>
  <c r="BP54" i="4"/>
  <c r="CY54" i="4"/>
  <c r="BT54" i="4"/>
  <c r="AL55" i="4"/>
  <c r="CS54" i="4"/>
  <c r="BN54" i="4"/>
  <c r="BR54" i="4"/>
  <c r="CW54" i="4"/>
  <c r="BB54" i="4"/>
  <c r="BD55" i="4" s="1"/>
  <c r="CA54" i="4"/>
  <c r="DF54" i="4"/>
  <c r="CI53" i="4"/>
  <c r="DN53" i="4"/>
  <c r="AO55" i="4"/>
  <c r="AG55" i="4"/>
  <c r="BJ54" i="4"/>
  <c r="CO54" i="4"/>
  <c r="AK55" i="4"/>
  <c r="CD54" i="4"/>
  <c r="DI54" i="4"/>
  <c r="DG53" i="4"/>
  <c r="CB53" i="4"/>
  <c r="AJ55" i="4"/>
  <c r="BL54" i="4"/>
  <c r="CQ54" i="4"/>
  <c r="AW55" i="4"/>
  <c r="AX55" i="4"/>
  <c r="AI55" i="4"/>
  <c r="CJ53" i="4"/>
  <c r="DO53" i="4"/>
  <c r="CX54" i="4"/>
  <c r="AQ55" i="4"/>
  <c r="BS54" i="4"/>
  <c r="CB54" i="4"/>
  <c r="DG54" i="4"/>
  <c r="BG53" i="4"/>
  <c r="AY54" i="4"/>
  <c r="BI54" i="4"/>
  <c r="CN54" i="4"/>
  <c r="AU54" i="4"/>
  <c r="AM55" i="4"/>
  <c r="BH54" i="4"/>
  <c r="AD55" i="4"/>
  <c r="AE55" i="4"/>
  <c r="AF55" i="4"/>
  <c r="AH55" i="4"/>
  <c r="CM54" i="4"/>
  <c r="CV54" i="4"/>
  <c r="AP55" i="4"/>
  <c r="AN55" i="4"/>
  <c r="BQ54" i="4"/>
  <c r="DE53" i="4"/>
  <c r="BZ53" i="4"/>
  <c r="AS54" i="4"/>
  <c r="AT54" i="4"/>
  <c r="BV53" i="4"/>
  <c r="AV54" i="4"/>
  <c r="DA53" i="4"/>
  <c r="AR54" i="4"/>
  <c r="BG54" i="4" s="1"/>
  <c r="BA54" i="4"/>
  <c r="CZ54" i="4"/>
  <c r="BU54" i="4"/>
  <c r="DL53" i="4"/>
  <c r="CG53" i="4"/>
  <c r="DM53" i="4"/>
  <c r="CH53" i="4"/>
  <c r="CR54" i="4"/>
  <c r="BM54" i="4"/>
  <c r="BC54" i="4"/>
  <c r="BE55" i="4" s="1"/>
  <c r="BW53" i="4"/>
  <c r="CK53" i="4" s="1"/>
  <c r="CL53" i="4" s="1"/>
  <c r="DB53" i="4"/>
  <c r="DP53" i="4" s="1"/>
  <c r="DQ53" i="4" s="1"/>
  <c r="BW67" i="3"/>
  <c r="DB67" i="3"/>
  <c r="DE67" i="3"/>
  <c r="BZ67" i="3"/>
  <c r="BG67" i="3"/>
  <c r="DC67" i="3"/>
  <c r="BX67" i="3"/>
  <c r="DL67" i="3"/>
  <c r="CG67" i="3"/>
  <c r="DA67" i="3"/>
  <c r="DP67" i="3" s="1"/>
  <c r="DQ67" i="3" s="1"/>
  <c r="BV67" i="3"/>
  <c r="DH67" i="3"/>
  <c r="CC67" i="3"/>
  <c r="CK67" i="3" s="1"/>
  <c r="CL67" i="3" s="1"/>
  <c r="DJ67" i="3"/>
  <c r="CE67" i="3"/>
  <c r="AE11" i="3"/>
  <c r="CN11" i="3" s="1"/>
  <c r="BI10" i="3"/>
  <c r="BV10" i="3"/>
  <c r="AR11" i="3"/>
  <c r="DA11" i="3" s="1"/>
  <c r="CI10" i="4"/>
  <c r="BC11" i="8"/>
  <c r="DL11" i="8" s="1"/>
  <c r="AY11" i="8"/>
  <c r="DH11" i="8" s="1"/>
  <c r="AG11" i="8"/>
  <c r="CP11" i="8" s="1"/>
  <c r="AU11" i="8"/>
  <c r="DD11" i="8" s="1"/>
  <c r="AO11" i="8"/>
  <c r="CX11" i="8" s="1"/>
  <c r="AK11" i="8"/>
  <c r="CT11" i="8" s="1"/>
  <c r="BJ10" i="8"/>
  <c r="BX10" i="8"/>
  <c r="BW10" i="8"/>
  <c r="AL11" i="8"/>
  <c r="CU11" i="8" s="1"/>
  <c r="AZ11" i="8"/>
  <c r="DI11" i="8" s="1"/>
  <c r="BN10" i="8"/>
  <c r="AU11" i="4"/>
  <c r="DD11" i="4" s="1"/>
  <c r="CI10" i="8"/>
  <c r="CA10" i="8"/>
  <c r="BB11" i="4"/>
  <c r="DK11" i="4" s="1"/>
  <c r="BU10" i="6"/>
  <c r="BU10" i="8"/>
  <c r="BO10" i="8"/>
  <c r="BM10" i="8"/>
  <c r="CE10" i="4"/>
  <c r="BD11" i="4"/>
  <c r="DM11" i="4" s="1"/>
  <c r="AL11" i="5"/>
  <c r="CU11" i="5" s="1"/>
  <c r="BK10" i="8"/>
  <c r="DQ8" i="8"/>
  <c r="CA10" i="4"/>
  <c r="BY10" i="4"/>
  <c r="BJ10" i="5"/>
  <c r="BT10" i="6"/>
  <c r="BT10" i="8"/>
  <c r="BE11" i="8"/>
  <c r="DN11" i="8" s="1"/>
  <c r="AQ11" i="8"/>
  <c r="CZ11" i="8" s="1"/>
  <c r="BS10" i="8"/>
  <c r="CK9" i="8"/>
  <c r="CL9" i="8" s="1"/>
  <c r="CK9" i="4"/>
  <c r="BZ10" i="8"/>
  <c r="AJ11" i="5"/>
  <c r="CS11" i="5" s="1"/>
  <c r="CE10" i="8"/>
  <c r="BY10" i="8"/>
  <c r="AS11" i="8"/>
  <c r="DB11" i="8" s="1"/>
  <c r="BA11" i="8"/>
  <c r="DJ11" i="8" s="1"/>
  <c r="AV11" i="8"/>
  <c r="DE11" i="8" s="1"/>
  <c r="AT11" i="8"/>
  <c r="DC11" i="8" s="1"/>
  <c r="AR11" i="8"/>
  <c r="DA11" i="8" s="1"/>
  <c r="BV10" i="8"/>
  <c r="CB10" i="8"/>
  <c r="BE11" i="4"/>
  <c r="DN11" i="4" s="1"/>
  <c r="BN10" i="5"/>
  <c r="BR10" i="8"/>
  <c r="BX10" i="4"/>
  <c r="AK11" i="5"/>
  <c r="CT11" i="5" s="1"/>
  <c r="AP11" i="6"/>
  <c r="CY11" i="6" s="1"/>
  <c r="CF10" i="8"/>
  <c r="CG10" i="8"/>
  <c r="BB11" i="8"/>
  <c r="DK11" i="8" s="1"/>
  <c r="AP11" i="8"/>
  <c r="CY11" i="8" s="1"/>
  <c r="BD11" i="8"/>
  <c r="DM11" i="8" s="1"/>
  <c r="AN11" i="8"/>
  <c r="CW11" i="8" s="1"/>
  <c r="BQ10" i="8"/>
  <c r="AX11" i="8"/>
  <c r="DG11" i="8" s="1"/>
  <c r="AJ11" i="8"/>
  <c r="CS11" i="8" s="1"/>
  <c r="AI11" i="8"/>
  <c r="CR11" i="8" s="1"/>
  <c r="AW11" i="8"/>
  <c r="DF11" i="8" s="1"/>
  <c r="BL10" i="8"/>
  <c r="BP10" i="8"/>
  <c r="CD10" i="8"/>
  <c r="AW11" i="4"/>
  <c r="DF11" i="4" s="1"/>
  <c r="AO11" i="5"/>
  <c r="CX11" i="5" s="1"/>
  <c r="CH10" i="8"/>
  <c r="CC10" i="8"/>
  <c r="CJ10" i="8"/>
  <c r="DO10" i="8"/>
  <c r="AG11" i="5"/>
  <c r="CP11" i="5" s="1"/>
  <c r="DP9" i="8"/>
  <c r="DQ9" i="8" s="1"/>
  <c r="AM11" i="8"/>
  <c r="CV11" i="8" s="1"/>
  <c r="BG10" i="8"/>
  <c r="AH11" i="8"/>
  <c r="CQ11" i="8" s="1"/>
  <c r="AE11" i="8"/>
  <c r="CN11" i="8" s="1"/>
  <c r="AD11" i="8"/>
  <c r="CM11" i="8" s="1"/>
  <c r="BF11" i="8"/>
  <c r="AF11" i="8"/>
  <c r="CO11" i="8" s="1"/>
  <c r="BH10" i="8"/>
  <c r="BI10" i="8"/>
  <c r="AX11" i="6"/>
  <c r="DG11" i="6" s="1"/>
  <c r="DF10" i="6"/>
  <c r="CF10" i="6"/>
  <c r="CG10" i="6"/>
  <c r="CK9" i="6"/>
  <c r="CL9" i="6" s="1"/>
  <c r="BD11" i="6"/>
  <c r="DM11" i="6" s="1"/>
  <c r="BF11" i="6"/>
  <c r="CJ11" i="6" s="1"/>
  <c r="DC10" i="6"/>
  <c r="AN12" i="6"/>
  <c r="CW12" i="6" s="1"/>
  <c r="BQ11" i="6"/>
  <c r="AL12" i="6"/>
  <c r="CU12" i="6" s="1"/>
  <c r="BN11" i="6"/>
  <c r="CJ10" i="6"/>
  <c r="DO10" i="6"/>
  <c r="BK11" i="6"/>
  <c r="AW11" i="6"/>
  <c r="DF11" i="6" s="1"/>
  <c r="BX10" i="6"/>
  <c r="AY11" i="6"/>
  <c r="DH11" i="6" s="1"/>
  <c r="AM12" i="6"/>
  <c r="CV12" i="6" s="1"/>
  <c r="AH12" i="6"/>
  <c r="CQ12" i="6" s="1"/>
  <c r="AF12" i="6"/>
  <c r="CO12" i="6" s="1"/>
  <c r="AD12" i="6"/>
  <c r="CM12" i="6" s="1"/>
  <c r="AE12" i="6"/>
  <c r="CN12" i="6" s="1"/>
  <c r="BH11" i="6"/>
  <c r="BO11" i="6"/>
  <c r="BI11" i="6"/>
  <c r="BM11" i="6"/>
  <c r="CA10" i="6"/>
  <c r="CJ10" i="4"/>
  <c r="BC11" i="6"/>
  <c r="CB10" i="6"/>
  <c r="BS11" i="6"/>
  <c r="AU11" i="6"/>
  <c r="DD11" i="6" s="1"/>
  <c r="AZ11" i="6"/>
  <c r="DI11" i="6" s="1"/>
  <c r="AJ12" i="6"/>
  <c r="CS12" i="6" s="1"/>
  <c r="AI12" i="6"/>
  <c r="CR12" i="6" s="1"/>
  <c r="BL11" i="6"/>
  <c r="AZ11" i="4"/>
  <c r="DI11" i="4" s="1"/>
  <c r="CF11" i="6"/>
  <c r="BP11" i="6"/>
  <c r="AS11" i="3"/>
  <c r="DB11" i="3" s="1"/>
  <c r="BR11" i="6"/>
  <c r="AT11" i="6"/>
  <c r="AS11" i="6"/>
  <c r="AR11" i="6"/>
  <c r="DA11" i="6" s="1"/>
  <c r="BA11" i="6"/>
  <c r="AV11" i="6"/>
  <c r="BV10" i="6"/>
  <c r="BW10" i="6"/>
  <c r="BG10" i="6"/>
  <c r="CB10" i="4"/>
  <c r="AU11" i="5"/>
  <c r="DD11" i="5" s="1"/>
  <c r="BU11" i="6"/>
  <c r="BZ10" i="6"/>
  <c r="CG10" i="4"/>
  <c r="CI11" i="6"/>
  <c r="CE10" i="6"/>
  <c r="AO12" i="6"/>
  <c r="CX12" i="6" s="1"/>
  <c r="AK12" i="6"/>
  <c r="CT12" i="6" s="1"/>
  <c r="AG12" i="6"/>
  <c r="CP12" i="6" s="1"/>
  <c r="BJ11" i="6"/>
  <c r="CA10" i="5"/>
  <c r="AZ11" i="5"/>
  <c r="DI11" i="5" s="1"/>
  <c r="CD10" i="5"/>
  <c r="CK9" i="5"/>
  <c r="CL9" i="5" s="1"/>
  <c r="AW11" i="5"/>
  <c r="DF11" i="5" s="1"/>
  <c r="BB11" i="5"/>
  <c r="DK11" i="5" s="1"/>
  <c r="AY11" i="5"/>
  <c r="DH11" i="5" s="1"/>
  <c r="BY10" i="5"/>
  <c r="BC11" i="5"/>
  <c r="DL11" i="5" s="1"/>
  <c r="CG10" i="5"/>
  <c r="BI11" i="5"/>
  <c r="BE11" i="5"/>
  <c r="DN11" i="5" s="1"/>
  <c r="BP11" i="5"/>
  <c r="BG10" i="4"/>
  <c r="BT11" i="5"/>
  <c r="AI12" i="5"/>
  <c r="CR12" i="5" s="1"/>
  <c r="BL11" i="5"/>
  <c r="BU11" i="5"/>
  <c r="BD11" i="5"/>
  <c r="DM11" i="5" s="1"/>
  <c r="BZ10" i="5"/>
  <c r="AX11" i="5"/>
  <c r="DG11" i="5" s="1"/>
  <c r="AN12" i="5"/>
  <c r="CW12" i="5" s="1"/>
  <c r="BQ11" i="5"/>
  <c r="AE12" i="5"/>
  <c r="CN12" i="5" s="1"/>
  <c r="AH12" i="5"/>
  <c r="CQ12" i="5" s="1"/>
  <c r="AM12" i="5"/>
  <c r="CV12" i="5" s="1"/>
  <c r="AF12" i="5"/>
  <c r="CO12" i="5" s="1"/>
  <c r="AD12" i="5"/>
  <c r="CM12" i="5" s="1"/>
  <c r="BH11" i="5"/>
  <c r="CB10" i="5"/>
  <c r="BF11" i="4"/>
  <c r="DO11" i="4" s="1"/>
  <c r="BC11" i="4"/>
  <c r="DL11" i="4" s="1"/>
  <c r="BR11" i="5"/>
  <c r="BW10" i="5"/>
  <c r="BM11" i="5"/>
  <c r="CJ10" i="5"/>
  <c r="DO10" i="5"/>
  <c r="DP10" i="5" s="1"/>
  <c r="DQ10" i="5" s="1"/>
  <c r="BN11" i="5"/>
  <c r="AX11" i="4"/>
  <c r="DG11" i="4" s="1"/>
  <c r="CE10" i="5"/>
  <c r="BF11" i="5"/>
  <c r="CF10" i="5"/>
  <c r="CC10" i="5"/>
  <c r="AY11" i="4"/>
  <c r="DH11" i="4" s="1"/>
  <c r="CD10" i="4"/>
  <c r="BX10" i="5"/>
  <c r="BJ11" i="5"/>
  <c r="BO11" i="5"/>
  <c r="BW10" i="3"/>
  <c r="AT11" i="5"/>
  <c r="DC11" i="5" s="1"/>
  <c r="AS11" i="5"/>
  <c r="DB11" i="5" s="1"/>
  <c r="AR11" i="5"/>
  <c r="DA11" i="5" s="1"/>
  <c r="BA11" i="5"/>
  <c r="DJ11" i="5" s="1"/>
  <c r="AV11" i="5"/>
  <c r="BV10" i="5"/>
  <c r="BG10" i="5"/>
  <c r="CF10" i="3"/>
  <c r="BP10" i="3"/>
  <c r="AM11" i="3"/>
  <c r="CV11" i="3" s="1"/>
  <c r="CR10" i="3"/>
  <c r="BT10" i="3"/>
  <c r="CY10" i="3"/>
  <c r="BL10" i="3"/>
  <c r="CQ10" i="3"/>
  <c r="BR10" i="3"/>
  <c r="CW10" i="3"/>
  <c r="BJ10" i="3"/>
  <c r="CO10" i="3"/>
  <c r="BK10" i="3"/>
  <c r="CP10" i="3"/>
  <c r="AN11" i="3"/>
  <c r="CW11" i="3" s="1"/>
  <c r="CV10" i="3"/>
  <c r="BS10" i="3"/>
  <c r="CB10" i="3"/>
  <c r="DG10" i="3"/>
  <c r="AT12" i="4"/>
  <c r="DC12" i="4" s="1"/>
  <c r="AV12" i="4"/>
  <c r="DE12" i="4" s="1"/>
  <c r="AR12" i="4"/>
  <c r="DA12" i="4" s="1"/>
  <c r="AS12" i="4"/>
  <c r="DB12" i="4" s="1"/>
  <c r="BV11" i="4"/>
  <c r="CE11" i="4"/>
  <c r="BR11" i="4"/>
  <c r="BT11" i="4"/>
  <c r="BU11" i="4"/>
  <c r="BY11" i="4"/>
  <c r="BW11" i="4"/>
  <c r="BZ11" i="4"/>
  <c r="CI11" i="4"/>
  <c r="CL9" i="4"/>
  <c r="BK11" i="4"/>
  <c r="BP11" i="4"/>
  <c r="BO11" i="4"/>
  <c r="DP10" i="4"/>
  <c r="DQ10" i="4" s="1"/>
  <c r="AP12" i="4"/>
  <c r="CY12" i="4" s="1"/>
  <c r="AN12" i="4"/>
  <c r="CW12" i="4" s="1"/>
  <c r="BQ11" i="4"/>
  <c r="BB11" i="3"/>
  <c r="DK11" i="3" s="1"/>
  <c r="BQ10" i="3"/>
  <c r="AD12" i="4"/>
  <c r="CM12" i="4" s="1"/>
  <c r="AH12" i="4"/>
  <c r="CQ12" i="4" s="1"/>
  <c r="AF12" i="4"/>
  <c r="CO12" i="4" s="1"/>
  <c r="AE12" i="4"/>
  <c r="CN12" i="4" s="1"/>
  <c r="AM12" i="4"/>
  <c r="CV12" i="4" s="1"/>
  <c r="BH11" i="4"/>
  <c r="CA11" i="4"/>
  <c r="BI11" i="4"/>
  <c r="AL12" i="4"/>
  <c r="CU12" i="4" s="1"/>
  <c r="BN11" i="4"/>
  <c r="AJ12" i="4"/>
  <c r="CS12" i="4" s="1"/>
  <c r="AI12" i="4"/>
  <c r="CR12" i="4" s="1"/>
  <c r="BL11" i="4"/>
  <c r="BX11" i="4"/>
  <c r="AK12" i="4"/>
  <c r="CT12" i="4" s="1"/>
  <c r="AG12" i="4"/>
  <c r="CP12" i="4" s="1"/>
  <c r="AU12" i="4"/>
  <c r="DD12" i="4" s="1"/>
  <c r="AO12" i="4"/>
  <c r="CX12" i="4" s="1"/>
  <c r="BJ11" i="4"/>
  <c r="BM11" i="4"/>
  <c r="AQ12" i="4"/>
  <c r="CZ12" i="4" s="1"/>
  <c r="BS11" i="4"/>
  <c r="BM10" i="3"/>
  <c r="AH11" i="3"/>
  <c r="CQ11" i="3" s="1"/>
  <c r="BZ10" i="3"/>
  <c r="BY10" i="3"/>
  <c r="CE10" i="3"/>
  <c r="AI11" i="3"/>
  <c r="AW11" i="3"/>
  <c r="DF11" i="3" s="1"/>
  <c r="AV11" i="3"/>
  <c r="DE11" i="3" s="1"/>
  <c r="AP11" i="3"/>
  <c r="AQ11" i="3"/>
  <c r="CZ11" i="3" s="1"/>
  <c r="BA11" i="3"/>
  <c r="DJ11" i="3" s="1"/>
  <c r="DP9" i="3"/>
  <c r="DQ9" i="3" s="1"/>
  <c r="BX10" i="3"/>
  <c r="CA10" i="3"/>
  <c r="CH10" i="3"/>
  <c r="CK9" i="3"/>
  <c r="CL9" i="3" s="1"/>
  <c r="AG11" i="3"/>
  <c r="CP11" i="3" s="1"/>
  <c r="AU11" i="3"/>
  <c r="DD11" i="3" s="1"/>
  <c r="CJ10" i="3"/>
  <c r="BU10" i="3"/>
  <c r="BG10" i="3"/>
  <c r="AF11" i="3"/>
  <c r="AL11" i="3"/>
  <c r="AJ11" i="3"/>
  <c r="CS11" i="3" s="1"/>
  <c r="BN10" i="3"/>
  <c r="AO11" i="3"/>
  <c r="CX11" i="3" s="1"/>
  <c r="CD10" i="3"/>
  <c r="BC11" i="3"/>
  <c r="DL11" i="3" s="1"/>
  <c r="AK11" i="3"/>
  <c r="CT11" i="3" s="1"/>
  <c r="AX11" i="3"/>
  <c r="DG11" i="3" s="1"/>
  <c r="BE11" i="3"/>
  <c r="DN11" i="3" s="1"/>
  <c r="BO10" i="3"/>
  <c r="CC10" i="3"/>
  <c r="AY11" i="3"/>
  <c r="DH11" i="3" s="1"/>
  <c r="AZ11" i="3"/>
  <c r="AT11" i="3"/>
  <c r="DC11" i="3" s="1"/>
  <c r="BF11" i="3"/>
  <c r="DO11" i="3" s="1"/>
  <c r="CG10" i="3"/>
  <c r="BD11" i="3"/>
  <c r="DM11" i="3" s="1"/>
  <c r="CI10" i="3"/>
  <c r="AE12" i="3"/>
  <c r="CN12" i="3" s="1"/>
  <c r="AD12" i="3"/>
  <c r="CM12" i="3" s="1"/>
  <c r="BH11" i="3"/>
  <c r="AR12" i="3"/>
  <c r="DA12" i="3" s="1"/>
  <c r="BI11" i="3"/>
  <c r="CM10" i="2"/>
  <c r="BH10" i="2"/>
  <c r="CN9" i="2"/>
  <c r="DB9" i="2"/>
  <c r="CP9" i="2"/>
  <c r="DD9" i="2"/>
  <c r="DA10" i="2"/>
  <c r="CO9" i="2"/>
  <c r="DC9" i="2"/>
  <c r="DM9" i="2"/>
  <c r="DG9" i="2"/>
  <c r="CY9" i="2"/>
  <c r="CT9" i="2"/>
  <c r="DE9" i="2"/>
  <c r="DP8" i="2"/>
  <c r="DQ8" i="2" s="1"/>
  <c r="DN9" i="2"/>
  <c r="CX9" i="2"/>
  <c r="CR9" i="2"/>
  <c r="DL9" i="2"/>
  <c r="CW9" i="2"/>
  <c r="DI9" i="2"/>
  <c r="CZ9" i="2"/>
  <c r="DH9" i="2"/>
  <c r="CV9" i="2"/>
  <c r="CQ9" i="2"/>
  <c r="CU9" i="2"/>
  <c r="CS9" i="2"/>
  <c r="DJ9" i="2"/>
  <c r="CJ9" i="2"/>
  <c r="DO9" i="2"/>
  <c r="DK9" i="2"/>
  <c r="CK8" i="2"/>
  <c r="CL8" i="2" s="1"/>
  <c r="DF9" i="2"/>
  <c r="BG9" i="2"/>
  <c r="BD10" i="2"/>
  <c r="CH10" i="2" s="1"/>
  <c r="AT10" i="2"/>
  <c r="BX10" i="2" s="1"/>
  <c r="AN10" i="2"/>
  <c r="BR10" i="2" s="1"/>
  <c r="AZ10" i="2"/>
  <c r="CD10" i="2" s="1"/>
  <c r="BF10" i="2"/>
  <c r="AV10" i="2"/>
  <c r="BZ10" i="2" s="1"/>
  <c r="AR11" i="2"/>
  <c r="BV11" i="2" s="1"/>
  <c r="AE10" i="2"/>
  <c r="BI10" i="2" s="1"/>
  <c r="AS10" i="2"/>
  <c r="BW10" i="2" s="1"/>
  <c r="BE10" i="2"/>
  <c r="CI10" i="2" s="1"/>
  <c r="AQ10" i="2"/>
  <c r="BU10" i="2" s="1"/>
  <c r="BA10" i="2"/>
  <c r="CE10" i="2" s="1"/>
  <c r="AP10" i="2"/>
  <c r="BT10" i="2" s="1"/>
  <c r="AW10" i="2"/>
  <c r="CA10" i="2" s="1"/>
  <c r="AX10" i="2"/>
  <c r="CB10" i="2" s="1"/>
  <c r="AU10" i="2"/>
  <c r="BY10" i="2" s="1"/>
  <c r="AY10" i="2"/>
  <c r="CC10" i="2" s="1"/>
  <c r="BC10" i="2"/>
  <c r="CG10" i="2" s="1"/>
  <c r="BB10" i="2"/>
  <c r="CF10" i="2" s="1"/>
  <c r="AI10" i="2"/>
  <c r="BM10" i="2" s="1"/>
  <c r="AD11" i="2"/>
  <c r="AH10" i="2"/>
  <c r="BL10" i="2" s="1"/>
  <c r="AO10" i="2"/>
  <c r="BS10" i="2" s="1"/>
  <c r="AG10" i="2"/>
  <c r="BK10" i="2" s="1"/>
  <c r="AK10" i="2"/>
  <c r="BO10" i="2" s="1"/>
  <c r="AM10" i="2"/>
  <c r="BQ10" i="2" s="1"/>
  <c r="AJ10" i="2"/>
  <c r="BN10" i="2" s="1"/>
  <c r="AL10" i="2"/>
  <c r="BP10" i="2" s="1"/>
  <c r="AF10" i="2"/>
  <c r="BJ10" i="2" s="1"/>
  <c r="CA55" i="8" l="1"/>
  <c r="DF55" i="8"/>
  <c r="DL55" i="8"/>
  <c r="CG55" i="8"/>
  <c r="DM55" i="8"/>
  <c r="CH55" i="8"/>
  <c r="CF55" i="8"/>
  <c r="DK55" i="8"/>
  <c r="BG54" i="8"/>
  <c r="BF55" i="8"/>
  <c r="CY55" i="8"/>
  <c r="BT55" i="8"/>
  <c r="BS55" i="8"/>
  <c r="CX55" i="8"/>
  <c r="AQ56" i="8"/>
  <c r="BE56" i="8"/>
  <c r="AO56" i="8"/>
  <c r="CO55" i="8"/>
  <c r="AG56" i="8"/>
  <c r="AK56" i="8"/>
  <c r="BJ55" i="8"/>
  <c r="CN55" i="8"/>
  <c r="BI55" i="8"/>
  <c r="AI56" i="8"/>
  <c r="AW56" i="8"/>
  <c r="BL55" i="8"/>
  <c r="AJ56" i="8"/>
  <c r="CQ55" i="8"/>
  <c r="BP55" i="8"/>
  <c r="CU55" i="8"/>
  <c r="BX54" i="8"/>
  <c r="DC54" i="8"/>
  <c r="AU55" i="8"/>
  <c r="DO54" i="8"/>
  <c r="CJ54" i="8"/>
  <c r="CI55" i="8"/>
  <c r="DN55" i="8"/>
  <c r="CF54" i="8"/>
  <c r="DK54" i="8"/>
  <c r="CD55" i="8"/>
  <c r="DI55" i="8"/>
  <c r="DP54" i="8"/>
  <c r="DQ54" i="8" s="1"/>
  <c r="BM55" i="8"/>
  <c r="CR55" i="8"/>
  <c r="DB54" i="8"/>
  <c r="BW54" i="8"/>
  <c r="BN55" i="8"/>
  <c r="AZ56" i="8"/>
  <c r="AL56" i="8"/>
  <c r="CS55" i="8"/>
  <c r="CW55" i="8"/>
  <c r="BR55" i="8"/>
  <c r="CV55" i="8"/>
  <c r="BQ55" i="8"/>
  <c r="AP56" i="8"/>
  <c r="BB56" i="8"/>
  <c r="AN56" i="8"/>
  <c r="BD56" i="8"/>
  <c r="AH56" i="8"/>
  <c r="AE56" i="8"/>
  <c r="CM55" i="8"/>
  <c r="AD56" i="8"/>
  <c r="AF56" i="8"/>
  <c r="AM56" i="8"/>
  <c r="BH55" i="8"/>
  <c r="CP55" i="8"/>
  <c r="BK55" i="8"/>
  <c r="BA55" i="8"/>
  <c r="AV55" i="8"/>
  <c r="AX56" i="8" s="1"/>
  <c r="DA54" i="8"/>
  <c r="BV54" i="8"/>
  <c r="CK54" i="8" s="1"/>
  <c r="CL54" i="8" s="1"/>
  <c r="AT55" i="8"/>
  <c r="AR55" i="8"/>
  <c r="AS55" i="8"/>
  <c r="DG55" i="8"/>
  <c r="CB55" i="8"/>
  <c r="CZ55" i="8"/>
  <c r="BU55" i="8"/>
  <c r="CC55" i="8"/>
  <c r="DH55" i="8"/>
  <c r="DE54" i="8"/>
  <c r="BZ54" i="8"/>
  <c r="CT55" i="8"/>
  <c r="BO55" i="8"/>
  <c r="DJ54" i="8"/>
  <c r="CE54" i="8"/>
  <c r="DM55" i="6"/>
  <c r="CH55" i="6"/>
  <c r="DG55" i="6"/>
  <c r="CB55" i="6"/>
  <c r="CF55" i="6"/>
  <c r="DK55" i="6"/>
  <c r="AK56" i="6"/>
  <c r="CO55" i="6"/>
  <c r="AG56" i="6"/>
  <c r="BJ55" i="6"/>
  <c r="AU56" i="6"/>
  <c r="AO56" i="6"/>
  <c r="BX54" i="6"/>
  <c r="DC54" i="6"/>
  <c r="AL56" i="6"/>
  <c r="CS55" i="6"/>
  <c r="BN55" i="6"/>
  <c r="AI56" i="6"/>
  <c r="AJ56" i="6"/>
  <c r="CQ55" i="6"/>
  <c r="AW56" i="6"/>
  <c r="BL55" i="6"/>
  <c r="DB54" i="6"/>
  <c r="BW54" i="6"/>
  <c r="DO54" i="6"/>
  <c r="CJ54" i="6"/>
  <c r="DE54" i="6"/>
  <c r="BZ54" i="6"/>
  <c r="CA55" i="6"/>
  <c r="DF55" i="6"/>
  <c r="DJ54" i="6"/>
  <c r="CE54" i="6"/>
  <c r="BP55" i="6"/>
  <c r="CU55" i="6"/>
  <c r="CA54" i="6"/>
  <c r="DF54" i="6"/>
  <c r="CN55" i="6"/>
  <c r="BI55" i="6"/>
  <c r="CD55" i="6"/>
  <c r="DI55" i="6"/>
  <c r="CY55" i="6"/>
  <c r="BT55" i="6"/>
  <c r="BF55" i="6"/>
  <c r="BK55" i="6"/>
  <c r="CP55" i="6"/>
  <c r="DD54" i="6"/>
  <c r="BY54" i="6"/>
  <c r="AU55" i="6"/>
  <c r="CV55" i="6"/>
  <c r="BQ55" i="6"/>
  <c r="AP56" i="6"/>
  <c r="AN56" i="6"/>
  <c r="DL54" i="6"/>
  <c r="CG54" i="6"/>
  <c r="BA55" i="6"/>
  <c r="BB56" i="6" s="1"/>
  <c r="DA54" i="6"/>
  <c r="DP54" i="6" s="1"/>
  <c r="DQ54" i="6" s="1"/>
  <c r="AR55" i="6"/>
  <c r="BF56" i="6" s="1"/>
  <c r="AS55" i="6"/>
  <c r="AT55" i="6"/>
  <c r="BV54" i="6"/>
  <c r="CK54" i="6" s="1"/>
  <c r="CL54" i="6" s="1"/>
  <c r="AV55" i="6"/>
  <c r="AX56" i="6" s="1"/>
  <c r="BC55" i="6"/>
  <c r="BE55" i="6"/>
  <c r="CF54" i="6"/>
  <c r="DK54" i="6"/>
  <c r="CR55" i="6"/>
  <c r="BM55" i="6"/>
  <c r="DN54" i="6"/>
  <c r="CI54" i="6"/>
  <c r="CX55" i="6"/>
  <c r="BS55" i="6"/>
  <c r="BE56" i="6"/>
  <c r="AQ56" i="6"/>
  <c r="AH56" i="6"/>
  <c r="AD56" i="6"/>
  <c r="CM55" i="6"/>
  <c r="BH55" i="6"/>
  <c r="AE56" i="6"/>
  <c r="AF56" i="6"/>
  <c r="AM56" i="6"/>
  <c r="AY55" i="6"/>
  <c r="BO55" i="6"/>
  <c r="CT55" i="6"/>
  <c r="CW55" i="6"/>
  <c r="BR55" i="6"/>
  <c r="BU55" i="6"/>
  <c r="CZ55" i="6"/>
  <c r="AW12" i="6"/>
  <c r="DF12" i="6" s="1"/>
  <c r="AZ12" i="6"/>
  <c r="DI12" i="6" s="1"/>
  <c r="AP12" i="6"/>
  <c r="CY12" i="6" s="1"/>
  <c r="CB11" i="6"/>
  <c r="DP10" i="6"/>
  <c r="DQ10" i="6" s="1"/>
  <c r="BT11" i="6"/>
  <c r="DI55" i="5"/>
  <c r="CD55" i="5"/>
  <c r="DK55" i="5"/>
  <c r="CF55" i="5"/>
  <c r="CI55" i="5"/>
  <c r="DN55" i="5"/>
  <c r="CU55" i="5"/>
  <c r="BP55" i="5"/>
  <c r="DB54" i="5"/>
  <c r="BW54" i="5"/>
  <c r="BC55" i="5"/>
  <c r="BA55" i="5"/>
  <c r="DA54" i="5"/>
  <c r="DP54" i="5" s="1"/>
  <c r="DQ54" i="5" s="1"/>
  <c r="BV54" i="5"/>
  <c r="CK54" i="5" s="1"/>
  <c r="CL54" i="5" s="1"/>
  <c r="AS55" i="5"/>
  <c r="AT55" i="5"/>
  <c r="AR55" i="5"/>
  <c r="AV55" i="5"/>
  <c r="BO55" i="5"/>
  <c r="CT55" i="5"/>
  <c r="BG54" i="5"/>
  <c r="BQ55" i="5"/>
  <c r="AN56" i="5"/>
  <c r="CV55" i="5"/>
  <c r="AP56" i="5"/>
  <c r="DE54" i="5"/>
  <c r="BZ54" i="5"/>
  <c r="DJ54" i="5"/>
  <c r="CE54" i="5"/>
  <c r="DI54" i="5"/>
  <c r="CD54" i="5"/>
  <c r="CY55" i="5"/>
  <c r="BT55" i="5"/>
  <c r="AX55" i="5"/>
  <c r="CZ55" i="5"/>
  <c r="BU55" i="5"/>
  <c r="BD55" i="5"/>
  <c r="AW55" i="5"/>
  <c r="CW55" i="5"/>
  <c r="BR55" i="5"/>
  <c r="AL56" i="5"/>
  <c r="BN55" i="5"/>
  <c r="AZ56" i="5"/>
  <c r="CS55" i="5"/>
  <c r="DH54" i="5"/>
  <c r="CC54" i="5"/>
  <c r="BM55" i="5"/>
  <c r="CR55" i="5"/>
  <c r="BS55" i="5"/>
  <c r="AQ56" i="5"/>
  <c r="CX55" i="5"/>
  <c r="DO54" i="5"/>
  <c r="CJ54" i="5"/>
  <c r="AY55" i="5"/>
  <c r="AI56" i="5"/>
  <c r="CQ55" i="5"/>
  <c r="BL55" i="5"/>
  <c r="AJ56" i="5"/>
  <c r="AW56" i="5"/>
  <c r="DG54" i="5"/>
  <c r="CB54" i="5"/>
  <c r="AK56" i="5"/>
  <c r="AO56" i="5"/>
  <c r="CO55" i="5"/>
  <c r="BJ55" i="5"/>
  <c r="AG56" i="5"/>
  <c r="AU56" i="5"/>
  <c r="CI54" i="5"/>
  <c r="DN54" i="5"/>
  <c r="DK54" i="5"/>
  <c r="CF54" i="5"/>
  <c r="DD54" i="5"/>
  <c r="BY54" i="5"/>
  <c r="CP55" i="5"/>
  <c r="BK55" i="5"/>
  <c r="BI55" i="5"/>
  <c r="CN55" i="5"/>
  <c r="BF55" i="5"/>
  <c r="BG55" i="5" s="1"/>
  <c r="DC54" i="5"/>
  <c r="BX54" i="5"/>
  <c r="AU55" i="5"/>
  <c r="AM56" i="5"/>
  <c r="CM55" i="5"/>
  <c r="AE56" i="5"/>
  <c r="AF56" i="5"/>
  <c r="AD56" i="5"/>
  <c r="AH56" i="5"/>
  <c r="BH55" i="5"/>
  <c r="AK12" i="5"/>
  <c r="CT12" i="5" s="1"/>
  <c r="AG12" i="5"/>
  <c r="CP12" i="5" s="1"/>
  <c r="AO12" i="5"/>
  <c r="CX12" i="5" s="1"/>
  <c r="AJ12" i="5"/>
  <c r="CS12" i="5" s="1"/>
  <c r="DL55" i="2"/>
  <c r="CG55" i="2"/>
  <c r="CD55" i="2"/>
  <c r="DI55" i="2"/>
  <c r="DF55" i="2"/>
  <c r="CA55" i="2"/>
  <c r="DN55" i="2"/>
  <c r="CI55" i="2"/>
  <c r="DO54" i="2"/>
  <c r="CJ54" i="2"/>
  <c r="CV55" i="2"/>
  <c r="BQ55" i="2"/>
  <c r="AP56" i="2"/>
  <c r="BD56" i="2"/>
  <c r="AN56" i="2"/>
  <c r="BO55" i="2"/>
  <c r="CT55" i="2"/>
  <c r="AL56" i="2"/>
  <c r="BN55" i="2"/>
  <c r="CS55" i="2"/>
  <c r="DI54" i="2"/>
  <c r="CD54" i="2"/>
  <c r="BZ54" i="2"/>
  <c r="DE54" i="2"/>
  <c r="CX55" i="2"/>
  <c r="BS55" i="2"/>
  <c r="AQ56" i="2"/>
  <c r="BF55" i="2"/>
  <c r="BM55" i="2"/>
  <c r="CR55" i="2"/>
  <c r="AH56" i="2"/>
  <c r="CM55" i="2"/>
  <c r="AD56" i="2"/>
  <c r="AE56" i="2"/>
  <c r="AF56" i="2"/>
  <c r="AM56" i="2"/>
  <c r="BH55" i="2"/>
  <c r="DB54" i="2"/>
  <c r="BW54" i="2"/>
  <c r="BA55" i="2"/>
  <c r="BB56" i="2" s="1"/>
  <c r="DA54" i="2"/>
  <c r="DP54" i="2" s="1"/>
  <c r="DQ54" i="2" s="1"/>
  <c r="BV54" i="2"/>
  <c r="CK54" i="2" s="1"/>
  <c r="CL54" i="2" s="1"/>
  <c r="AT55" i="2"/>
  <c r="AY56" i="2" s="1"/>
  <c r="AR55" i="2"/>
  <c r="AS55" i="2"/>
  <c r="BF56" i="2" s="1"/>
  <c r="AV55" i="2"/>
  <c r="AK56" i="2"/>
  <c r="BJ55" i="2"/>
  <c r="CO55" i="2"/>
  <c r="AG56" i="2"/>
  <c r="AO56" i="2"/>
  <c r="AX55" i="2"/>
  <c r="DF54" i="2"/>
  <c r="CA54" i="2"/>
  <c r="CN55" i="2"/>
  <c r="BI55" i="2"/>
  <c r="BY54" i="2"/>
  <c r="DD54" i="2"/>
  <c r="CW55" i="2"/>
  <c r="BR55" i="2"/>
  <c r="DJ54" i="2"/>
  <c r="CE54" i="2"/>
  <c r="BP55" i="2"/>
  <c r="CU55" i="2"/>
  <c r="BB55" i="2"/>
  <c r="BG54" i="2"/>
  <c r="DK54" i="2"/>
  <c r="CF54" i="2"/>
  <c r="DD55" i="2"/>
  <c r="BY55" i="2"/>
  <c r="CY55" i="2"/>
  <c r="BT55" i="2"/>
  <c r="DH54" i="2"/>
  <c r="CC54" i="2"/>
  <c r="CZ55" i="2"/>
  <c r="BU55" i="2"/>
  <c r="CP55" i="2"/>
  <c r="BK55" i="2"/>
  <c r="BX54" i="2"/>
  <c r="DC54" i="2"/>
  <c r="CH54" i="2"/>
  <c r="DM54" i="2"/>
  <c r="BD55" i="2"/>
  <c r="AY55" i="2"/>
  <c r="AX56" i="2" s="1"/>
  <c r="AI56" i="2"/>
  <c r="AJ56" i="2"/>
  <c r="CQ55" i="2"/>
  <c r="AW56" i="2"/>
  <c r="BL55" i="2"/>
  <c r="CH55" i="4"/>
  <c r="DM55" i="4"/>
  <c r="DN55" i="4"/>
  <c r="CI55" i="4"/>
  <c r="BX54" i="4"/>
  <c r="DC54" i="4"/>
  <c r="AH56" i="4"/>
  <c r="BH55" i="4"/>
  <c r="AM56" i="4"/>
  <c r="AD56" i="4"/>
  <c r="AE56" i="4"/>
  <c r="AF56" i="4"/>
  <c r="CM55" i="4"/>
  <c r="CA55" i="4"/>
  <c r="DF55" i="4"/>
  <c r="CT55" i="4"/>
  <c r="BO55" i="4"/>
  <c r="CE54" i="4"/>
  <c r="DJ54" i="4"/>
  <c r="AY55" i="4"/>
  <c r="BP55" i="4"/>
  <c r="CU55" i="4"/>
  <c r="AQ56" i="4"/>
  <c r="BE56" i="4"/>
  <c r="CX55" i="4"/>
  <c r="BS55" i="4"/>
  <c r="DB54" i="4"/>
  <c r="DP54" i="4" s="1"/>
  <c r="DQ54" i="4" s="1"/>
  <c r="BW54" i="4"/>
  <c r="CK54" i="4" s="1"/>
  <c r="CL54" i="4" s="1"/>
  <c r="CB55" i="4"/>
  <c r="DG55" i="4"/>
  <c r="BC55" i="4"/>
  <c r="CW55" i="4"/>
  <c r="BR55" i="4"/>
  <c r="BB55" i="4"/>
  <c r="BT55" i="4"/>
  <c r="CY55" i="4"/>
  <c r="BV54" i="4"/>
  <c r="AS55" i="4"/>
  <c r="DA54" i="4"/>
  <c r="BA55" i="4"/>
  <c r="AR55" i="4"/>
  <c r="AV55" i="4"/>
  <c r="AT55" i="4"/>
  <c r="AU56" i="4" s="1"/>
  <c r="BU55" i="4"/>
  <c r="CZ55" i="4"/>
  <c r="BF55" i="4"/>
  <c r="AU55" i="4"/>
  <c r="DL54" i="4"/>
  <c r="CG54" i="4"/>
  <c r="AL56" i="4"/>
  <c r="CS55" i="4"/>
  <c r="BN55" i="4"/>
  <c r="CF54" i="4"/>
  <c r="DK54" i="4"/>
  <c r="BL55" i="4"/>
  <c r="CQ55" i="4"/>
  <c r="AW56" i="4"/>
  <c r="AJ56" i="4"/>
  <c r="AI56" i="4"/>
  <c r="BZ54" i="4"/>
  <c r="DE54" i="4"/>
  <c r="AK56" i="4"/>
  <c r="BJ55" i="4"/>
  <c r="AG56" i="4"/>
  <c r="CO55" i="4"/>
  <c r="AO56" i="4"/>
  <c r="CR55" i="4"/>
  <c r="BM55" i="4"/>
  <c r="CV55" i="4"/>
  <c r="AP56" i="4"/>
  <c r="BD56" i="4"/>
  <c r="AN56" i="4"/>
  <c r="BQ55" i="4"/>
  <c r="BY54" i="4"/>
  <c r="DD54" i="4"/>
  <c r="CC54" i="4"/>
  <c r="DH54" i="4"/>
  <c r="AZ55" i="4"/>
  <c r="BI55" i="4"/>
  <c r="CN55" i="4"/>
  <c r="BK55" i="4"/>
  <c r="CP55" i="4"/>
  <c r="CB11" i="4"/>
  <c r="CD11" i="4"/>
  <c r="CH11" i="4"/>
  <c r="BV11" i="3"/>
  <c r="AG12" i="8"/>
  <c r="CP12" i="8" s="1"/>
  <c r="AU12" i="8"/>
  <c r="DD12" i="8" s="1"/>
  <c r="AO12" i="8"/>
  <c r="CX12" i="8" s="1"/>
  <c r="AK12" i="8"/>
  <c r="CT12" i="8" s="1"/>
  <c r="BC12" i="8"/>
  <c r="DL12" i="8" s="1"/>
  <c r="AY12" i="8"/>
  <c r="DH12" i="8" s="1"/>
  <c r="BJ11" i="8"/>
  <c r="AH12" i="8"/>
  <c r="CQ12" i="8" s="1"/>
  <c r="AM12" i="8"/>
  <c r="CV12" i="8" s="1"/>
  <c r="BG11" i="8"/>
  <c r="AF12" i="8"/>
  <c r="CO12" i="8" s="1"/>
  <c r="AE12" i="8"/>
  <c r="CN12" i="8" s="1"/>
  <c r="BF12" i="8"/>
  <c r="AD12" i="8"/>
  <c r="CM12" i="8" s="1"/>
  <c r="BH11" i="8"/>
  <c r="BU11" i="8"/>
  <c r="BI11" i="8"/>
  <c r="CE11" i="8"/>
  <c r="AL12" i="8"/>
  <c r="CU12" i="8" s="1"/>
  <c r="AZ12" i="8"/>
  <c r="DI12" i="8" s="1"/>
  <c r="BN11" i="8"/>
  <c r="AQ12" i="8"/>
  <c r="CZ12" i="8" s="1"/>
  <c r="BE12" i="8"/>
  <c r="DN12" i="8" s="1"/>
  <c r="BS11" i="8"/>
  <c r="BK11" i="5"/>
  <c r="CB11" i="8"/>
  <c r="BY11" i="8"/>
  <c r="BT11" i="8"/>
  <c r="CD11" i="8"/>
  <c r="AS12" i="3"/>
  <c r="DB12" i="3" s="1"/>
  <c r="BX11" i="8"/>
  <c r="BZ11" i="8"/>
  <c r="CH11" i="6"/>
  <c r="BM11" i="8"/>
  <c r="BO11" i="8"/>
  <c r="AQ12" i="6"/>
  <c r="CZ12" i="6" s="1"/>
  <c r="CF11" i="4"/>
  <c r="BK11" i="8"/>
  <c r="BB12" i="4"/>
  <c r="DK12" i="4" s="1"/>
  <c r="CC11" i="5"/>
  <c r="BR11" i="8"/>
  <c r="CC11" i="8"/>
  <c r="DO11" i="8"/>
  <c r="CJ11" i="8"/>
  <c r="BA12" i="4"/>
  <c r="DJ12" i="4" s="1"/>
  <c r="AX12" i="8"/>
  <c r="DG12" i="8" s="1"/>
  <c r="AW12" i="8"/>
  <c r="DF12" i="8" s="1"/>
  <c r="AI12" i="8"/>
  <c r="CR12" i="8" s="1"/>
  <c r="AJ12" i="8"/>
  <c r="CS12" i="8" s="1"/>
  <c r="BL11" i="8"/>
  <c r="BS11" i="5"/>
  <c r="BW11" i="8"/>
  <c r="AQ12" i="5"/>
  <c r="CZ12" i="5" s="1"/>
  <c r="BD12" i="8"/>
  <c r="DM12" i="8" s="1"/>
  <c r="AN12" i="8"/>
  <c r="CW12" i="8" s="1"/>
  <c r="AP12" i="8"/>
  <c r="CY12" i="8" s="1"/>
  <c r="BB12" i="8"/>
  <c r="DK12" i="8" s="1"/>
  <c r="BQ11" i="8"/>
  <c r="CA11" i="8"/>
  <c r="CF11" i="8"/>
  <c r="BA12" i="8"/>
  <c r="DJ12" i="8" s="1"/>
  <c r="AS12" i="8"/>
  <c r="DB12" i="8" s="1"/>
  <c r="AT12" i="8"/>
  <c r="DC12" i="8" s="1"/>
  <c r="AV12" i="8"/>
  <c r="DE12" i="8" s="1"/>
  <c r="AR12" i="8"/>
  <c r="DA12" i="8" s="1"/>
  <c r="BV11" i="8"/>
  <c r="BP11" i="8"/>
  <c r="CI11" i="8"/>
  <c r="DP10" i="8"/>
  <c r="DQ10" i="8" s="1"/>
  <c r="AW12" i="4"/>
  <c r="DF12" i="4" s="1"/>
  <c r="AL12" i="5"/>
  <c r="CU12" i="5" s="1"/>
  <c r="CG11" i="8"/>
  <c r="BQ11" i="3"/>
  <c r="BE12" i="4"/>
  <c r="DN12" i="4" s="1"/>
  <c r="AP12" i="5"/>
  <c r="CY12" i="5" s="1"/>
  <c r="CA11" i="5"/>
  <c r="CK10" i="8"/>
  <c r="CL10" i="8" s="1"/>
  <c r="CH11" i="8"/>
  <c r="CK10" i="6"/>
  <c r="CL10" i="6" s="1"/>
  <c r="BD12" i="6"/>
  <c r="DM12" i="6" s="1"/>
  <c r="DJ11" i="6"/>
  <c r="DO11" i="6"/>
  <c r="AX12" i="6"/>
  <c r="DG12" i="6" s="1"/>
  <c r="DE11" i="6"/>
  <c r="BF12" i="6"/>
  <c r="CJ12" i="6" s="1"/>
  <c r="DB11" i="6"/>
  <c r="BE12" i="6"/>
  <c r="DN12" i="6" s="1"/>
  <c r="DL11" i="6"/>
  <c r="BG11" i="6"/>
  <c r="DC11" i="6"/>
  <c r="BK12" i="6"/>
  <c r="CD11" i="5"/>
  <c r="BI12" i="6"/>
  <c r="AQ13" i="6"/>
  <c r="CZ13" i="6" s="1"/>
  <c r="BS12" i="6"/>
  <c r="AH13" i="6"/>
  <c r="CQ13" i="6" s="1"/>
  <c r="AF13" i="6"/>
  <c r="CO13" i="6" s="1"/>
  <c r="AE13" i="6"/>
  <c r="CN13" i="6" s="1"/>
  <c r="AD13" i="6"/>
  <c r="CM13" i="6" s="1"/>
  <c r="AM13" i="6"/>
  <c r="CV13" i="6" s="1"/>
  <c r="BH12" i="6"/>
  <c r="CD12" i="6"/>
  <c r="BX11" i="6"/>
  <c r="AK13" i="6"/>
  <c r="CT13" i="6" s="1"/>
  <c r="AO13" i="6"/>
  <c r="CX13" i="6" s="1"/>
  <c r="AG13" i="6"/>
  <c r="CP13" i="6" s="1"/>
  <c r="BJ12" i="6"/>
  <c r="BP12" i="6"/>
  <c r="CG11" i="6"/>
  <c r="AJ13" i="6"/>
  <c r="CS13" i="6" s="1"/>
  <c r="AI13" i="6"/>
  <c r="CR13" i="6" s="1"/>
  <c r="BL12" i="6"/>
  <c r="AN13" i="6"/>
  <c r="CW13" i="6" s="1"/>
  <c r="BQ12" i="6"/>
  <c r="BB12" i="6"/>
  <c r="DK12" i="6" s="1"/>
  <c r="BU12" i="6"/>
  <c r="BC12" i="6"/>
  <c r="DL12" i="6" s="1"/>
  <c r="CK10" i="4"/>
  <c r="CL10" i="4" s="1"/>
  <c r="BR12" i="6"/>
  <c r="BY11" i="5"/>
  <c r="CA12" i="6"/>
  <c r="CC11" i="6"/>
  <c r="BT12" i="6"/>
  <c r="AY12" i="6"/>
  <c r="DH12" i="6" s="1"/>
  <c r="BW11" i="3"/>
  <c r="AX12" i="5"/>
  <c r="DG12" i="5" s="1"/>
  <c r="DE11" i="5"/>
  <c r="BZ11" i="6"/>
  <c r="BM12" i="6"/>
  <c r="CE11" i="6"/>
  <c r="AL13" i="6"/>
  <c r="CU13" i="6" s="1"/>
  <c r="BN12" i="6"/>
  <c r="CA11" i="6"/>
  <c r="BY11" i="6"/>
  <c r="BO12" i="6"/>
  <c r="BA12" i="6"/>
  <c r="DJ12" i="6" s="1"/>
  <c r="AV12" i="6"/>
  <c r="DE12" i="6" s="1"/>
  <c r="AT12" i="6"/>
  <c r="DC12" i="6" s="1"/>
  <c r="AS12" i="6"/>
  <c r="DB12" i="6" s="1"/>
  <c r="AR12" i="6"/>
  <c r="DA12" i="6" s="1"/>
  <c r="BV11" i="6"/>
  <c r="AU12" i="6"/>
  <c r="DD12" i="6" s="1"/>
  <c r="BW11" i="6"/>
  <c r="CD11" i="6"/>
  <c r="CK10" i="5"/>
  <c r="CL10" i="5" s="1"/>
  <c r="CF11" i="5"/>
  <c r="BE12" i="5"/>
  <c r="DN12" i="5" s="1"/>
  <c r="AW12" i="5"/>
  <c r="DF12" i="5" s="1"/>
  <c r="BG11" i="5"/>
  <c r="AZ12" i="5"/>
  <c r="DI12" i="5" s="1"/>
  <c r="CG11" i="5"/>
  <c r="CI12" i="5"/>
  <c r="CA12" i="5"/>
  <c r="CE11" i="5"/>
  <c r="BX11" i="5"/>
  <c r="AN13" i="5"/>
  <c r="CW13" i="5" s="1"/>
  <c r="BQ12" i="5"/>
  <c r="CI11" i="5"/>
  <c r="AX12" i="4"/>
  <c r="DG12" i="4" s="1"/>
  <c r="BG11" i="4"/>
  <c r="AI13" i="5"/>
  <c r="CR13" i="5" s="1"/>
  <c r="BL12" i="5"/>
  <c r="BI12" i="5"/>
  <c r="AM13" i="5"/>
  <c r="CV13" i="5" s="1"/>
  <c r="AH13" i="5"/>
  <c r="CQ13" i="5" s="1"/>
  <c r="AE13" i="5"/>
  <c r="CN13" i="5" s="1"/>
  <c r="AF13" i="5"/>
  <c r="CO13" i="5" s="1"/>
  <c r="AD13" i="5"/>
  <c r="CM13" i="5" s="1"/>
  <c r="BH12" i="5"/>
  <c r="CC11" i="4"/>
  <c r="BC12" i="5"/>
  <c r="DL12" i="5" s="1"/>
  <c r="BO12" i="5"/>
  <c r="CG11" i="4"/>
  <c r="AU12" i="5"/>
  <c r="DD12" i="5" s="1"/>
  <c r="AG13" i="5"/>
  <c r="CP13" i="5" s="1"/>
  <c r="AK13" i="5"/>
  <c r="CT13" i="5" s="1"/>
  <c r="AO13" i="5"/>
  <c r="CX13" i="5" s="1"/>
  <c r="BJ12" i="5"/>
  <c r="CJ11" i="5"/>
  <c r="DO11" i="5"/>
  <c r="AZ12" i="4"/>
  <c r="DI12" i="4" s="1"/>
  <c r="AY12" i="5"/>
  <c r="DH12" i="5" s="1"/>
  <c r="BC12" i="4"/>
  <c r="DL12" i="4" s="1"/>
  <c r="CJ11" i="4"/>
  <c r="CK11" i="4" s="1"/>
  <c r="CL11" i="4" s="1"/>
  <c r="BK12" i="5"/>
  <c r="BB12" i="5"/>
  <c r="DK12" i="5" s="1"/>
  <c r="BW11" i="5"/>
  <c r="BD12" i="4"/>
  <c r="DM12" i="4" s="1"/>
  <c r="BR12" i="5"/>
  <c r="CH11" i="5"/>
  <c r="BZ11" i="5"/>
  <c r="BS12" i="5"/>
  <c r="BP12" i="5"/>
  <c r="BD12" i="5"/>
  <c r="DM12" i="5" s="1"/>
  <c r="AV12" i="5"/>
  <c r="DE12" i="5" s="1"/>
  <c r="AT12" i="5"/>
  <c r="DC12" i="5" s="1"/>
  <c r="AS12" i="5"/>
  <c r="DB12" i="5" s="1"/>
  <c r="BA12" i="5"/>
  <c r="DJ12" i="5" s="1"/>
  <c r="AR12" i="5"/>
  <c r="DA12" i="5" s="1"/>
  <c r="BV11" i="5"/>
  <c r="BM12" i="5"/>
  <c r="AY12" i="4"/>
  <c r="DH12" i="4" s="1"/>
  <c r="BF12" i="4"/>
  <c r="DO12" i="4" s="1"/>
  <c r="BF12" i="5"/>
  <c r="CB11" i="5"/>
  <c r="BT11" i="3"/>
  <c r="CY11" i="3"/>
  <c r="BP11" i="3"/>
  <c r="CU11" i="3"/>
  <c r="CD11" i="3"/>
  <c r="DI11" i="3"/>
  <c r="AF12" i="3"/>
  <c r="CO12" i="3" s="1"/>
  <c r="CO11" i="3"/>
  <c r="AN12" i="3"/>
  <c r="CW12" i="3" s="1"/>
  <c r="BM11" i="3"/>
  <c r="CR11" i="3"/>
  <c r="BR11" i="3"/>
  <c r="CF11" i="3"/>
  <c r="AJ13" i="4"/>
  <c r="CS13" i="4" s="1"/>
  <c r="AI13" i="4"/>
  <c r="CR13" i="4" s="1"/>
  <c r="BL12" i="4"/>
  <c r="CF12" i="4"/>
  <c r="BU12" i="4"/>
  <c r="BR12" i="4"/>
  <c r="AG13" i="4"/>
  <c r="CP13" i="4" s="1"/>
  <c r="AU13" i="4"/>
  <c r="DD13" i="4" s="1"/>
  <c r="AO13" i="4"/>
  <c r="CX13" i="4" s="1"/>
  <c r="AK13" i="4"/>
  <c r="CT13" i="4" s="1"/>
  <c r="BJ12" i="4"/>
  <c r="AF13" i="4"/>
  <c r="CO13" i="4" s="1"/>
  <c r="AE13" i="4"/>
  <c r="CN13" i="4" s="1"/>
  <c r="AD13" i="4"/>
  <c r="CM13" i="4" s="1"/>
  <c r="AM13" i="4"/>
  <c r="CV13" i="4" s="1"/>
  <c r="AH13" i="4"/>
  <c r="CQ13" i="4" s="1"/>
  <c r="BH12" i="4"/>
  <c r="BP12" i="4"/>
  <c r="DP11" i="4"/>
  <c r="DQ11" i="4" s="1"/>
  <c r="BW12" i="4"/>
  <c r="BI12" i="4"/>
  <c r="BY12" i="4"/>
  <c r="AT13" i="4"/>
  <c r="DC13" i="4" s="1"/>
  <c r="AS13" i="4"/>
  <c r="DB13" i="4" s="1"/>
  <c r="AR13" i="4"/>
  <c r="DA13" i="4" s="1"/>
  <c r="BV12" i="4"/>
  <c r="CI12" i="4"/>
  <c r="AP13" i="4"/>
  <c r="CY13" i="4" s="1"/>
  <c r="AN13" i="4"/>
  <c r="CW13" i="4" s="1"/>
  <c r="BQ12" i="4"/>
  <c r="AQ13" i="4"/>
  <c r="CZ13" i="4" s="1"/>
  <c r="BS12" i="4"/>
  <c r="BK12" i="4"/>
  <c r="BZ12" i="4"/>
  <c r="BT12" i="4"/>
  <c r="AL13" i="4"/>
  <c r="CU13" i="4" s="1"/>
  <c r="BN12" i="4"/>
  <c r="BX12" i="4"/>
  <c r="BM12" i="4"/>
  <c r="BO12" i="4"/>
  <c r="BZ11" i="3"/>
  <c r="AP12" i="3"/>
  <c r="CY12" i="3" s="1"/>
  <c r="AI12" i="3"/>
  <c r="BL11" i="3"/>
  <c r="BK11" i="3"/>
  <c r="BU11" i="3"/>
  <c r="AM12" i="3"/>
  <c r="BA12" i="3"/>
  <c r="AV12" i="3"/>
  <c r="DE12" i="3" s="1"/>
  <c r="CE11" i="3"/>
  <c r="BB12" i="3"/>
  <c r="DK12" i="3" s="1"/>
  <c r="CA11" i="3"/>
  <c r="AW12" i="3"/>
  <c r="DF12" i="3" s="1"/>
  <c r="BG11" i="3"/>
  <c r="AH12" i="3"/>
  <c r="CQ12" i="3" s="1"/>
  <c r="DP10" i="3"/>
  <c r="DQ10" i="3" s="1"/>
  <c r="BJ11" i="3"/>
  <c r="AG12" i="3"/>
  <c r="AL12" i="3"/>
  <c r="CU12" i="3" s="1"/>
  <c r="BY11" i="3"/>
  <c r="BE12" i="3"/>
  <c r="BN11" i="3"/>
  <c r="CG11" i="3"/>
  <c r="AT12" i="3"/>
  <c r="DC12" i="3" s="1"/>
  <c r="CK10" i="3"/>
  <c r="CL10" i="3" s="1"/>
  <c r="CH11" i="3"/>
  <c r="BS11" i="3"/>
  <c r="AQ12" i="3"/>
  <c r="CZ12" i="3" s="1"/>
  <c r="AK12" i="3"/>
  <c r="CT12" i="3" s="1"/>
  <c r="CB11" i="3"/>
  <c r="BC12" i="3"/>
  <c r="DL12" i="3" s="1"/>
  <c r="BX11" i="3"/>
  <c r="BD12" i="3"/>
  <c r="AO12" i="3"/>
  <c r="CX12" i="3" s="1"/>
  <c r="BO11" i="3"/>
  <c r="AY12" i="3"/>
  <c r="DH12" i="3" s="1"/>
  <c r="AU12" i="3"/>
  <c r="DD12" i="3" s="1"/>
  <c r="AJ12" i="3"/>
  <c r="CC11" i="3"/>
  <c r="CI11" i="3"/>
  <c r="AX12" i="3"/>
  <c r="AZ12" i="3"/>
  <c r="DI12" i="3" s="1"/>
  <c r="CJ11" i="3"/>
  <c r="BF12" i="3"/>
  <c r="DO12" i="3" s="1"/>
  <c r="AE13" i="3"/>
  <c r="CN13" i="3" s="1"/>
  <c r="AD13" i="3"/>
  <c r="CM13" i="3" s="1"/>
  <c r="BH12" i="3"/>
  <c r="BI12" i="3"/>
  <c r="AR13" i="3"/>
  <c r="DA13" i="3" s="1"/>
  <c r="BV12" i="3"/>
  <c r="CM11" i="2"/>
  <c r="BH11" i="2"/>
  <c r="DB10" i="2"/>
  <c r="CP10" i="2"/>
  <c r="DP9" i="2"/>
  <c r="DQ9" i="2" s="1"/>
  <c r="CK9" i="2"/>
  <c r="CL9" i="2" s="1"/>
  <c r="DD10" i="2"/>
  <c r="DC10" i="2"/>
  <c r="CN10" i="2"/>
  <c r="DA11" i="2"/>
  <c r="CO10" i="2"/>
  <c r="CJ10" i="2"/>
  <c r="DO10" i="2"/>
  <c r="DK10" i="2"/>
  <c r="CW10" i="2"/>
  <c r="CQ10" i="2"/>
  <c r="DL10" i="2"/>
  <c r="CT10" i="2"/>
  <c r="DE10" i="2"/>
  <c r="DH10" i="2"/>
  <c r="DG10" i="2"/>
  <c r="DF10" i="2"/>
  <c r="DM10" i="2"/>
  <c r="CY10" i="2"/>
  <c r="DJ10" i="2"/>
  <c r="CX10" i="2"/>
  <c r="CR10" i="2"/>
  <c r="CU10" i="2"/>
  <c r="CS10" i="2"/>
  <c r="CZ10" i="2"/>
  <c r="DI10" i="2"/>
  <c r="CV10" i="2"/>
  <c r="DN10" i="2"/>
  <c r="BG10" i="2"/>
  <c r="BB11" i="2"/>
  <c r="CF11" i="2" s="1"/>
  <c r="BF11" i="2"/>
  <c r="BD11" i="2"/>
  <c r="CH11" i="2" s="1"/>
  <c r="AP11" i="2"/>
  <c r="BT11" i="2" s="1"/>
  <c r="AZ11" i="2"/>
  <c r="CD11" i="2" s="1"/>
  <c r="BE11" i="2"/>
  <c r="CI11" i="2" s="1"/>
  <c r="AQ11" i="2"/>
  <c r="BU11" i="2" s="1"/>
  <c r="AV11" i="2"/>
  <c r="BZ11" i="2" s="1"/>
  <c r="AT11" i="2"/>
  <c r="BX11" i="2" s="1"/>
  <c r="AU11" i="2"/>
  <c r="BY11" i="2" s="1"/>
  <c r="AY11" i="2"/>
  <c r="CC11" i="2" s="1"/>
  <c r="BC11" i="2"/>
  <c r="CG11" i="2" s="1"/>
  <c r="AW11" i="2"/>
  <c r="CA11" i="2" s="1"/>
  <c r="AX11" i="2"/>
  <c r="CB11" i="2" s="1"/>
  <c r="AE11" i="2"/>
  <c r="BI11" i="2" s="1"/>
  <c r="BA11" i="2"/>
  <c r="AS11" i="2"/>
  <c r="BW11" i="2" s="1"/>
  <c r="AR12" i="2"/>
  <c r="BV12" i="2" s="1"/>
  <c r="AF11" i="2"/>
  <c r="BJ11" i="2" s="1"/>
  <c r="AI11" i="2"/>
  <c r="BM11" i="2" s="1"/>
  <c r="AJ11" i="2"/>
  <c r="BN11" i="2" s="1"/>
  <c r="AM11" i="2"/>
  <c r="BQ11" i="2" s="1"/>
  <c r="AD12" i="2"/>
  <c r="AL11" i="2"/>
  <c r="BP11" i="2" s="1"/>
  <c r="AN11" i="2"/>
  <c r="BR11" i="2" s="1"/>
  <c r="AH11" i="2"/>
  <c r="BL11" i="2" s="1"/>
  <c r="AO11" i="2"/>
  <c r="BS11" i="2" s="1"/>
  <c r="AG11" i="2"/>
  <c r="BK11" i="2" s="1"/>
  <c r="AK11" i="2"/>
  <c r="BO11" i="2" s="1"/>
  <c r="CB56" i="8" l="1"/>
  <c r="DG56" i="8"/>
  <c r="CQ56" i="8"/>
  <c r="AI57" i="8"/>
  <c r="AJ57" i="8"/>
  <c r="BL56" i="8"/>
  <c r="DC55" i="8"/>
  <c r="BX55" i="8"/>
  <c r="CJ55" i="8"/>
  <c r="DO55" i="8"/>
  <c r="BB57" i="8"/>
  <c r="BQ56" i="8"/>
  <c r="CV56" i="8"/>
  <c r="BD57" i="8"/>
  <c r="AN57" i="8"/>
  <c r="AP57" i="8"/>
  <c r="CD56" i="8"/>
  <c r="DI56" i="8"/>
  <c r="BK56" i="8"/>
  <c r="CP56" i="8"/>
  <c r="AS56" i="8"/>
  <c r="DA55" i="8"/>
  <c r="DP55" i="8" s="1"/>
  <c r="DQ55" i="8" s="1"/>
  <c r="BA56" i="8"/>
  <c r="BV55" i="8"/>
  <c r="AR56" i="8"/>
  <c r="AT56" i="8"/>
  <c r="BF57" i="8" s="1"/>
  <c r="AV56" i="8"/>
  <c r="DF56" i="8"/>
  <c r="CA56" i="8"/>
  <c r="CE55" i="8"/>
  <c r="DJ55" i="8"/>
  <c r="BC56" i="8"/>
  <c r="DD55" i="8"/>
  <c r="BY55" i="8"/>
  <c r="AG57" i="8"/>
  <c r="BJ56" i="8"/>
  <c r="AK57" i="8"/>
  <c r="CO56" i="8"/>
  <c r="AO57" i="8"/>
  <c r="BN56" i="8"/>
  <c r="CS56" i="8"/>
  <c r="AL57" i="8"/>
  <c r="AZ57" i="8"/>
  <c r="CR56" i="8"/>
  <c r="BM56" i="8"/>
  <c r="CY56" i="8"/>
  <c r="BT56" i="8"/>
  <c r="BF56" i="8"/>
  <c r="BG55" i="8"/>
  <c r="AU56" i="8"/>
  <c r="AF57" i="8"/>
  <c r="BH56" i="8"/>
  <c r="AM57" i="8"/>
  <c r="AD57" i="8"/>
  <c r="AH57" i="8"/>
  <c r="CM56" i="8"/>
  <c r="AE57" i="8"/>
  <c r="AQ57" i="8"/>
  <c r="CX56" i="8"/>
  <c r="BS56" i="8"/>
  <c r="CZ56" i="8"/>
  <c r="BU56" i="8"/>
  <c r="CU56" i="8"/>
  <c r="BP56" i="8"/>
  <c r="AY56" i="8"/>
  <c r="CH56" i="8"/>
  <c r="DM56" i="8"/>
  <c r="CW56" i="8"/>
  <c r="BR56" i="8"/>
  <c r="DK56" i="8"/>
  <c r="CF56" i="8"/>
  <c r="BZ55" i="8"/>
  <c r="DE55" i="8"/>
  <c r="CT56" i="8"/>
  <c r="BO56" i="8"/>
  <c r="BW55" i="8"/>
  <c r="CK55" i="8" s="1"/>
  <c r="CL55" i="8" s="1"/>
  <c r="DB55" i="8"/>
  <c r="BI56" i="8"/>
  <c r="CN56" i="8"/>
  <c r="CI56" i="8"/>
  <c r="DN56" i="8"/>
  <c r="CB56" i="6"/>
  <c r="DG56" i="6"/>
  <c r="DO56" i="6"/>
  <c r="CJ56" i="6"/>
  <c r="DK56" i="6"/>
  <c r="CF56" i="6"/>
  <c r="DN56" i="6"/>
  <c r="CI56" i="6"/>
  <c r="CV56" i="6"/>
  <c r="BQ56" i="6"/>
  <c r="AN57" i="6"/>
  <c r="AP57" i="6"/>
  <c r="BW55" i="6"/>
  <c r="CK55" i="6" s="1"/>
  <c r="CL55" i="6" s="1"/>
  <c r="DB55" i="6"/>
  <c r="CX56" i="6"/>
  <c r="AQ57" i="6"/>
  <c r="BS56" i="6"/>
  <c r="CP56" i="6"/>
  <c r="BK56" i="6"/>
  <c r="CA56" i="6"/>
  <c r="DF56" i="6"/>
  <c r="BI56" i="6"/>
  <c r="CN56" i="6"/>
  <c r="DL55" i="6"/>
  <c r="CG55" i="6"/>
  <c r="BM56" i="6"/>
  <c r="CR56" i="6"/>
  <c r="BA56" i="6"/>
  <c r="BD57" i="6" s="1"/>
  <c r="BV55" i="6"/>
  <c r="AT56" i="6"/>
  <c r="AR56" i="6"/>
  <c r="AS56" i="6"/>
  <c r="DA55" i="6"/>
  <c r="DP55" i="6" s="1"/>
  <c r="DQ55" i="6" s="1"/>
  <c r="AV56" i="6"/>
  <c r="AW57" i="6" s="1"/>
  <c r="BY56" i="6"/>
  <c r="DD56" i="6"/>
  <c r="CC55" i="6"/>
  <c r="DH55" i="6"/>
  <c r="BC56" i="6"/>
  <c r="DN55" i="6"/>
  <c r="CI55" i="6"/>
  <c r="BG55" i="6"/>
  <c r="BY55" i="6"/>
  <c r="DD55" i="6"/>
  <c r="AF57" i="6"/>
  <c r="AH57" i="6"/>
  <c r="AD57" i="6"/>
  <c r="AE57" i="6"/>
  <c r="CM56" i="6"/>
  <c r="AM57" i="6"/>
  <c r="BH56" i="6"/>
  <c r="DE55" i="6"/>
  <c r="BZ55" i="6"/>
  <c r="CW56" i="6"/>
  <c r="BR56" i="6"/>
  <c r="CT56" i="6"/>
  <c r="BO56" i="6"/>
  <c r="AY56" i="6"/>
  <c r="AZ57" i="6" s="1"/>
  <c r="AI57" i="6"/>
  <c r="BL56" i="6"/>
  <c r="CQ56" i="6"/>
  <c r="AJ57" i="6"/>
  <c r="CU56" i="6"/>
  <c r="BP56" i="6"/>
  <c r="DO55" i="6"/>
  <c r="CJ55" i="6"/>
  <c r="CE55" i="6"/>
  <c r="DJ55" i="6"/>
  <c r="BD56" i="6"/>
  <c r="AG57" i="6"/>
  <c r="BJ56" i="6"/>
  <c r="CO56" i="6"/>
  <c r="AK57" i="6"/>
  <c r="AO57" i="6"/>
  <c r="AU57" i="6"/>
  <c r="BT56" i="6"/>
  <c r="CY56" i="6"/>
  <c r="BN56" i="6"/>
  <c r="AL57" i="6"/>
  <c r="CS56" i="6"/>
  <c r="BU56" i="6"/>
  <c r="CZ56" i="6"/>
  <c r="DC55" i="6"/>
  <c r="BX55" i="6"/>
  <c r="AZ56" i="6"/>
  <c r="CI12" i="6"/>
  <c r="AW13" i="6"/>
  <c r="DF13" i="6" s="1"/>
  <c r="AL57" i="5"/>
  <c r="BN56" i="5"/>
  <c r="CS56" i="5"/>
  <c r="DI56" i="5"/>
  <c r="CD56" i="5"/>
  <c r="AG57" i="5"/>
  <c r="AK57" i="5"/>
  <c r="AO57" i="5"/>
  <c r="CO56" i="5"/>
  <c r="BJ56" i="5"/>
  <c r="DJ55" i="5"/>
  <c r="CE55" i="5"/>
  <c r="CN56" i="5"/>
  <c r="BI56" i="5"/>
  <c r="CU56" i="5"/>
  <c r="BP56" i="5"/>
  <c r="CY56" i="5"/>
  <c r="BT56" i="5"/>
  <c r="BM56" i="5"/>
  <c r="CR56" i="5"/>
  <c r="CG55" i="5"/>
  <c r="DL55" i="5"/>
  <c r="DD56" i="5"/>
  <c r="BY56" i="5"/>
  <c r="DH55" i="5"/>
  <c r="CC55" i="5"/>
  <c r="BD56" i="5"/>
  <c r="DF56" i="5"/>
  <c r="CA56" i="5"/>
  <c r="BQ56" i="5"/>
  <c r="AP57" i="5"/>
  <c r="CV56" i="5"/>
  <c r="AN57" i="5"/>
  <c r="CP56" i="5"/>
  <c r="BK56" i="5"/>
  <c r="DF55" i="5"/>
  <c r="CA55" i="5"/>
  <c r="CW56" i="5"/>
  <c r="BR56" i="5"/>
  <c r="BY55" i="5"/>
  <c r="DD55" i="5"/>
  <c r="DM55" i="5"/>
  <c r="CH55" i="5"/>
  <c r="BB56" i="5"/>
  <c r="CX56" i="5"/>
  <c r="BS56" i="5"/>
  <c r="AQ57" i="5"/>
  <c r="CZ56" i="5"/>
  <c r="BU56" i="5"/>
  <c r="DO55" i="5"/>
  <c r="CJ55" i="5"/>
  <c r="BC56" i="5"/>
  <c r="BE56" i="5"/>
  <c r="DG55" i="5"/>
  <c r="CB55" i="5"/>
  <c r="BO56" i="5"/>
  <c r="CT56" i="5"/>
  <c r="AI57" i="5"/>
  <c r="AJ57" i="5"/>
  <c r="BL56" i="5"/>
  <c r="CQ56" i="5"/>
  <c r="AY56" i="5"/>
  <c r="DE55" i="5"/>
  <c r="BZ55" i="5"/>
  <c r="AM57" i="5"/>
  <c r="CM56" i="5"/>
  <c r="BH56" i="5"/>
  <c r="AH57" i="5"/>
  <c r="AF57" i="5"/>
  <c r="AD57" i="5"/>
  <c r="AE57" i="5"/>
  <c r="BA56" i="5"/>
  <c r="BD57" i="5" s="1"/>
  <c r="DA55" i="5"/>
  <c r="DP55" i="5" s="1"/>
  <c r="DQ55" i="5" s="1"/>
  <c r="BV55" i="5"/>
  <c r="AR56" i="5"/>
  <c r="AS56" i="5"/>
  <c r="AT56" i="5"/>
  <c r="BC57" i="5" s="1"/>
  <c r="AV56" i="5"/>
  <c r="DC55" i="5"/>
  <c r="BX55" i="5"/>
  <c r="CK55" i="5" s="1"/>
  <c r="CL55" i="5" s="1"/>
  <c r="BF56" i="5"/>
  <c r="AX56" i="5"/>
  <c r="DB55" i="5"/>
  <c r="BW55" i="5"/>
  <c r="AJ13" i="5"/>
  <c r="CS13" i="5" s="1"/>
  <c r="BT12" i="5"/>
  <c r="BU12" i="5"/>
  <c r="BN12" i="5"/>
  <c r="DP11" i="5"/>
  <c r="DQ11" i="5" s="1"/>
  <c r="AL13" i="5"/>
  <c r="CU13" i="5" s="1"/>
  <c r="AP13" i="5"/>
  <c r="CY13" i="5" s="1"/>
  <c r="DH56" i="2"/>
  <c r="CC56" i="2"/>
  <c r="DG56" i="2"/>
  <c r="CB56" i="2"/>
  <c r="CJ56" i="2"/>
  <c r="DO56" i="2"/>
  <c r="DK56" i="2"/>
  <c r="CF56" i="2"/>
  <c r="DM56" i="2"/>
  <c r="CH56" i="2"/>
  <c r="DM55" i="2"/>
  <c r="CH55" i="2"/>
  <c r="CX56" i="2"/>
  <c r="AQ57" i="2"/>
  <c r="BS56" i="2"/>
  <c r="BE57" i="2"/>
  <c r="CF55" i="2"/>
  <c r="DK55" i="2"/>
  <c r="BC56" i="2"/>
  <c r="BT56" i="2"/>
  <c r="CY56" i="2"/>
  <c r="DG55" i="2"/>
  <c r="CB55" i="2"/>
  <c r="CP56" i="2"/>
  <c r="BK56" i="2"/>
  <c r="CV56" i="2"/>
  <c r="BQ56" i="2"/>
  <c r="AP57" i="2"/>
  <c r="BB57" i="2"/>
  <c r="BD57" i="2"/>
  <c r="AN57" i="2"/>
  <c r="BE56" i="2"/>
  <c r="AU56" i="2"/>
  <c r="CT56" i="2"/>
  <c r="BO56" i="2"/>
  <c r="AF57" i="2"/>
  <c r="AH57" i="2"/>
  <c r="BH56" i="2"/>
  <c r="CM56" i="2"/>
  <c r="AD57" i="2"/>
  <c r="AE57" i="2"/>
  <c r="AM57" i="2"/>
  <c r="DO55" i="2"/>
  <c r="CJ55" i="2"/>
  <c r="BU56" i="2"/>
  <c r="CZ56" i="2"/>
  <c r="BG55" i="2"/>
  <c r="CU56" i="2"/>
  <c r="BP56" i="2"/>
  <c r="CR56" i="2"/>
  <c r="BM56" i="2"/>
  <c r="CC55" i="2"/>
  <c r="DH55" i="2"/>
  <c r="DF56" i="2"/>
  <c r="CA56" i="2"/>
  <c r="BZ55" i="2"/>
  <c r="DE55" i="2"/>
  <c r="AZ56" i="2"/>
  <c r="CW56" i="2"/>
  <c r="BR56" i="2"/>
  <c r="BW55" i="2"/>
  <c r="DB55" i="2"/>
  <c r="AI57" i="2"/>
  <c r="AJ57" i="2"/>
  <c r="CQ56" i="2"/>
  <c r="BL56" i="2"/>
  <c r="BX55" i="2"/>
  <c r="DC55" i="2"/>
  <c r="DP55" i="2" s="1"/>
  <c r="DQ55" i="2" s="1"/>
  <c r="DJ55" i="2"/>
  <c r="CE55" i="2"/>
  <c r="AG57" i="2"/>
  <c r="AU57" i="2"/>
  <c r="BC57" i="2"/>
  <c r="CO56" i="2"/>
  <c r="AK57" i="2"/>
  <c r="BJ56" i="2"/>
  <c r="AO57" i="2"/>
  <c r="CN56" i="2"/>
  <c r="BI56" i="2"/>
  <c r="BN56" i="2"/>
  <c r="CS56" i="2"/>
  <c r="AL57" i="2"/>
  <c r="BA56" i="2"/>
  <c r="AR56" i="2"/>
  <c r="AS56" i="2"/>
  <c r="BF57" i="2" s="1"/>
  <c r="AT56" i="2"/>
  <c r="AY57" i="2" s="1"/>
  <c r="AV56" i="2"/>
  <c r="BV55" i="2"/>
  <c r="CK55" i="2" s="1"/>
  <c r="CL55" i="2" s="1"/>
  <c r="DA55" i="2"/>
  <c r="BY56" i="4"/>
  <c r="DD56" i="4"/>
  <c r="DO55" i="4"/>
  <c r="CJ55" i="4"/>
  <c r="CY56" i="4"/>
  <c r="BT56" i="4"/>
  <c r="BZ55" i="4"/>
  <c r="DE55" i="4"/>
  <c r="CX56" i="4"/>
  <c r="AQ57" i="4"/>
  <c r="BS56" i="4"/>
  <c r="CD55" i="4"/>
  <c r="DI55" i="4"/>
  <c r="DB55" i="4"/>
  <c r="DP55" i="4" s="1"/>
  <c r="DQ55" i="4" s="1"/>
  <c r="BW55" i="4"/>
  <c r="CQ56" i="4"/>
  <c r="AJ57" i="4"/>
  <c r="BL56" i="4"/>
  <c r="AI57" i="4"/>
  <c r="DM56" i="4"/>
  <c r="CH56" i="4"/>
  <c r="DC55" i="4"/>
  <c r="BX55" i="4"/>
  <c r="DN56" i="4"/>
  <c r="CI56" i="4"/>
  <c r="AY56" i="4"/>
  <c r="CC55" i="4"/>
  <c r="DH55" i="4"/>
  <c r="CP56" i="4"/>
  <c r="BK56" i="4"/>
  <c r="AZ56" i="4"/>
  <c r="CR56" i="4"/>
  <c r="BM56" i="4"/>
  <c r="BN56" i="4"/>
  <c r="CS56" i="4"/>
  <c r="AL57" i="4"/>
  <c r="CO56" i="4"/>
  <c r="AU57" i="4"/>
  <c r="AK57" i="4"/>
  <c r="AG57" i="4"/>
  <c r="AO57" i="4"/>
  <c r="BJ56" i="4"/>
  <c r="BI56" i="4"/>
  <c r="CN56" i="4"/>
  <c r="DA55" i="4"/>
  <c r="BA56" i="4"/>
  <c r="BV55" i="4"/>
  <c r="CK55" i="4" s="1"/>
  <c r="CL55" i="4" s="1"/>
  <c r="AT56" i="4"/>
  <c r="AY57" i="4" s="1"/>
  <c r="AR56" i="4"/>
  <c r="AV56" i="4"/>
  <c r="AS56" i="4"/>
  <c r="AF57" i="4"/>
  <c r="BH56" i="4"/>
  <c r="AD57" i="4"/>
  <c r="AM57" i="4"/>
  <c r="AE57" i="4"/>
  <c r="AH57" i="4"/>
  <c r="CM56" i="4"/>
  <c r="BF56" i="4"/>
  <c r="CZ56" i="4"/>
  <c r="BU56" i="4"/>
  <c r="CU56" i="4"/>
  <c r="BP56" i="4"/>
  <c r="CT56" i="4"/>
  <c r="BO56" i="4"/>
  <c r="DF56" i="4"/>
  <c r="CA56" i="4"/>
  <c r="BG55" i="4"/>
  <c r="AX56" i="4"/>
  <c r="AX57" i="4" s="1"/>
  <c r="BD57" i="4"/>
  <c r="CV56" i="4"/>
  <c r="AN57" i="4"/>
  <c r="AP57" i="4"/>
  <c r="BQ56" i="4"/>
  <c r="BC56" i="4"/>
  <c r="BE57" i="4" s="1"/>
  <c r="BR56" i="4"/>
  <c r="CW56" i="4"/>
  <c r="CE55" i="4"/>
  <c r="DJ55" i="4"/>
  <c r="CF55" i="4"/>
  <c r="DK55" i="4"/>
  <c r="BB56" i="4"/>
  <c r="DD55" i="4"/>
  <c r="BY55" i="4"/>
  <c r="DL55" i="4"/>
  <c r="CG55" i="4"/>
  <c r="CB12" i="8"/>
  <c r="AE13" i="8"/>
  <c r="CN13" i="8" s="1"/>
  <c r="AD13" i="8"/>
  <c r="CM13" i="8" s="1"/>
  <c r="BG12" i="8"/>
  <c r="AF13" i="8"/>
  <c r="CO13" i="8" s="1"/>
  <c r="AM13" i="8"/>
  <c r="CV13" i="8" s="1"/>
  <c r="AH13" i="8"/>
  <c r="CQ13" i="8" s="1"/>
  <c r="BF13" i="8"/>
  <c r="BH12" i="8"/>
  <c r="CI12" i="8"/>
  <c r="AY13" i="8"/>
  <c r="DH13" i="8" s="1"/>
  <c r="AU13" i="8"/>
  <c r="DD13" i="8" s="1"/>
  <c r="AG13" i="8"/>
  <c r="CP13" i="8" s="1"/>
  <c r="BC13" i="8"/>
  <c r="DL13" i="8" s="1"/>
  <c r="AO13" i="8"/>
  <c r="CX13" i="8" s="1"/>
  <c r="AK13" i="8"/>
  <c r="CT13" i="8" s="1"/>
  <c r="BJ12" i="8"/>
  <c r="DP11" i="8"/>
  <c r="DQ11" i="8" s="1"/>
  <c r="CH12" i="8"/>
  <c r="AU13" i="5"/>
  <c r="DD13" i="5" s="1"/>
  <c r="BX12" i="8"/>
  <c r="CG12" i="8"/>
  <c r="AS13" i="3"/>
  <c r="DB13" i="3" s="1"/>
  <c r="CA12" i="4"/>
  <c r="BW12" i="8"/>
  <c r="BO12" i="8"/>
  <c r="DO12" i="8"/>
  <c r="CJ12" i="8"/>
  <c r="CB12" i="4"/>
  <c r="BR12" i="8"/>
  <c r="BD13" i="8"/>
  <c r="DM13" i="8" s="1"/>
  <c r="BB13" i="8"/>
  <c r="DK13" i="8" s="1"/>
  <c r="AN13" i="8"/>
  <c r="CW13" i="8" s="1"/>
  <c r="AP13" i="8"/>
  <c r="CY13" i="8" s="1"/>
  <c r="BQ12" i="8"/>
  <c r="AW13" i="8"/>
  <c r="DF13" i="8" s="1"/>
  <c r="AJ13" i="8"/>
  <c r="CS13" i="8" s="1"/>
  <c r="AI13" i="8"/>
  <c r="CR13" i="8" s="1"/>
  <c r="AX13" i="8"/>
  <c r="DG13" i="8" s="1"/>
  <c r="BL12" i="8"/>
  <c r="CF12" i="8"/>
  <c r="BI12" i="8"/>
  <c r="BT12" i="8"/>
  <c r="BZ12" i="3"/>
  <c r="AQ13" i="5"/>
  <c r="CZ13" i="5" s="1"/>
  <c r="BP12" i="8"/>
  <c r="AV13" i="4"/>
  <c r="DE13" i="4" s="1"/>
  <c r="BU12" i="8"/>
  <c r="CD12" i="8"/>
  <c r="AS13" i="8"/>
  <c r="DB13" i="8" s="1"/>
  <c r="AR13" i="8"/>
  <c r="DA13" i="8" s="1"/>
  <c r="AT13" i="8"/>
  <c r="DC13" i="8" s="1"/>
  <c r="BA13" i="8"/>
  <c r="DJ13" i="8" s="1"/>
  <c r="AV13" i="8"/>
  <c r="DE13" i="8" s="1"/>
  <c r="BV12" i="8"/>
  <c r="BW12" i="3"/>
  <c r="BZ12" i="8"/>
  <c r="BB13" i="4"/>
  <c r="DK13" i="4" s="1"/>
  <c r="CB12" i="6"/>
  <c r="CC12" i="8"/>
  <c r="CE12" i="4"/>
  <c r="AW13" i="4"/>
  <c r="DF13" i="4" s="1"/>
  <c r="CE12" i="8"/>
  <c r="AQ13" i="8"/>
  <c r="CZ13" i="8" s="1"/>
  <c r="BE13" i="8"/>
  <c r="DN13" i="8" s="1"/>
  <c r="BS12" i="8"/>
  <c r="BA13" i="4"/>
  <c r="DJ13" i="4" s="1"/>
  <c r="CB12" i="5"/>
  <c r="AL13" i="8"/>
  <c r="CU13" i="8" s="1"/>
  <c r="AZ13" i="8"/>
  <c r="DI13" i="8" s="1"/>
  <c r="BN12" i="8"/>
  <c r="BY12" i="8"/>
  <c r="DP11" i="6"/>
  <c r="DQ11" i="6" s="1"/>
  <c r="BM12" i="8"/>
  <c r="AP13" i="6"/>
  <c r="CY13" i="6" s="1"/>
  <c r="CA12" i="8"/>
  <c r="CK11" i="8"/>
  <c r="CL11" i="8" s="1"/>
  <c r="BK12" i="8"/>
  <c r="DO12" i="6"/>
  <c r="DP12" i="6" s="1"/>
  <c r="DQ12" i="6" s="1"/>
  <c r="BE13" i="6"/>
  <c r="DN13" i="6" s="1"/>
  <c r="CK11" i="6"/>
  <c r="CL11" i="6" s="1"/>
  <c r="AY13" i="6"/>
  <c r="DH13" i="6" s="1"/>
  <c r="CH12" i="6"/>
  <c r="BZ12" i="6"/>
  <c r="AX13" i="6"/>
  <c r="DG13" i="6" s="1"/>
  <c r="BM13" i="6"/>
  <c r="CJ12" i="4"/>
  <c r="CE12" i="6"/>
  <c r="AL14" i="6"/>
  <c r="CU14" i="6" s="1"/>
  <c r="BN13" i="6"/>
  <c r="CG12" i="6"/>
  <c r="CC12" i="4"/>
  <c r="BA13" i="6"/>
  <c r="DJ13" i="6" s="1"/>
  <c r="AV13" i="6"/>
  <c r="DE13" i="6" s="1"/>
  <c r="AT13" i="6"/>
  <c r="DC13" i="6" s="1"/>
  <c r="AS13" i="6"/>
  <c r="DB13" i="6" s="1"/>
  <c r="AR13" i="6"/>
  <c r="DA13" i="6" s="1"/>
  <c r="BV12" i="6"/>
  <c r="CA13" i="6"/>
  <c r="CD12" i="5"/>
  <c r="AN14" i="6"/>
  <c r="CW14" i="6" s="1"/>
  <c r="BQ13" i="6"/>
  <c r="BW12" i="6"/>
  <c r="CF12" i="6"/>
  <c r="BF13" i="6"/>
  <c r="BO13" i="6"/>
  <c r="BX12" i="6"/>
  <c r="BG12" i="6"/>
  <c r="CC12" i="6"/>
  <c r="BK13" i="6"/>
  <c r="AF14" i="6"/>
  <c r="CO14" i="6" s="1"/>
  <c r="AE14" i="6"/>
  <c r="CN14" i="6" s="1"/>
  <c r="AD14" i="6"/>
  <c r="CM14" i="6" s="1"/>
  <c r="AM14" i="6"/>
  <c r="CV14" i="6" s="1"/>
  <c r="AH14" i="6"/>
  <c r="CQ14" i="6" s="1"/>
  <c r="BH13" i="6"/>
  <c r="BU13" i="6"/>
  <c r="BB13" i="6"/>
  <c r="DK13" i="6" s="1"/>
  <c r="BC13" i="6"/>
  <c r="BI13" i="6"/>
  <c r="BP13" i="6"/>
  <c r="BR13" i="6"/>
  <c r="AO14" i="6"/>
  <c r="CX14" i="6" s="1"/>
  <c r="AK14" i="6"/>
  <c r="CT14" i="6" s="1"/>
  <c r="AG14" i="6"/>
  <c r="CP14" i="6" s="1"/>
  <c r="BJ13" i="6"/>
  <c r="BY12" i="6"/>
  <c r="BD13" i="6"/>
  <c r="DM13" i="6" s="1"/>
  <c r="AQ14" i="6"/>
  <c r="CZ14" i="6" s="1"/>
  <c r="BS13" i="6"/>
  <c r="AJ14" i="6"/>
  <c r="CS14" i="6" s="1"/>
  <c r="AI14" i="6"/>
  <c r="CR14" i="6" s="1"/>
  <c r="BL13" i="6"/>
  <c r="CD12" i="4"/>
  <c r="AZ13" i="6"/>
  <c r="AU13" i="6"/>
  <c r="CK11" i="5"/>
  <c r="CL11" i="5" s="1"/>
  <c r="BF13" i="5"/>
  <c r="DO13" i="5" s="1"/>
  <c r="BG12" i="5"/>
  <c r="AX13" i="5"/>
  <c r="DG13" i="5" s="1"/>
  <c r="CC12" i="5"/>
  <c r="AJ14" i="5"/>
  <c r="CS14" i="5" s="1"/>
  <c r="AI14" i="5"/>
  <c r="CR14" i="5" s="1"/>
  <c r="BL13" i="5"/>
  <c r="BR13" i="5"/>
  <c r="CE12" i="5"/>
  <c r="BB13" i="5"/>
  <c r="DK13" i="5" s="1"/>
  <c r="BG12" i="4"/>
  <c r="CG12" i="5"/>
  <c r="AN14" i="5"/>
  <c r="CW14" i="5" s="1"/>
  <c r="BQ13" i="5"/>
  <c r="BD13" i="4"/>
  <c r="DM13" i="4" s="1"/>
  <c r="CG12" i="4"/>
  <c r="BX12" i="5"/>
  <c r="BC13" i="5"/>
  <c r="DL13" i="5" s="1"/>
  <c r="BD13" i="5"/>
  <c r="DM13" i="5" s="1"/>
  <c r="BY13" i="5"/>
  <c r="BR12" i="3"/>
  <c r="CF12" i="5"/>
  <c r="BO13" i="5"/>
  <c r="BJ12" i="3"/>
  <c r="AY13" i="4"/>
  <c r="DH13" i="4" s="1"/>
  <c r="CH12" i="4"/>
  <c r="BK13" i="5"/>
  <c r="AZ13" i="5"/>
  <c r="DI13" i="5" s="1"/>
  <c r="AW13" i="5"/>
  <c r="DF13" i="5" s="1"/>
  <c r="BI13" i="5"/>
  <c r="BW12" i="5"/>
  <c r="AX13" i="4"/>
  <c r="DG13" i="4" s="1"/>
  <c r="CH12" i="5"/>
  <c r="BP13" i="5"/>
  <c r="CJ12" i="5"/>
  <c r="DO12" i="5"/>
  <c r="DP12" i="5" s="1"/>
  <c r="DQ12" i="5" s="1"/>
  <c r="AY13" i="5"/>
  <c r="DH13" i="5" s="1"/>
  <c r="BM13" i="5"/>
  <c r="BC13" i="4"/>
  <c r="DL13" i="4" s="1"/>
  <c r="BY12" i="5"/>
  <c r="AL14" i="5"/>
  <c r="CU14" i="5" s="1"/>
  <c r="BN13" i="5"/>
  <c r="AR13" i="5"/>
  <c r="DA13" i="5" s="1"/>
  <c r="AV13" i="5"/>
  <c r="DE13" i="5" s="1"/>
  <c r="AT13" i="5"/>
  <c r="DC13" i="5" s="1"/>
  <c r="BA13" i="5"/>
  <c r="DJ13" i="5" s="1"/>
  <c r="AS13" i="5"/>
  <c r="DB13" i="5" s="1"/>
  <c r="BV12" i="5"/>
  <c r="BF13" i="4"/>
  <c r="DO13" i="4" s="1"/>
  <c r="BZ12" i="5"/>
  <c r="AZ13" i="4"/>
  <c r="DI13" i="4" s="1"/>
  <c r="BS13" i="5"/>
  <c r="AE14" i="5"/>
  <c r="CN14" i="5" s="1"/>
  <c r="AD14" i="5"/>
  <c r="CM14" i="5" s="1"/>
  <c r="AM14" i="5"/>
  <c r="CV14" i="5" s="1"/>
  <c r="AF14" i="5"/>
  <c r="CO14" i="5" s="1"/>
  <c r="AH14" i="5"/>
  <c r="CQ14" i="5" s="1"/>
  <c r="BH13" i="5"/>
  <c r="BE13" i="4"/>
  <c r="DN13" i="4" s="1"/>
  <c r="BE13" i="5"/>
  <c r="DN13" i="5" s="1"/>
  <c r="AG14" i="5"/>
  <c r="CP14" i="5" s="1"/>
  <c r="BJ13" i="5"/>
  <c r="CI12" i="3"/>
  <c r="DN12" i="3"/>
  <c r="CH12" i="3"/>
  <c r="DM12" i="3"/>
  <c r="BM12" i="3"/>
  <c r="CR12" i="3"/>
  <c r="BK12" i="3"/>
  <c r="CP12" i="3"/>
  <c r="CB12" i="3"/>
  <c r="DG12" i="3"/>
  <c r="BN12" i="3"/>
  <c r="CS12" i="3"/>
  <c r="CE12" i="3"/>
  <c r="DJ12" i="3"/>
  <c r="AN13" i="3"/>
  <c r="CW13" i="3" s="1"/>
  <c r="CV12" i="3"/>
  <c r="BR13" i="4"/>
  <c r="AM13" i="3"/>
  <c r="CV13" i="3" s="1"/>
  <c r="BP13" i="4"/>
  <c r="AO14" i="4"/>
  <c r="CX14" i="4" s="1"/>
  <c r="AK14" i="4"/>
  <c r="CT14" i="4" s="1"/>
  <c r="AU14" i="4"/>
  <c r="DD14" i="4" s="1"/>
  <c r="AG14" i="4"/>
  <c r="CP14" i="4" s="1"/>
  <c r="BJ13" i="4"/>
  <c r="AL14" i="4"/>
  <c r="CU14" i="4" s="1"/>
  <c r="BN13" i="4"/>
  <c r="BO13" i="4"/>
  <c r="AQ14" i="4"/>
  <c r="CZ14" i="4" s="1"/>
  <c r="BE14" i="4"/>
  <c r="DN14" i="4" s="1"/>
  <c r="BS13" i="4"/>
  <c r="CB13" i="4"/>
  <c r="BY13" i="4"/>
  <c r="CA13" i="4"/>
  <c r="BK13" i="4"/>
  <c r="BI13" i="4"/>
  <c r="AR14" i="4"/>
  <c r="DA14" i="4" s="1"/>
  <c r="AT14" i="4"/>
  <c r="DC14" i="4" s="1"/>
  <c r="AS14" i="4"/>
  <c r="DB14" i="4" s="1"/>
  <c r="BV13" i="4"/>
  <c r="AJ14" i="4"/>
  <c r="CS14" i="4" s="1"/>
  <c r="AI14" i="4"/>
  <c r="CR14" i="4" s="1"/>
  <c r="BL13" i="4"/>
  <c r="CI13" i="4"/>
  <c r="BT13" i="4"/>
  <c r="BT12" i="3"/>
  <c r="BW13" i="4"/>
  <c r="AP14" i="4"/>
  <c r="CY14" i="4" s="1"/>
  <c r="AN14" i="4"/>
  <c r="CW14" i="4" s="1"/>
  <c r="BQ13" i="4"/>
  <c r="AM14" i="4"/>
  <c r="CV14" i="4" s="1"/>
  <c r="AD14" i="4"/>
  <c r="CM14" i="4" s="1"/>
  <c r="AH14" i="4"/>
  <c r="CQ14" i="4" s="1"/>
  <c r="AF14" i="4"/>
  <c r="CO14" i="4" s="1"/>
  <c r="AE14" i="4"/>
  <c r="CN14" i="4" s="1"/>
  <c r="BH13" i="4"/>
  <c r="BM13" i="4"/>
  <c r="CE13" i="4"/>
  <c r="BU13" i="4"/>
  <c r="BX13" i="4"/>
  <c r="DP12" i="4"/>
  <c r="DQ12" i="4" s="1"/>
  <c r="AH13" i="3"/>
  <c r="BL13" i="3" s="1"/>
  <c r="BQ12" i="3"/>
  <c r="AF13" i="3"/>
  <c r="CO13" i="3" s="1"/>
  <c r="AG13" i="3"/>
  <c r="CP13" i="3" s="1"/>
  <c r="BB13" i="3"/>
  <c r="DK13" i="3" s="1"/>
  <c r="BA13" i="3"/>
  <c r="DJ13" i="3" s="1"/>
  <c r="BP12" i="3"/>
  <c r="AI13" i="3"/>
  <c r="CR13" i="3" s="1"/>
  <c r="AW13" i="3"/>
  <c r="DF13" i="3" s="1"/>
  <c r="BL12" i="3"/>
  <c r="CF12" i="3"/>
  <c r="AV13" i="3"/>
  <c r="DE13" i="3" s="1"/>
  <c r="CA12" i="3"/>
  <c r="AU13" i="3"/>
  <c r="DD13" i="3" s="1"/>
  <c r="BO12" i="3"/>
  <c r="BX12" i="3"/>
  <c r="AT13" i="3"/>
  <c r="CC12" i="3"/>
  <c r="BG12" i="3"/>
  <c r="CK11" i="3"/>
  <c r="CL11" i="3" s="1"/>
  <c r="AK13" i="3"/>
  <c r="AO13" i="3"/>
  <c r="BD13" i="3"/>
  <c r="BY12" i="3"/>
  <c r="DP11" i="3"/>
  <c r="DQ11" i="3" s="1"/>
  <c r="AP13" i="3"/>
  <c r="CG12" i="3"/>
  <c r="BS12" i="3"/>
  <c r="BE13" i="3"/>
  <c r="DN13" i="3" s="1"/>
  <c r="BU12" i="3"/>
  <c r="CJ12" i="3"/>
  <c r="AQ13" i="3"/>
  <c r="CZ13" i="3" s="1"/>
  <c r="AX13" i="3"/>
  <c r="CD12" i="3"/>
  <c r="AY13" i="3"/>
  <c r="DH13" i="3" s="1"/>
  <c r="AZ13" i="3"/>
  <c r="DI13" i="3" s="1"/>
  <c r="BF13" i="3"/>
  <c r="DO13" i="3" s="1"/>
  <c r="AL13" i="3"/>
  <c r="BC13" i="3"/>
  <c r="DL13" i="3" s="1"/>
  <c r="AJ13" i="3"/>
  <c r="CS13" i="3" s="1"/>
  <c r="DJ11" i="2"/>
  <c r="CE11" i="2"/>
  <c r="AE14" i="3"/>
  <c r="CN14" i="3" s="1"/>
  <c r="AD14" i="3"/>
  <c r="CM14" i="3" s="1"/>
  <c r="BH13" i="3"/>
  <c r="BI13" i="3"/>
  <c r="CM12" i="2"/>
  <c r="BH12" i="2"/>
  <c r="AR14" i="3"/>
  <c r="DA14" i="3" s="1"/>
  <c r="BV13" i="3"/>
  <c r="CO11" i="2"/>
  <c r="DA12" i="2"/>
  <c r="DB11" i="2"/>
  <c r="CN11" i="2"/>
  <c r="CK10" i="2"/>
  <c r="CL10" i="2" s="1"/>
  <c r="CP11" i="2"/>
  <c r="DD11" i="2"/>
  <c r="DC11" i="2"/>
  <c r="CV11" i="2"/>
  <c r="CY11" i="2"/>
  <c r="DF11" i="2"/>
  <c r="CR11" i="2"/>
  <c r="DH11" i="2"/>
  <c r="DI11" i="2"/>
  <c r="DG11" i="2"/>
  <c r="CQ11" i="2"/>
  <c r="DN11" i="2"/>
  <c r="DM11" i="2"/>
  <c r="DL11" i="2"/>
  <c r="CW11" i="2"/>
  <c r="CJ11" i="2"/>
  <c r="DO11" i="2"/>
  <c r="DP10" i="2"/>
  <c r="DQ10" i="2" s="1"/>
  <c r="CX11" i="2"/>
  <c r="DE11" i="2"/>
  <c r="CS11" i="2"/>
  <c r="DK11" i="2"/>
  <c r="CT11" i="2"/>
  <c r="CU11" i="2"/>
  <c r="CZ11" i="2"/>
  <c r="BG11" i="2"/>
  <c r="BB12" i="2"/>
  <c r="CF12" i="2" s="1"/>
  <c r="BF12" i="2"/>
  <c r="AT12" i="2"/>
  <c r="BX12" i="2" s="1"/>
  <c r="AS12" i="2"/>
  <c r="BW12" i="2" s="1"/>
  <c r="AR13" i="2"/>
  <c r="BV13" i="2" s="1"/>
  <c r="AX12" i="2"/>
  <c r="CB12" i="2" s="1"/>
  <c r="AW12" i="2"/>
  <c r="CA12" i="2" s="1"/>
  <c r="AH12" i="2"/>
  <c r="BL12" i="2" s="1"/>
  <c r="BE12" i="2"/>
  <c r="CI12" i="2" s="1"/>
  <c r="AQ12" i="2"/>
  <c r="BU12" i="2" s="1"/>
  <c r="AE12" i="2"/>
  <c r="AZ12" i="2"/>
  <c r="CD12" i="2" s="1"/>
  <c r="AP12" i="2"/>
  <c r="BT12" i="2" s="1"/>
  <c r="BA12" i="2"/>
  <c r="CE12" i="2" s="1"/>
  <c r="AU12" i="2"/>
  <c r="BY12" i="2" s="1"/>
  <c r="BC12" i="2"/>
  <c r="CG12" i="2" s="1"/>
  <c r="AY12" i="2"/>
  <c r="CC12" i="2" s="1"/>
  <c r="AV12" i="2"/>
  <c r="BZ12" i="2" s="1"/>
  <c r="BD12" i="2"/>
  <c r="CH12" i="2" s="1"/>
  <c r="AK12" i="2"/>
  <c r="BO12" i="2" s="1"/>
  <c r="AL12" i="2"/>
  <c r="BP12" i="2" s="1"/>
  <c r="AF12" i="2"/>
  <c r="BJ12" i="2" s="1"/>
  <c r="AD13" i="2"/>
  <c r="BH13" i="2" s="1"/>
  <c r="AN12" i="2"/>
  <c r="BR12" i="2" s="1"/>
  <c r="AO12" i="2"/>
  <c r="BS12" i="2" s="1"/>
  <c r="AG12" i="2"/>
  <c r="BK12" i="2" s="1"/>
  <c r="AI12" i="2"/>
  <c r="AJ12" i="2"/>
  <c r="BN12" i="2" s="1"/>
  <c r="AM12" i="2"/>
  <c r="DO57" i="8" l="1"/>
  <c r="CJ57" i="8"/>
  <c r="BI57" i="8"/>
  <c r="CN57" i="8"/>
  <c r="BZ56" i="8"/>
  <c r="DE56" i="8"/>
  <c r="AP58" i="8"/>
  <c r="CV57" i="8"/>
  <c r="BQ57" i="8"/>
  <c r="AN58" i="8"/>
  <c r="AV57" i="8"/>
  <c r="BG57" i="8" s="1"/>
  <c r="BA57" i="8"/>
  <c r="BB58" i="8" s="1"/>
  <c r="DA56" i="8"/>
  <c r="DP56" i="8" s="1"/>
  <c r="DQ56" i="8" s="1"/>
  <c r="BV56" i="8"/>
  <c r="AR57" i="8"/>
  <c r="AS57" i="8"/>
  <c r="AT57" i="8"/>
  <c r="AY58" i="8" s="1"/>
  <c r="CC56" i="8"/>
  <c r="DH56" i="8"/>
  <c r="BC57" i="8"/>
  <c r="BG56" i="8"/>
  <c r="CT57" i="8"/>
  <c r="BO57" i="8"/>
  <c r="DJ56" i="8"/>
  <c r="CE56" i="8"/>
  <c r="BL57" i="8"/>
  <c r="CQ57" i="8"/>
  <c r="AW58" i="8"/>
  <c r="AI58" i="8"/>
  <c r="AJ58" i="8"/>
  <c r="BS57" i="8"/>
  <c r="AQ58" i="8"/>
  <c r="CX57" i="8"/>
  <c r="BY56" i="8"/>
  <c r="DD56" i="8"/>
  <c r="AX57" i="8"/>
  <c r="AU57" i="8"/>
  <c r="CR57" i="8"/>
  <c r="BM57" i="8"/>
  <c r="CU57" i="8"/>
  <c r="BP57" i="8"/>
  <c r="AU58" i="8"/>
  <c r="CO57" i="8"/>
  <c r="AG58" i="8"/>
  <c r="AK58" i="8"/>
  <c r="AO58" i="8"/>
  <c r="BJ57" i="8"/>
  <c r="BW56" i="8"/>
  <c r="CK56" i="8" s="1"/>
  <c r="CL56" i="8" s="1"/>
  <c r="DB56" i="8"/>
  <c r="BK57" i="8"/>
  <c r="CP57" i="8"/>
  <c r="AW57" i="8"/>
  <c r="DI57" i="8"/>
  <c r="CD57" i="8"/>
  <c r="DK57" i="8"/>
  <c r="CF57" i="8"/>
  <c r="DO56" i="8"/>
  <c r="CJ56" i="8"/>
  <c r="BU57" i="8"/>
  <c r="CZ57" i="8"/>
  <c r="DL56" i="8"/>
  <c r="CG56" i="8"/>
  <c r="BT57" i="8"/>
  <c r="CY57" i="8"/>
  <c r="DM57" i="8"/>
  <c r="CH57" i="8"/>
  <c r="AD58" i="8"/>
  <c r="AE58" i="8"/>
  <c r="BH57" i="8"/>
  <c r="AF58" i="8"/>
  <c r="AH58" i="8"/>
  <c r="AM58" i="8"/>
  <c r="CM57" i="8"/>
  <c r="BX56" i="8"/>
  <c r="DC56" i="8"/>
  <c r="AY57" i="8"/>
  <c r="CS57" i="8"/>
  <c r="BN57" i="8"/>
  <c r="AL58" i="8"/>
  <c r="BE57" i="8"/>
  <c r="BR57" i="8"/>
  <c r="CW57" i="8"/>
  <c r="DI57" i="6"/>
  <c r="CD57" i="6"/>
  <c r="DF57" i="6"/>
  <c r="CA57" i="6"/>
  <c r="CH57" i="6"/>
  <c r="DM57" i="6"/>
  <c r="AY57" i="6"/>
  <c r="CP57" i="6"/>
  <c r="BK57" i="6"/>
  <c r="CU57" i="6"/>
  <c r="BP57" i="6"/>
  <c r="DL56" i="6"/>
  <c r="CG56" i="6"/>
  <c r="CW57" i="6"/>
  <c r="BR57" i="6"/>
  <c r="CK56" i="6"/>
  <c r="CL56" i="6" s="1"/>
  <c r="DH56" i="6"/>
  <c r="CC56" i="6"/>
  <c r="DM56" i="6"/>
  <c r="CH56" i="6"/>
  <c r="BT57" i="6"/>
  <c r="CY57" i="6"/>
  <c r="DD57" i="6"/>
  <c r="BY57" i="6"/>
  <c r="CT57" i="6"/>
  <c r="BO57" i="6"/>
  <c r="CR57" i="6"/>
  <c r="BM57" i="6"/>
  <c r="CN57" i="6"/>
  <c r="BI57" i="6"/>
  <c r="DB56" i="6"/>
  <c r="BW56" i="6"/>
  <c r="CS57" i="6"/>
  <c r="BN57" i="6"/>
  <c r="AL58" i="6"/>
  <c r="BC57" i="6"/>
  <c r="AX57" i="6"/>
  <c r="BC58" i="6" s="1"/>
  <c r="AD58" i="6"/>
  <c r="AE58" i="6"/>
  <c r="AF58" i="6"/>
  <c r="BH57" i="6"/>
  <c r="AH58" i="6"/>
  <c r="BG57" i="6"/>
  <c r="CM57" i="6"/>
  <c r="AM58" i="6"/>
  <c r="BF58" i="6"/>
  <c r="AV57" i="6"/>
  <c r="BV56" i="6"/>
  <c r="AR57" i="6"/>
  <c r="DA56" i="6"/>
  <c r="DP56" i="6" s="1"/>
  <c r="DQ56" i="6" s="1"/>
  <c r="BA57" i="6"/>
  <c r="AT57" i="6"/>
  <c r="AS57" i="6"/>
  <c r="CZ57" i="6"/>
  <c r="BU57" i="6"/>
  <c r="BG56" i="6"/>
  <c r="BS57" i="6"/>
  <c r="AQ58" i="6"/>
  <c r="CX57" i="6"/>
  <c r="BE58" i="6"/>
  <c r="BL57" i="6"/>
  <c r="AW58" i="6"/>
  <c r="CQ57" i="6"/>
  <c r="AJ58" i="6"/>
  <c r="AI58" i="6"/>
  <c r="DC56" i="6"/>
  <c r="BX56" i="6"/>
  <c r="BE57" i="6"/>
  <c r="DJ56" i="6"/>
  <c r="CE56" i="6"/>
  <c r="BB57" i="6"/>
  <c r="BB58" i="6"/>
  <c r="BQ57" i="6"/>
  <c r="AP58" i="6"/>
  <c r="AN58" i="6"/>
  <c r="CV57" i="6"/>
  <c r="BD58" i="6"/>
  <c r="BZ56" i="6"/>
  <c r="DE56" i="6"/>
  <c r="BF57" i="6"/>
  <c r="CD56" i="6"/>
  <c r="DI56" i="6"/>
  <c r="AU58" i="6"/>
  <c r="AG58" i="6"/>
  <c r="AK58" i="6"/>
  <c r="CO57" i="6"/>
  <c r="AY58" i="6"/>
  <c r="AO58" i="6"/>
  <c r="BJ57" i="6"/>
  <c r="BT13" i="6"/>
  <c r="AP14" i="6"/>
  <c r="CY14" i="6" s="1"/>
  <c r="CG57" i="5"/>
  <c r="DL57" i="5"/>
  <c r="DM57" i="5"/>
  <c r="CH57" i="5"/>
  <c r="DO56" i="5"/>
  <c r="CJ56" i="5"/>
  <c r="DN56" i="5"/>
  <c r="CI56" i="5"/>
  <c r="AU57" i="5"/>
  <c r="CG56" i="5"/>
  <c r="DL56" i="5"/>
  <c r="AI58" i="5"/>
  <c r="AJ58" i="5"/>
  <c r="CQ57" i="5"/>
  <c r="BL57" i="5"/>
  <c r="BQ57" i="5"/>
  <c r="AN58" i="5"/>
  <c r="AP58" i="5"/>
  <c r="CV57" i="5"/>
  <c r="CX57" i="5"/>
  <c r="BS57" i="5"/>
  <c r="AQ58" i="5"/>
  <c r="DE56" i="5"/>
  <c r="BZ56" i="5"/>
  <c r="DC56" i="5"/>
  <c r="BX56" i="5"/>
  <c r="BO57" i="5"/>
  <c r="CT57" i="5"/>
  <c r="BW56" i="5"/>
  <c r="DB56" i="5"/>
  <c r="DH56" i="5"/>
  <c r="CC56" i="5"/>
  <c r="AY57" i="5"/>
  <c r="BA57" i="5"/>
  <c r="DA56" i="5"/>
  <c r="DP56" i="5" s="1"/>
  <c r="DQ56" i="5" s="1"/>
  <c r="AR57" i="5"/>
  <c r="BV56" i="5"/>
  <c r="CK56" i="5" s="1"/>
  <c r="CL56" i="5" s="1"/>
  <c r="AS57" i="5"/>
  <c r="AT57" i="5"/>
  <c r="AV57" i="5"/>
  <c r="BG57" i="5" s="1"/>
  <c r="BU57" i="5"/>
  <c r="CZ57" i="5"/>
  <c r="CP57" i="5"/>
  <c r="BK57" i="5"/>
  <c r="DG56" i="5"/>
  <c r="CB56" i="5"/>
  <c r="AX57" i="5"/>
  <c r="BE57" i="5"/>
  <c r="BE58" i="5" s="1"/>
  <c r="CW57" i="5"/>
  <c r="BR57" i="5"/>
  <c r="BG56" i="5"/>
  <c r="DM56" i="5"/>
  <c r="CH56" i="5"/>
  <c r="CE56" i="5"/>
  <c r="DJ56" i="5"/>
  <c r="CS57" i="5"/>
  <c r="AZ58" i="5"/>
  <c r="BN57" i="5"/>
  <c r="AL58" i="5"/>
  <c r="CY57" i="5"/>
  <c r="BT57" i="5"/>
  <c r="BF57" i="5"/>
  <c r="CN57" i="5"/>
  <c r="BI57" i="5"/>
  <c r="BM57" i="5"/>
  <c r="CR57" i="5"/>
  <c r="BB57" i="5"/>
  <c r="AE58" i="5"/>
  <c r="AM58" i="5"/>
  <c r="CM57" i="5"/>
  <c r="BH57" i="5"/>
  <c r="AD58" i="5"/>
  <c r="AF58" i="5"/>
  <c r="AH58" i="5"/>
  <c r="AW57" i="5"/>
  <c r="DK56" i="5"/>
  <c r="CF56" i="5"/>
  <c r="CU57" i="5"/>
  <c r="BP57" i="5"/>
  <c r="AG58" i="5"/>
  <c r="AY58" i="5"/>
  <c r="AK58" i="5"/>
  <c r="BC58" i="5"/>
  <c r="AO58" i="5"/>
  <c r="CO57" i="5"/>
  <c r="BJ57" i="5"/>
  <c r="AZ57" i="5"/>
  <c r="BT13" i="5"/>
  <c r="AK14" i="5"/>
  <c r="CT14" i="5" s="1"/>
  <c r="AO14" i="5"/>
  <c r="CX14" i="5" s="1"/>
  <c r="CJ57" i="2"/>
  <c r="DO57" i="2"/>
  <c r="DH57" i="2"/>
  <c r="CC57" i="2"/>
  <c r="CD56" i="2"/>
  <c r="DI56" i="2"/>
  <c r="BK57" i="2"/>
  <c r="CP57" i="2"/>
  <c r="CY57" i="2"/>
  <c r="BT57" i="2"/>
  <c r="DJ56" i="2"/>
  <c r="CE56" i="2"/>
  <c r="BI57" i="2"/>
  <c r="CN57" i="2"/>
  <c r="CU57" i="2"/>
  <c r="BP57" i="2"/>
  <c r="AD58" i="2"/>
  <c r="AE58" i="2"/>
  <c r="AF58" i="2"/>
  <c r="AH58" i="2"/>
  <c r="CM57" i="2"/>
  <c r="BH57" i="2"/>
  <c r="AM58" i="2"/>
  <c r="DM57" i="2"/>
  <c r="CH57" i="2"/>
  <c r="CV57" i="2"/>
  <c r="AN58" i="2"/>
  <c r="BD58" i="2"/>
  <c r="BB58" i="2"/>
  <c r="AP58" i="2"/>
  <c r="BQ57" i="2"/>
  <c r="AV57" i="2"/>
  <c r="BA57" i="2"/>
  <c r="BV56" i="2"/>
  <c r="DA56" i="2"/>
  <c r="DP56" i="2" s="1"/>
  <c r="DQ56" i="2" s="1"/>
  <c r="AR57" i="2"/>
  <c r="BG57" i="2" s="1"/>
  <c r="AT57" i="2"/>
  <c r="AU58" i="2" s="1"/>
  <c r="AS57" i="2"/>
  <c r="BG56" i="2"/>
  <c r="BZ56" i="2"/>
  <c r="DE56" i="2"/>
  <c r="CZ57" i="2"/>
  <c r="BU57" i="2"/>
  <c r="CR57" i="2"/>
  <c r="BM57" i="2"/>
  <c r="CX57" i="2"/>
  <c r="BE58" i="2"/>
  <c r="AQ58" i="2"/>
  <c r="BS57" i="2"/>
  <c r="AX57" i="2"/>
  <c r="DL57" i="2"/>
  <c r="CG57" i="2"/>
  <c r="CW57" i="2"/>
  <c r="BR57" i="2"/>
  <c r="DK57" i="2"/>
  <c r="CF57" i="2"/>
  <c r="AZ57" i="2"/>
  <c r="BL57" i="2"/>
  <c r="AW58" i="2"/>
  <c r="AX58" i="2"/>
  <c r="AI58" i="2"/>
  <c r="CQ57" i="2"/>
  <c r="AJ58" i="2"/>
  <c r="AG58" i="2"/>
  <c r="BJ57" i="2"/>
  <c r="AO58" i="2"/>
  <c r="AY58" i="2"/>
  <c r="CO57" i="2"/>
  <c r="AK58" i="2"/>
  <c r="AW57" i="2"/>
  <c r="DL56" i="2"/>
  <c r="CG56" i="2"/>
  <c r="DN57" i="2"/>
  <c r="CI57" i="2"/>
  <c r="BW56" i="2"/>
  <c r="CK56" i="2" s="1"/>
  <c r="CL56" i="2" s="1"/>
  <c r="DB56" i="2"/>
  <c r="CT57" i="2"/>
  <c r="BO57" i="2"/>
  <c r="DD56" i="2"/>
  <c r="BY56" i="2"/>
  <c r="BY57" i="2"/>
  <c r="DD57" i="2"/>
  <c r="BX56" i="2"/>
  <c r="DC56" i="2"/>
  <c r="CS57" i="2"/>
  <c r="BN57" i="2"/>
  <c r="AL58" i="2"/>
  <c r="AZ58" i="2"/>
  <c r="DN56" i="2"/>
  <c r="CI56" i="2"/>
  <c r="DN57" i="4"/>
  <c r="CI57" i="4"/>
  <c r="CB57" i="4"/>
  <c r="DG57" i="4"/>
  <c r="DH57" i="4"/>
  <c r="CC57" i="4"/>
  <c r="DM57" i="4"/>
  <c r="CH57" i="4"/>
  <c r="CF56" i="4"/>
  <c r="DK56" i="4"/>
  <c r="BW56" i="4"/>
  <c r="DB56" i="4"/>
  <c r="DP56" i="4" s="1"/>
  <c r="DQ56" i="4" s="1"/>
  <c r="CZ57" i="4"/>
  <c r="BU57" i="4"/>
  <c r="BZ56" i="4"/>
  <c r="CK56" i="4" s="1"/>
  <c r="CL56" i="4" s="1"/>
  <c r="DE56" i="4"/>
  <c r="AV57" i="4"/>
  <c r="AT57" i="4"/>
  <c r="BV56" i="4"/>
  <c r="BA57" i="4"/>
  <c r="BD58" i="4" s="1"/>
  <c r="DA56" i="4"/>
  <c r="AR57" i="4"/>
  <c r="AS57" i="4"/>
  <c r="BF58" i="4" s="1"/>
  <c r="AZ57" i="4"/>
  <c r="CX57" i="4"/>
  <c r="BS57" i="4"/>
  <c r="AQ58" i="4"/>
  <c r="CC56" i="4"/>
  <c r="DH56" i="4"/>
  <c r="BY57" i="4"/>
  <c r="DD57" i="4"/>
  <c r="DJ56" i="4"/>
  <c r="CE56" i="4"/>
  <c r="CJ56" i="4"/>
  <c r="DO56" i="4"/>
  <c r="AW57" i="4"/>
  <c r="BB58" i="4"/>
  <c r="BQ57" i="4"/>
  <c r="AP58" i="4"/>
  <c r="CV57" i="4"/>
  <c r="AN58" i="4"/>
  <c r="BC57" i="4"/>
  <c r="BG57" i="4" s="1"/>
  <c r="AY58" i="4"/>
  <c r="AK58" i="4"/>
  <c r="BC58" i="4"/>
  <c r="BJ57" i="4"/>
  <c r="AG58" i="4"/>
  <c r="CO57" i="4"/>
  <c r="AO58" i="4"/>
  <c r="AU58" i="4"/>
  <c r="CW57" i="4"/>
  <c r="BR57" i="4"/>
  <c r="BL57" i="4"/>
  <c r="AI58" i="4"/>
  <c r="CQ57" i="4"/>
  <c r="AX58" i="4"/>
  <c r="AW58" i="4"/>
  <c r="AJ58" i="4"/>
  <c r="CD56" i="4"/>
  <c r="DI56" i="4"/>
  <c r="CS57" i="4"/>
  <c r="AL58" i="4"/>
  <c r="BN57" i="4"/>
  <c r="DG56" i="4"/>
  <c r="CB56" i="4"/>
  <c r="AD58" i="4"/>
  <c r="AH58" i="4"/>
  <c r="AM58" i="4"/>
  <c r="AE58" i="4"/>
  <c r="CM57" i="4"/>
  <c r="BH57" i="4"/>
  <c r="AF58" i="4"/>
  <c r="BK57" i="4"/>
  <c r="CP57" i="4"/>
  <c r="BG56" i="4"/>
  <c r="CU57" i="4"/>
  <c r="BP57" i="4"/>
  <c r="CR57" i="4"/>
  <c r="BM57" i="4"/>
  <c r="CN57" i="4"/>
  <c r="BI57" i="4"/>
  <c r="CT57" i="4"/>
  <c r="BO57" i="4"/>
  <c r="BX56" i="4"/>
  <c r="DC56" i="4"/>
  <c r="DL56" i="4"/>
  <c r="CG56" i="4"/>
  <c r="CY57" i="4"/>
  <c r="BT57" i="4"/>
  <c r="BB57" i="4"/>
  <c r="BF57" i="4"/>
  <c r="BY13" i="8"/>
  <c r="CJ13" i="8"/>
  <c r="DO13" i="8"/>
  <c r="BZ13" i="8"/>
  <c r="AJ14" i="8"/>
  <c r="CS14" i="8" s="1"/>
  <c r="AI14" i="8"/>
  <c r="CR14" i="8" s="1"/>
  <c r="AW14" i="8"/>
  <c r="DF14" i="8" s="1"/>
  <c r="AX14" i="8"/>
  <c r="DG14" i="8" s="1"/>
  <c r="BL13" i="8"/>
  <c r="BU13" i="8"/>
  <c r="AW14" i="6"/>
  <c r="DF14" i="6" s="1"/>
  <c r="BX13" i="8"/>
  <c r="BC14" i="8"/>
  <c r="DL14" i="8" s="1"/>
  <c r="AO14" i="8"/>
  <c r="CX14" i="8" s="1"/>
  <c r="AY14" i="8"/>
  <c r="DH14" i="8" s="1"/>
  <c r="AU14" i="8"/>
  <c r="DD14" i="8" s="1"/>
  <c r="AK14" i="8"/>
  <c r="CT14" i="8" s="1"/>
  <c r="AG14" i="8"/>
  <c r="CP14" i="8" s="1"/>
  <c r="BJ13" i="8"/>
  <c r="CC13" i="8"/>
  <c r="BW13" i="3"/>
  <c r="CH13" i="8"/>
  <c r="AP14" i="5"/>
  <c r="CY14" i="5" s="1"/>
  <c r="CI13" i="8"/>
  <c r="DP12" i="8"/>
  <c r="DQ12" i="8" s="1"/>
  <c r="BD14" i="8"/>
  <c r="DM14" i="8" s="1"/>
  <c r="AN14" i="8"/>
  <c r="CW14" i="8" s="1"/>
  <c r="BB14" i="8"/>
  <c r="DK14" i="8" s="1"/>
  <c r="AP14" i="8"/>
  <c r="CY14" i="8" s="1"/>
  <c r="BQ13" i="8"/>
  <c r="BA14" i="4"/>
  <c r="DJ14" i="4" s="1"/>
  <c r="BB14" i="4"/>
  <c r="DK14" i="4" s="1"/>
  <c r="AV14" i="8"/>
  <c r="DE14" i="8" s="1"/>
  <c r="AS14" i="8"/>
  <c r="DB14" i="8" s="1"/>
  <c r="AR14" i="8"/>
  <c r="DA14" i="8" s="1"/>
  <c r="AT14" i="8"/>
  <c r="DC14" i="8" s="1"/>
  <c r="BA14" i="8"/>
  <c r="DJ14" i="8" s="1"/>
  <c r="BV13" i="8"/>
  <c r="BK13" i="8"/>
  <c r="CD13" i="4"/>
  <c r="CA13" i="8"/>
  <c r="CD13" i="8"/>
  <c r="BT13" i="8"/>
  <c r="CK12" i="8"/>
  <c r="CL12" i="8" s="1"/>
  <c r="CF13" i="8"/>
  <c r="CI13" i="6"/>
  <c r="AS14" i="3"/>
  <c r="DB14" i="3" s="1"/>
  <c r="BO13" i="8"/>
  <c r="AM14" i="8"/>
  <c r="CV14" i="8" s="1"/>
  <c r="BF14" i="8"/>
  <c r="AF14" i="8"/>
  <c r="CO14" i="8" s="1"/>
  <c r="AE14" i="8"/>
  <c r="CN14" i="8" s="1"/>
  <c r="AH14" i="8"/>
  <c r="CQ14" i="8" s="1"/>
  <c r="BG13" i="8"/>
  <c r="AD14" i="8"/>
  <c r="CM14" i="8" s="1"/>
  <c r="BH13" i="8"/>
  <c r="CF13" i="4"/>
  <c r="BU13" i="5"/>
  <c r="CB13" i="8"/>
  <c r="AQ14" i="8"/>
  <c r="CZ14" i="8" s="1"/>
  <c r="BE14" i="8"/>
  <c r="DN14" i="8" s="1"/>
  <c r="BS13" i="8"/>
  <c r="BI13" i="8"/>
  <c r="AW14" i="4"/>
  <c r="DF14" i="4" s="1"/>
  <c r="BP13" i="8"/>
  <c r="AV14" i="4"/>
  <c r="DE14" i="4" s="1"/>
  <c r="BZ13" i="4"/>
  <c r="CC13" i="6"/>
  <c r="BW13" i="8"/>
  <c r="BM13" i="8"/>
  <c r="BR13" i="8"/>
  <c r="CE13" i="8"/>
  <c r="AQ14" i="5"/>
  <c r="CZ14" i="5" s="1"/>
  <c r="AZ14" i="8"/>
  <c r="DI14" i="8" s="1"/>
  <c r="AL14" i="8"/>
  <c r="CU14" i="8" s="1"/>
  <c r="BN13" i="8"/>
  <c r="CG13" i="8"/>
  <c r="CK12" i="6"/>
  <c r="CL12" i="6" s="1"/>
  <c r="AZ14" i="6"/>
  <c r="DI14" i="6" s="1"/>
  <c r="DI13" i="6"/>
  <c r="AY14" i="6"/>
  <c r="DH14" i="6" s="1"/>
  <c r="DD13" i="6"/>
  <c r="BD14" i="6"/>
  <c r="DM14" i="6" s="1"/>
  <c r="DL13" i="6"/>
  <c r="BO14" i="6"/>
  <c r="CJ13" i="4"/>
  <c r="BY13" i="6"/>
  <c r="CF13" i="6"/>
  <c r="BC14" i="6"/>
  <c r="AX14" i="6"/>
  <c r="AJ15" i="6"/>
  <c r="CS15" i="6" s="1"/>
  <c r="AI15" i="6"/>
  <c r="CR15" i="6" s="1"/>
  <c r="BL14" i="6"/>
  <c r="BM14" i="6"/>
  <c r="AQ15" i="6"/>
  <c r="CZ15" i="6" s="1"/>
  <c r="BS14" i="6"/>
  <c r="BG13" i="6"/>
  <c r="BT14" i="6"/>
  <c r="AL15" i="6"/>
  <c r="CU15" i="6" s="1"/>
  <c r="BN14" i="6"/>
  <c r="AU14" i="6"/>
  <c r="DD14" i="6" s="1"/>
  <c r="AV14" i="6"/>
  <c r="DE14" i="6" s="1"/>
  <c r="AT14" i="6"/>
  <c r="DC14" i="6" s="1"/>
  <c r="AS14" i="6"/>
  <c r="DB14" i="6" s="1"/>
  <c r="BA14" i="6"/>
  <c r="DJ14" i="6" s="1"/>
  <c r="AR14" i="6"/>
  <c r="DA14" i="6" s="1"/>
  <c r="BV13" i="6"/>
  <c r="BP14" i="6"/>
  <c r="CD13" i="6"/>
  <c r="AP15" i="6"/>
  <c r="CY15" i="6" s="1"/>
  <c r="AN15" i="6"/>
  <c r="CW15" i="6" s="1"/>
  <c r="BQ14" i="6"/>
  <c r="CJ13" i="6"/>
  <c r="DO13" i="6"/>
  <c r="BW13" i="6"/>
  <c r="CG13" i="6"/>
  <c r="BK14" i="6"/>
  <c r="BF14" i="6"/>
  <c r="BX13" i="6"/>
  <c r="CJ13" i="5"/>
  <c r="AH15" i="6"/>
  <c r="CQ15" i="6" s="1"/>
  <c r="AE15" i="6"/>
  <c r="CN15" i="6" s="1"/>
  <c r="AD15" i="6"/>
  <c r="CM15" i="6" s="1"/>
  <c r="AM15" i="6"/>
  <c r="CV15" i="6" s="1"/>
  <c r="AF15" i="6"/>
  <c r="CO15" i="6" s="1"/>
  <c r="BH14" i="6"/>
  <c r="BZ13" i="6"/>
  <c r="BG13" i="4"/>
  <c r="CK12" i="5"/>
  <c r="CL12" i="5" s="1"/>
  <c r="CB13" i="5"/>
  <c r="BE14" i="6"/>
  <c r="DN14" i="6" s="1"/>
  <c r="BI14" i="6"/>
  <c r="CK12" i="4"/>
  <c r="CL12" i="4" s="1"/>
  <c r="BU14" i="6"/>
  <c r="AO15" i="6"/>
  <c r="CX15" i="6" s="1"/>
  <c r="AK15" i="6"/>
  <c r="CT15" i="6" s="1"/>
  <c r="AG15" i="6"/>
  <c r="CP15" i="6" s="1"/>
  <c r="BJ14" i="6"/>
  <c r="CE13" i="6"/>
  <c r="BF14" i="4"/>
  <c r="DO14" i="4" s="1"/>
  <c r="AZ14" i="4"/>
  <c r="DI14" i="4" s="1"/>
  <c r="CH13" i="6"/>
  <c r="CB13" i="6"/>
  <c r="BB14" i="6"/>
  <c r="DK14" i="6" s="1"/>
  <c r="BR14" i="6"/>
  <c r="BB14" i="5"/>
  <c r="DK14" i="5" s="1"/>
  <c r="AY14" i="5"/>
  <c r="DH14" i="5" s="1"/>
  <c r="CA13" i="5"/>
  <c r="BO14" i="5"/>
  <c r="AM15" i="5"/>
  <c r="CV15" i="5" s="1"/>
  <c r="AH15" i="5"/>
  <c r="CQ15" i="5" s="1"/>
  <c r="AE15" i="5"/>
  <c r="CN15" i="5" s="1"/>
  <c r="AD15" i="5"/>
  <c r="CM15" i="5" s="1"/>
  <c r="AF15" i="5"/>
  <c r="CO15" i="5" s="1"/>
  <c r="BH14" i="5"/>
  <c r="BW13" i="5"/>
  <c r="CC13" i="5"/>
  <c r="BM14" i="5"/>
  <c r="BD14" i="4"/>
  <c r="DM14" i="4" s="1"/>
  <c r="CG13" i="4"/>
  <c r="BS14" i="5"/>
  <c r="BI14" i="5"/>
  <c r="CE13" i="5"/>
  <c r="BR14" i="5"/>
  <c r="AL15" i="5"/>
  <c r="CU15" i="5" s="1"/>
  <c r="BN14" i="5"/>
  <c r="CG13" i="5"/>
  <c r="AO15" i="5"/>
  <c r="CX15" i="5" s="1"/>
  <c r="AK15" i="5"/>
  <c r="CT15" i="5" s="1"/>
  <c r="AG15" i="5"/>
  <c r="CP15" i="5" s="1"/>
  <c r="BJ14" i="5"/>
  <c r="BX13" i="5"/>
  <c r="AW14" i="5"/>
  <c r="DF14" i="5" s="1"/>
  <c r="CC13" i="4"/>
  <c r="AY14" i="4"/>
  <c r="DH14" i="4" s="1"/>
  <c r="BK14" i="5"/>
  <c r="BZ13" i="5"/>
  <c r="BD14" i="5"/>
  <c r="DM14" i="5" s="1"/>
  <c r="AX14" i="5"/>
  <c r="DG14" i="5" s="1"/>
  <c r="AJ15" i="5"/>
  <c r="CS15" i="5" s="1"/>
  <c r="AI15" i="5"/>
  <c r="CR15" i="5" s="1"/>
  <c r="BL14" i="5"/>
  <c r="BU14" i="5"/>
  <c r="AU14" i="5"/>
  <c r="DD14" i="5" s="1"/>
  <c r="BE14" i="5"/>
  <c r="DN14" i="5" s="1"/>
  <c r="CD13" i="5"/>
  <c r="AF14" i="3"/>
  <c r="CO14" i="3" s="1"/>
  <c r="AT14" i="5"/>
  <c r="DC14" i="5" s="1"/>
  <c r="AR14" i="5"/>
  <c r="DA14" i="5" s="1"/>
  <c r="AV14" i="5"/>
  <c r="DE14" i="5" s="1"/>
  <c r="AS14" i="5"/>
  <c r="DB14" i="5" s="1"/>
  <c r="BA14" i="5"/>
  <c r="DJ14" i="5" s="1"/>
  <c r="DP13" i="5"/>
  <c r="DQ13" i="5" s="1"/>
  <c r="BV13" i="5"/>
  <c r="BC14" i="4"/>
  <c r="DL14" i="4" s="1"/>
  <c r="CI13" i="5"/>
  <c r="BP14" i="5"/>
  <c r="CH13" i="5"/>
  <c r="BF14" i="5"/>
  <c r="CF13" i="3"/>
  <c r="AZ14" i="5"/>
  <c r="DI14" i="5" s="1"/>
  <c r="BG13" i="5"/>
  <c r="BQ13" i="3"/>
  <c r="AN15" i="5"/>
  <c r="CW15" i="5" s="1"/>
  <c r="BQ14" i="5"/>
  <c r="BC14" i="5"/>
  <c r="DL14" i="5" s="1"/>
  <c r="BJ13" i="3"/>
  <c r="AX14" i="4"/>
  <c r="DG14" i="4" s="1"/>
  <c r="CH13" i="4"/>
  <c r="CF13" i="5"/>
  <c r="BK13" i="3"/>
  <c r="BM13" i="3"/>
  <c r="BX13" i="3"/>
  <c r="DC13" i="3"/>
  <c r="CH13" i="3"/>
  <c r="DM13" i="3"/>
  <c r="BR13" i="3"/>
  <c r="BP13" i="3"/>
  <c r="CU13" i="3"/>
  <c r="BS13" i="3"/>
  <c r="CX13" i="3"/>
  <c r="CB13" i="3"/>
  <c r="DG13" i="3"/>
  <c r="BT13" i="3"/>
  <c r="CY13" i="3"/>
  <c r="BO13" i="3"/>
  <c r="CT13" i="3"/>
  <c r="AM14" i="3"/>
  <c r="CV14" i="3" s="1"/>
  <c r="CQ13" i="3"/>
  <c r="AN14" i="3"/>
  <c r="CW14" i="3" s="1"/>
  <c r="BM14" i="4"/>
  <c r="AM15" i="4"/>
  <c r="CV15" i="4" s="1"/>
  <c r="AH15" i="4"/>
  <c r="CQ15" i="4" s="1"/>
  <c r="AE15" i="4"/>
  <c r="CN15" i="4" s="1"/>
  <c r="AF15" i="4"/>
  <c r="CO15" i="4" s="1"/>
  <c r="AD15" i="4"/>
  <c r="CM15" i="4" s="1"/>
  <c r="BH14" i="4"/>
  <c r="AQ15" i="4"/>
  <c r="CZ15" i="4" s="1"/>
  <c r="BS14" i="4"/>
  <c r="BY14" i="4"/>
  <c r="CA14" i="4"/>
  <c r="BP14" i="4"/>
  <c r="AH14" i="3"/>
  <c r="CF14" i="4"/>
  <c r="BR14" i="4"/>
  <c r="AL15" i="4"/>
  <c r="CU15" i="4" s="1"/>
  <c r="BN14" i="4"/>
  <c r="BZ14" i="4"/>
  <c r="DP13" i="4"/>
  <c r="DQ13" i="4" s="1"/>
  <c r="CI14" i="4"/>
  <c r="BU14" i="4"/>
  <c r="BT14" i="4"/>
  <c r="BW14" i="4"/>
  <c r="AN15" i="4"/>
  <c r="CW15" i="4" s="1"/>
  <c r="AP15" i="4"/>
  <c r="CY15" i="4" s="1"/>
  <c r="BQ14" i="4"/>
  <c r="BI14" i="4"/>
  <c r="BX14" i="4"/>
  <c r="BA15" i="4"/>
  <c r="DJ15" i="4" s="1"/>
  <c r="AV15" i="4"/>
  <c r="DE15" i="4" s="1"/>
  <c r="AT15" i="4"/>
  <c r="DC15" i="4" s="1"/>
  <c r="AR15" i="4"/>
  <c r="DA15" i="4" s="1"/>
  <c r="AS15" i="4"/>
  <c r="DB15" i="4" s="1"/>
  <c r="BV14" i="4"/>
  <c r="AU15" i="4"/>
  <c r="DD15" i="4" s="1"/>
  <c r="AK15" i="4"/>
  <c r="CT15" i="4" s="1"/>
  <c r="AG15" i="4"/>
  <c r="CP15" i="4" s="1"/>
  <c r="AO15" i="4"/>
  <c r="CX15" i="4" s="1"/>
  <c r="BJ14" i="4"/>
  <c r="BO14" i="4"/>
  <c r="AJ15" i="4"/>
  <c r="CS15" i="4" s="1"/>
  <c r="AI15" i="4"/>
  <c r="CR15" i="4" s="1"/>
  <c r="AW15" i="4"/>
  <c r="DF15" i="4" s="1"/>
  <c r="BL14" i="4"/>
  <c r="BK14" i="4"/>
  <c r="AV14" i="3"/>
  <c r="DE14" i="3" s="1"/>
  <c r="BB14" i="3"/>
  <c r="DK14" i="3" s="1"/>
  <c r="AG14" i="3"/>
  <c r="CE13" i="3"/>
  <c r="AW14" i="3"/>
  <c r="AI14" i="3"/>
  <c r="CR14" i="3" s="1"/>
  <c r="BZ13" i="3"/>
  <c r="BA14" i="3"/>
  <c r="DJ14" i="3" s="1"/>
  <c r="BY13" i="3"/>
  <c r="CA13" i="3"/>
  <c r="BN13" i="3"/>
  <c r="AU14" i="3"/>
  <c r="DD14" i="3" s="1"/>
  <c r="AT14" i="3"/>
  <c r="DC14" i="3" s="1"/>
  <c r="BU13" i="3"/>
  <c r="CK12" i="3"/>
  <c r="CL12" i="3" s="1"/>
  <c r="AQ14" i="3"/>
  <c r="CZ14" i="3" s="1"/>
  <c r="AL14" i="3"/>
  <c r="CI13" i="3"/>
  <c r="BF14" i="3"/>
  <c r="DO14" i="3" s="1"/>
  <c r="BE14" i="3"/>
  <c r="CG13" i="3"/>
  <c r="AZ14" i="3"/>
  <c r="DI14" i="3" s="1"/>
  <c r="DP12" i="3"/>
  <c r="DQ12" i="3" s="1"/>
  <c r="CC13" i="3"/>
  <c r="BG13" i="3"/>
  <c r="AY14" i="3"/>
  <c r="DH14" i="3" s="1"/>
  <c r="AP14" i="3"/>
  <c r="AX14" i="3"/>
  <c r="DG14" i="3" s="1"/>
  <c r="BD14" i="3"/>
  <c r="DM14" i="3" s="1"/>
  <c r="CD13" i="3"/>
  <c r="CJ13" i="3"/>
  <c r="AJ14" i="3"/>
  <c r="CS14" i="3" s="1"/>
  <c r="AO14" i="3"/>
  <c r="CX14" i="3" s="1"/>
  <c r="BC14" i="3"/>
  <c r="DL14" i="3" s="1"/>
  <c r="AK14" i="3"/>
  <c r="CT14" i="3" s="1"/>
  <c r="CV12" i="2"/>
  <c r="BQ12" i="2"/>
  <c r="CR12" i="2"/>
  <c r="BM12" i="2"/>
  <c r="CN12" i="2"/>
  <c r="BI12" i="2"/>
  <c r="AR15" i="3"/>
  <c r="DA15" i="3" s="1"/>
  <c r="BV14" i="3"/>
  <c r="AD15" i="3"/>
  <c r="CM15" i="3" s="1"/>
  <c r="AE15" i="3"/>
  <c r="CN15" i="3" s="1"/>
  <c r="BH14" i="3"/>
  <c r="BI14" i="3"/>
  <c r="CP12" i="2"/>
  <c r="DP11" i="2"/>
  <c r="DQ11" i="2" s="1"/>
  <c r="AD14" i="2"/>
  <c r="BH14" i="2" s="1"/>
  <c r="CM13" i="2"/>
  <c r="CO12" i="2"/>
  <c r="DA13" i="2"/>
  <c r="AR14" i="2"/>
  <c r="BV14" i="2" s="1"/>
  <c r="DB12" i="2"/>
  <c r="DC12" i="2"/>
  <c r="DD12" i="2"/>
  <c r="DF12" i="2"/>
  <c r="CJ12" i="2"/>
  <c r="DO12" i="2"/>
  <c r="CW12" i="2"/>
  <c r="CT12" i="2"/>
  <c r="DL12" i="2"/>
  <c r="AH13" i="2"/>
  <c r="BL13" i="2" s="1"/>
  <c r="AM13" i="2"/>
  <c r="BQ13" i="2" s="1"/>
  <c r="BA13" i="2"/>
  <c r="CQ12" i="2"/>
  <c r="AI13" i="2"/>
  <c r="AW13" i="2"/>
  <c r="AV13" i="2"/>
  <c r="CU12" i="2"/>
  <c r="DM12" i="2"/>
  <c r="DK12" i="2"/>
  <c r="DJ12" i="2"/>
  <c r="DN12" i="2"/>
  <c r="DI12" i="2"/>
  <c r="DG12" i="2"/>
  <c r="DH12" i="2"/>
  <c r="CY12" i="2"/>
  <c r="CX12" i="2"/>
  <c r="DE12" i="2"/>
  <c r="CK11" i="2"/>
  <c r="CL11" i="2" s="1"/>
  <c r="BC13" i="2"/>
  <c r="AZ13" i="2"/>
  <c r="AL13" i="2"/>
  <c r="AY13" i="2"/>
  <c r="AK13" i="2"/>
  <c r="BO13" i="2" s="1"/>
  <c r="AO13" i="2"/>
  <c r="BS13" i="2" s="1"/>
  <c r="CS12" i="2"/>
  <c r="CZ12" i="2"/>
  <c r="BG12" i="2"/>
  <c r="AS13" i="2"/>
  <c r="BW13" i="2" s="1"/>
  <c r="AP13" i="2"/>
  <c r="BT13" i="2" s="1"/>
  <c r="BB13" i="2"/>
  <c r="CF13" i="2" s="1"/>
  <c r="AU13" i="2"/>
  <c r="BY13" i="2" s="1"/>
  <c r="BF13" i="2"/>
  <c r="AE13" i="2"/>
  <c r="BE13" i="2"/>
  <c r="CI13" i="2" s="1"/>
  <c r="AQ13" i="2"/>
  <c r="BU13" i="2" s="1"/>
  <c r="AX13" i="2"/>
  <c r="CB13" i="2" s="1"/>
  <c r="BD13" i="2"/>
  <c r="CH13" i="2" s="1"/>
  <c r="AT13" i="2"/>
  <c r="BX13" i="2" s="1"/>
  <c r="AJ13" i="2"/>
  <c r="BN13" i="2" s="1"/>
  <c r="AF13" i="2"/>
  <c r="BJ13" i="2" s="1"/>
  <c r="AN13" i="2"/>
  <c r="AG13" i="2"/>
  <c r="BK13" i="2" s="1"/>
  <c r="DK58" i="8" l="1"/>
  <c r="CF58" i="8"/>
  <c r="DH58" i="8"/>
  <c r="CC58" i="8"/>
  <c r="BJ58" i="8"/>
  <c r="AG59" i="8"/>
  <c r="AO59" i="8"/>
  <c r="AK59" i="8"/>
  <c r="CO58" i="8"/>
  <c r="AU59" i="8"/>
  <c r="DH57" i="8"/>
  <c r="CC57" i="8"/>
  <c r="BE59" i="8"/>
  <c r="BS58" i="8"/>
  <c r="CX58" i="8"/>
  <c r="AQ59" i="8"/>
  <c r="BC58" i="8"/>
  <c r="BU58" i="8"/>
  <c r="CZ58" i="8"/>
  <c r="DD58" i="8"/>
  <c r="BY58" i="8"/>
  <c r="CW58" i="8"/>
  <c r="BR58" i="8"/>
  <c r="AL59" i="8"/>
  <c r="BN58" i="8"/>
  <c r="CS58" i="8"/>
  <c r="BW57" i="8"/>
  <c r="CK57" i="8" s="1"/>
  <c r="CL57" i="8" s="1"/>
  <c r="DB57" i="8"/>
  <c r="DF58" i="8"/>
  <c r="CA58" i="8"/>
  <c r="BZ57" i="8"/>
  <c r="DE57" i="8"/>
  <c r="CA57" i="8"/>
  <c r="DF57" i="8"/>
  <c r="CI57" i="8"/>
  <c r="DN57" i="8"/>
  <c r="CM58" i="8"/>
  <c r="AD59" i="8"/>
  <c r="AF59" i="8"/>
  <c r="AH59" i="8"/>
  <c r="AM59" i="8"/>
  <c r="BH58" i="8"/>
  <c r="AE59" i="8"/>
  <c r="CB57" i="8"/>
  <c r="DG57" i="8"/>
  <c r="CY58" i="8"/>
  <c r="BT58" i="8"/>
  <c r="DC57" i="8"/>
  <c r="BX57" i="8"/>
  <c r="BD59" i="8"/>
  <c r="BQ58" i="8"/>
  <c r="AP59" i="8"/>
  <c r="AN59" i="8"/>
  <c r="CV58" i="8"/>
  <c r="CP58" i="8"/>
  <c r="BK58" i="8"/>
  <c r="BM58" i="8"/>
  <c r="CR58" i="8"/>
  <c r="AT58" i="8"/>
  <c r="AY59" i="8" s="1"/>
  <c r="AS58" i="8"/>
  <c r="BV57" i="8"/>
  <c r="BA58" i="8"/>
  <c r="BB59" i="8" s="1"/>
  <c r="AV58" i="8"/>
  <c r="AW59" i="8" s="1"/>
  <c r="DA57" i="8"/>
  <c r="DP57" i="8" s="1"/>
  <c r="DQ57" i="8" s="1"/>
  <c r="AR58" i="8"/>
  <c r="BG58" i="8" s="1"/>
  <c r="CQ58" i="8"/>
  <c r="BL58" i="8"/>
  <c r="AJ59" i="8"/>
  <c r="AI59" i="8"/>
  <c r="DJ57" i="8"/>
  <c r="CE57" i="8"/>
  <c r="BD58" i="8"/>
  <c r="CN58" i="8"/>
  <c r="BI58" i="8"/>
  <c r="BY57" i="8"/>
  <c r="DD57" i="8"/>
  <c r="BP58" i="8"/>
  <c r="CU58" i="8"/>
  <c r="AZ58" i="8"/>
  <c r="CG57" i="8"/>
  <c r="DL57" i="8"/>
  <c r="BE58" i="8"/>
  <c r="BO58" i="8"/>
  <c r="CT58" i="8"/>
  <c r="BF58" i="8"/>
  <c r="AX58" i="8"/>
  <c r="AZ59" i="8" s="1"/>
  <c r="CG58" i="6"/>
  <c r="DL58" i="6"/>
  <c r="DF58" i="6"/>
  <c r="CA58" i="6"/>
  <c r="BR58" i="6"/>
  <c r="CW58" i="6"/>
  <c r="BT58" i="6"/>
  <c r="CY58" i="6"/>
  <c r="CZ58" i="6"/>
  <c r="BU58" i="6"/>
  <c r="DH58" i="6"/>
  <c r="CC58" i="6"/>
  <c r="DK58" i="6"/>
  <c r="CF58" i="6"/>
  <c r="DK57" i="6"/>
  <c r="CF57" i="6"/>
  <c r="BJ58" i="6"/>
  <c r="AK59" i="6"/>
  <c r="CO58" i="6"/>
  <c r="AG59" i="6"/>
  <c r="AO59" i="6"/>
  <c r="CN58" i="6"/>
  <c r="BI58" i="6"/>
  <c r="BE59" i="6"/>
  <c r="AQ59" i="6"/>
  <c r="CX58" i="6"/>
  <c r="BS58" i="6"/>
  <c r="CT58" i="6"/>
  <c r="BO58" i="6"/>
  <c r="AD59" i="6"/>
  <c r="AH59" i="6"/>
  <c r="BH58" i="6"/>
  <c r="AM59" i="6"/>
  <c r="AF59" i="6"/>
  <c r="AE59" i="6"/>
  <c r="CM58" i="6"/>
  <c r="CP58" i="6"/>
  <c r="BK58" i="6"/>
  <c r="CB57" i="6"/>
  <c r="DG57" i="6"/>
  <c r="DC57" i="6"/>
  <c r="BX57" i="6"/>
  <c r="CK57" i="6" s="1"/>
  <c r="CL57" i="6" s="1"/>
  <c r="CR58" i="6"/>
  <c r="BM58" i="6"/>
  <c r="CU58" i="6"/>
  <c r="BP58" i="6"/>
  <c r="AP59" i="6"/>
  <c r="BQ58" i="6"/>
  <c r="BB59" i="6"/>
  <c r="CV58" i="6"/>
  <c r="AN59" i="6"/>
  <c r="DB57" i="6"/>
  <c r="BW57" i="6"/>
  <c r="DL57" i="6"/>
  <c r="CG57" i="6"/>
  <c r="AZ58" i="6"/>
  <c r="AZ59" i="6" s="1"/>
  <c r="CJ57" i="6"/>
  <c r="DO57" i="6"/>
  <c r="CS58" i="6"/>
  <c r="AL59" i="6"/>
  <c r="BN58" i="6"/>
  <c r="AT58" i="6"/>
  <c r="AV58" i="6"/>
  <c r="AS58" i="6"/>
  <c r="AR58" i="6"/>
  <c r="BA58" i="6"/>
  <c r="DA57" i="6"/>
  <c r="DP57" i="6" s="1"/>
  <c r="DQ57" i="6" s="1"/>
  <c r="BV57" i="6"/>
  <c r="DO58" i="6"/>
  <c r="CJ58" i="6"/>
  <c r="DN58" i="6"/>
  <c r="CI58" i="6"/>
  <c r="CQ58" i="6"/>
  <c r="BL58" i="6"/>
  <c r="AI59" i="6"/>
  <c r="AJ59" i="6"/>
  <c r="DH57" i="6"/>
  <c r="CC57" i="6"/>
  <c r="CH58" i="6"/>
  <c r="DM58" i="6"/>
  <c r="DN57" i="6"/>
  <c r="CI57" i="6"/>
  <c r="DD58" i="6"/>
  <c r="BY58" i="6"/>
  <c r="DJ57" i="6"/>
  <c r="CE57" i="6"/>
  <c r="AX58" i="6"/>
  <c r="DE57" i="6"/>
  <c r="BZ57" i="6"/>
  <c r="DP13" i="6"/>
  <c r="DQ13" i="6" s="1"/>
  <c r="CI58" i="5"/>
  <c r="DN58" i="5"/>
  <c r="AL59" i="5"/>
  <c r="BN58" i="5"/>
  <c r="CS58" i="5"/>
  <c r="BS58" i="5"/>
  <c r="CX58" i="5"/>
  <c r="AQ59" i="5"/>
  <c r="DC57" i="5"/>
  <c r="DP57" i="5" s="1"/>
  <c r="DQ57" i="5" s="1"/>
  <c r="BX57" i="5"/>
  <c r="AW58" i="5"/>
  <c r="DL58" i="5"/>
  <c r="CG58" i="5"/>
  <c r="DB57" i="5"/>
  <c r="BW57" i="5"/>
  <c r="CZ58" i="5"/>
  <c r="BU58" i="5"/>
  <c r="BO58" i="5"/>
  <c r="CT58" i="5"/>
  <c r="CV58" i="5"/>
  <c r="BQ58" i="5"/>
  <c r="AN59" i="5"/>
  <c r="AP59" i="5"/>
  <c r="CC58" i="5"/>
  <c r="DH58" i="5"/>
  <c r="CN58" i="5"/>
  <c r="BI58" i="5"/>
  <c r="BA58" i="5"/>
  <c r="DA57" i="5"/>
  <c r="BV57" i="5"/>
  <c r="AR58" i="5"/>
  <c r="AS58" i="5"/>
  <c r="AT58" i="5"/>
  <c r="AV58" i="5"/>
  <c r="BY57" i="5"/>
  <c r="DD57" i="5"/>
  <c r="BK58" i="5"/>
  <c r="CP58" i="5"/>
  <c r="DK57" i="5"/>
  <c r="CF57" i="5"/>
  <c r="BM58" i="5"/>
  <c r="CR58" i="5"/>
  <c r="AU58" i="5"/>
  <c r="CE57" i="5"/>
  <c r="DJ57" i="5"/>
  <c r="DE57" i="5"/>
  <c r="BZ57" i="5"/>
  <c r="CC57" i="5"/>
  <c r="DH57" i="5"/>
  <c r="BB58" i="5"/>
  <c r="BD59" i="5" s="1"/>
  <c r="BF58" i="5"/>
  <c r="DN57" i="5"/>
  <c r="CI57" i="5"/>
  <c r="CY58" i="5"/>
  <c r="BT58" i="5"/>
  <c r="DG57" i="5"/>
  <c r="CB57" i="5"/>
  <c r="BD58" i="5"/>
  <c r="BE59" i="5" s="1"/>
  <c r="DO57" i="5"/>
  <c r="CJ57" i="5"/>
  <c r="CW58" i="5"/>
  <c r="BR58" i="5"/>
  <c r="CD58" i="5"/>
  <c r="DI58" i="5"/>
  <c r="DF57" i="5"/>
  <c r="CA57" i="5"/>
  <c r="CQ58" i="5"/>
  <c r="AI59" i="5"/>
  <c r="AJ59" i="5"/>
  <c r="BL58" i="5"/>
  <c r="CK57" i="5"/>
  <c r="CL57" i="5" s="1"/>
  <c r="AG59" i="5"/>
  <c r="AK59" i="5"/>
  <c r="AO59" i="5"/>
  <c r="CO58" i="5"/>
  <c r="BJ58" i="5"/>
  <c r="CU58" i="5"/>
  <c r="BP58" i="5"/>
  <c r="DI57" i="5"/>
  <c r="CD57" i="5"/>
  <c r="AH59" i="5"/>
  <c r="AD59" i="5"/>
  <c r="AE59" i="5"/>
  <c r="AF59" i="5"/>
  <c r="AM59" i="5"/>
  <c r="CM58" i="5"/>
  <c r="BH58" i="5"/>
  <c r="AX58" i="5"/>
  <c r="AZ59" i="5" s="1"/>
  <c r="BT14" i="5"/>
  <c r="AP15" i="5"/>
  <c r="CY15" i="5" s="1"/>
  <c r="BY58" i="2"/>
  <c r="DD58" i="2"/>
  <c r="CH58" i="2"/>
  <c r="DM58" i="2"/>
  <c r="CW58" i="2"/>
  <c r="BR58" i="2"/>
  <c r="CA57" i="2"/>
  <c r="DF57" i="2"/>
  <c r="CT58" i="2"/>
  <c r="BO58" i="2"/>
  <c r="DF58" i="2"/>
  <c r="CA58" i="2"/>
  <c r="DI57" i="2"/>
  <c r="CD57" i="2"/>
  <c r="BT58" i="2"/>
  <c r="CY58" i="2"/>
  <c r="BP58" i="2"/>
  <c r="CU58" i="2"/>
  <c r="AQ59" i="2"/>
  <c r="CX58" i="2"/>
  <c r="BS58" i="2"/>
  <c r="CP58" i="2"/>
  <c r="BK58" i="2"/>
  <c r="CQ58" i="2"/>
  <c r="BL58" i="2"/>
  <c r="AI59" i="2"/>
  <c r="AJ59" i="2"/>
  <c r="CR58" i="2"/>
  <c r="BM58" i="2"/>
  <c r="CF58" i="2"/>
  <c r="DK58" i="2"/>
  <c r="DB57" i="2"/>
  <c r="BW57" i="2"/>
  <c r="BC58" i="2"/>
  <c r="CZ58" i="2"/>
  <c r="BU58" i="2"/>
  <c r="DJ57" i="2"/>
  <c r="CE57" i="2"/>
  <c r="BJ58" i="2"/>
  <c r="AG59" i="2"/>
  <c r="AO59" i="2"/>
  <c r="AK59" i="2"/>
  <c r="CO58" i="2"/>
  <c r="DI58" i="2"/>
  <c r="CD58" i="2"/>
  <c r="BB59" i="2"/>
  <c r="BQ58" i="2"/>
  <c r="AP59" i="2"/>
  <c r="AN59" i="2"/>
  <c r="CV58" i="2"/>
  <c r="CB57" i="2"/>
  <c r="DG57" i="2"/>
  <c r="CS58" i="2"/>
  <c r="BN58" i="2"/>
  <c r="AL59" i="2"/>
  <c r="AZ59" i="2"/>
  <c r="DN58" i="2"/>
  <c r="CI58" i="2"/>
  <c r="BZ57" i="2"/>
  <c r="DE57" i="2"/>
  <c r="CN58" i="2"/>
  <c r="BI58" i="2"/>
  <c r="DG58" i="2"/>
  <c r="CB58" i="2"/>
  <c r="DH58" i="2"/>
  <c r="CC58" i="2"/>
  <c r="BX57" i="2"/>
  <c r="DC57" i="2"/>
  <c r="DP57" i="2" s="1"/>
  <c r="DQ57" i="2" s="1"/>
  <c r="AT58" i="2"/>
  <c r="AV58" i="2"/>
  <c r="BV57" i="2"/>
  <c r="CK57" i="2" s="1"/>
  <c r="CL57" i="2" s="1"/>
  <c r="BA58" i="2"/>
  <c r="DA57" i="2"/>
  <c r="AR58" i="2"/>
  <c r="AS58" i="2"/>
  <c r="BF59" i="2" s="1"/>
  <c r="BF58" i="2"/>
  <c r="AD59" i="2"/>
  <c r="AE59" i="2"/>
  <c r="AF59" i="2"/>
  <c r="AH59" i="2"/>
  <c r="CM58" i="2"/>
  <c r="BH58" i="2"/>
  <c r="AM59" i="2"/>
  <c r="DO58" i="4"/>
  <c r="CJ58" i="4"/>
  <c r="CH58" i="4"/>
  <c r="DM58" i="4"/>
  <c r="BJ58" i="4"/>
  <c r="AK59" i="4"/>
  <c r="CO58" i="4"/>
  <c r="AO59" i="4"/>
  <c r="AG59" i="4"/>
  <c r="AU59" i="4"/>
  <c r="BB59" i="4"/>
  <c r="BQ58" i="4"/>
  <c r="BD59" i="4"/>
  <c r="CV58" i="4"/>
  <c r="AN59" i="4"/>
  <c r="AP59" i="4"/>
  <c r="CR58" i="4"/>
  <c r="BM58" i="4"/>
  <c r="CY58" i="4"/>
  <c r="BT58" i="4"/>
  <c r="BE58" i="4"/>
  <c r="CB58" i="4"/>
  <c r="DG58" i="4"/>
  <c r="AT58" i="4"/>
  <c r="BV57" i="4"/>
  <c r="BA58" i="4"/>
  <c r="DA57" i="4"/>
  <c r="DP57" i="4" s="1"/>
  <c r="DQ57" i="4" s="1"/>
  <c r="AV58" i="4"/>
  <c r="AS58" i="4"/>
  <c r="BG58" i="4" s="1"/>
  <c r="AR58" i="4"/>
  <c r="CC58" i="4"/>
  <c r="DH58" i="4"/>
  <c r="CZ58" i="4"/>
  <c r="BU58" i="4"/>
  <c r="CQ58" i="4"/>
  <c r="AJ59" i="4"/>
  <c r="AI59" i="4"/>
  <c r="BL58" i="4"/>
  <c r="BW57" i="4"/>
  <c r="DB57" i="4"/>
  <c r="BY58" i="4"/>
  <c r="DD58" i="4"/>
  <c r="CA57" i="4"/>
  <c r="CK57" i="4" s="1"/>
  <c r="CL57" i="4" s="1"/>
  <c r="DF57" i="4"/>
  <c r="CG58" i="4"/>
  <c r="DL58" i="4"/>
  <c r="DF58" i="4"/>
  <c r="CA58" i="4"/>
  <c r="CW58" i="4"/>
  <c r="BR58" i="4"/>
  <c r="CX58" i="4"/>
  <c r="BE59" i="4"/>
  <c r="BS58" i="4"/>
  <c r="AQ59" i="4"/>
  <c r="DJ57" i="4"/>
  <c r="CE57" i="4"/>
  <c r="DK58" i="4"/>
  <c r="CF58" i="4"/>
  <c r="BP58" i="4"/>
  <c r="CU58" i="4"/>
  <c r="CT58" i="4"/>
  <c r="BO58" i="4"/>
  <c r="DL57" i="4"/>
  <c r="CG57" i="4"/>
  <c r="BI58" i="4"/>
  <c r="CN58" i="4"/>
  <c r="DO57" i="4"/>
  <c r="CJ57" i="4"/>
  <c r="CP58" i="4"/>
  <c r="BK58" i="4"/>
  <c r="BX57" i="4"/>
  <c r="DC57" i="4"/>
  <c r="AL59" i="4"/>
  <c r="CS58" i="4"/>
  <c r="BN58" i="4"/>
  <c r="CD57" i="4"/>
  <c r="DI57" i="4"/>
  <c r="AH59" i="4"/>
  <c r="AD59" i="4"/>
  <c r="BH58" i="4"/>
  <c r="AM59" i="4"/>
  <c r="AF59" i="4"/>
  <c r="CM58" i="4"/>
  <c r="AE59" i="4"/>
  <c r="DK57" i="4"/>
  <c r="CF57" i="4"/>
  <c r="AZ58" i="4"/>
  <c r="BC59" i="4" s="1"/>
  <c r="BZ57" i="4"/>
  <c r="DE57" i="4"/>
  <c r="CK13" i="4"/>
  <c r="CL13" i="4" s="1"/>
  <c r="CK13" i="8"/>
  <c r="CL13" i="8" s="1"/>
  <c r="CA14" i="6"/>
  <c r="BK14" i="8"/>
  <c r="BM14" i="8"/>
  <c r="CJ14" i="4"/>
  <c r="AI15" i="8"/>
  <c r="CR15" i="8" s="1"/>
  <c r="AX15" i="8"/>
  <c r="DG15" i="8" s="1"/>
  <c r="AW15" i="8"/>
  <c r="DF15" i="8" s="1"/>
  <c r="AJ15" i="8"/>
  <c r="CS15" i="8" s="1"/>
  <c r="BL14" i="8"/>
  <c r="BT14" i="8"/>
  <c r="BO14" i="8"/>
  <c r="AZ15" i="8"/>
  <c r="DI15" i="8" s="1"/>
  <c r="AL15" i="8"/>
  <c r="CU15" i="8" s="1"/>
  <c r="BN14" i="8"/>
  <c r="BX14" i="8"/>
  <c r="AR15" i="8"/>
  <c r="DA15" i="8" s="1"/>
  <c r="BA15" i="8"/>
  <c r="DJ15" i="8" s="1"/>
  <c r="AV15" i="8"/>
  <c r="DE15" i="8" s="1"/>
  <c r="AT15" i="8"/>
  <c r="DC15" i="8" s="1"/>
  <c r="AS15" i="8"/>
  <c r="DB15" i="8" s="1"/>
  <c r="BV14" i="8"/>
  <c r="CE14" i="4"/>
  <c r="BB15" i="4"/>
  <c r="DK15" i="4" s="1"/>
  <c r="BI14" i="8"/>
  <c r="BY14" i="8"/>
  <c r="CD14" i="4"/>
  <c r="CC14" i="5"/>
  <c r="BP14" i="8"/>
  <c r="AY15" i="8"/>
  <c r="DH15" i="8" s="1"/>
  <c r="AU15" i="8"/>
  <c r="DD15" i="8" s="1"/>
  <c r="AO15" i="8"/>
  <c r="CX15" i="8" s="1"/>
  <c r="BC15" i="8"/>
  <c r="DL15" i="8" s="1"/>
  <c r="AK15" i="8"/>
  <c r="CT15" i="8" s="1"/>
  <c r="AG15" i="8"/>
  <c r="CP15" i="8" s="1"/>
  <c r="BJ14" i="8"/>
  <c r="CF14" i="8"/>
  <c r="CC14" i="8"/>
  <c r="CE14" i="8"/>
  <c r="BU14" i="8"/>
  <c r="AS15" i="3"/>
  <c r="DB15" i="3" s="1"/>
  <c r="CB14" i="8"/>
  <c r="AH15" i="8"/>
  <c r="CQ15" i="8" s="1"/>
  <c r="AF15" i="8"/>
  <c r="CO15" i="8" s="1"/>
  <c r="BG14" i="8"/>
  <c r="AD15" i="8"/>
  <c r="CM15" i="8" s="1"/>
  <c r="BF15" i="8"/>
  <c r="AE15" i="8"/>
  <c r="CN15" i="8" s="1"/>
  <c r="AM15" i="8"/>
  <c r="CV15" i="8" s="1"/>
  <c r="BH14" i="8"/>
  <c r="CD14" i="8"/>
  <c r="DP13" i="8"/>
  <c r="DQ13" i="8" s="1"/>
  <c r="BR14" i="8"/>
  <c r="BJ14" i="3"/>
  <c r="AQ15" i="5"/>
  <c r="CZ15" i="5" s="1"/>
  <c r="CD14" i="6"/>
  <c r="CJ14" i="8"/>
  <c r="DO14" i="8"/>
  <c r="CH14" i="8"/>
  <c r="CG14" i="8"/>
  <c r="CA14" i="8"/>
  <c r="BE15" i="8"/>
  <c r="DN15" i="8" s="1"/>
  <c r="AQ15" i="8"/>
  <c r="CZ15" i="8" s="1"/>
  <c r="BS14" i="8"/>
  <c r="BW14" i="3"/>
  <c r="BC15" i="4"/>
  <c r="DL15" i="4" s="1"/>
  <c r="CH14" i="6"/>
  <c r="AN15" i="8"/>
  <c r="CW15" i="8" s="1"/>
  <c r="BB15" i="8"/>
  <c r="DK15" i="8" s="1"/>
  <c r="BD15" i="8"/>
  <c r="DM15" i="8" s="1"/>
  <c r="AP15" i="8"/>
  <c r="CY15" i="8" s="1"/>
  <c r="BQ14" i="8"/>
  <c r="BW14" i="8"/>
  <c r="BZ14" i="8"/>
  <c r="CC14" i="6"/>
  <c r="CI14" i="8"/>
  <c r="BE15" i="6"/>
  <c r="DN15" i="6" s="1"/>
  <c r="DL14" i="6"/>
  <c r="BC15" i="6"/>
  <c r="DL15" i="6" s="1"/>
  <c r="AU15" i="6"/>
  <c r="DD15" i="6" s="1"/>
  <c r="CK13" i="6"/>
  <c r="CL13" i="6" s="1"/>
  <c r="AY15" i="6"/>
  <c r="DH15" i="6" s="1"/>
  <c r="AZ15" i="6"/>
  <c r="DI15" i="6" s="1"/>
  <c r="DG14" i="6"/>
  <c r="DP14" i="6" s="1"/>
  <c r="DQ14" i="6" s="1"/>
  <c r="BK15" i="6"/>
  <c r="BA15" i="6"/>
  <c r="DJ15" i="6" s="1"/>
  <c r="AT15" i="6"/>
  <c r="DC15" i="6" s="1"/>
  <c r="AV15" i="6"/>
  <c r="DE15" i="6" s="1"/>
  <c r="AS15" i="6"/>
  <c r="DB15" i="6" s="1"/>
  <c r="AR15" i="6"/>
  <c r="DA15" i="6" s="1"/>
  <c r="BV14" i="6"/>
  <c r="AK16" i="6"/>
  <c r="CT16" i="6" s="1"/>
  <c r="AG16" i="6"/>
  <c r="CP16" i="6" s="1"/>
  <c r="AO16" i="6"/>
  <c r="CX16" i="6" s="1"/>
  <c r="BJ15" i="6"/>
  <c r="CE14" i="6"/>
  <c r="BO15" i="6"/>
  <c r="AP16" i="6"/>
  <c r="CY16" i="6" s="1"/>
  <c r="AN16" i="6"/>
  <c r="CW16" i="6" s="1"/>
  <c r="BQ15" i="6"/>
  <c r="BU15" i="6"/>
  <c r="BE15" i="4"/>
  <c r="DN15" i="4" s="1"/>
  <c r="AZ15" i="4"/>
  <c r="DI15" i="4" s="1"/>
  <c r="AF16" i="6"/>
  <c r="CO16" i="6" s="1"/>
  <c r="AE16" i="6"/>
  <c r="CN16" i="6" s="1"/>
  <c r="AD16" i="6"/>
  <c r="CM16" i="6" s="1"/>
  <c r="AM16" i="6"/>
  <c r="CV16" i="6" s="1"/>
  <c r="AH16" i="6"/>
  <c r="CQ16" i="6" s="1"/>
  <c r="BH15" i="6"/>
  <c r="BW14" i="6"/>
  <c r="AX15" i="4"/>
  <c r="DG15" i="4" s="1"/>
  <c r="CF14" i="6"/>
  <c r="AQ16" i="6"/>
  <c r="CZ16" i="6" s="1"/>
  <c r="BS15" i="6"/>
  <c r="BI15" i="6"/>
  <c r="BX14" i="6"/>
  <c r="AJ16" i="6"/>
  <c r="CS16" i="6" s="1"/>
  <c r="AI16" i="6"/>
  <c r="CR16" i="6" s="1"/>
  <c r="BL15" i="6"/>
  <c r="BZ14" i="6"/>
  <c r="BG14" i="6"/>
  <c r="AW15" i="6"/>
  <c r="DF15" i="6" s="1"/>
  <c r="CG14" i="4"/>
  <c r="BB15" i="6"/>
  <c r="DK15" i="6" s="1"/>
  <c r="BY14" i="6"/>
  <c r="AX15" i="6"/>
  <c r="CF14" i="5"/>
  <c r="BF15" i="6"/>
  <c r="BR15" i="6"/>
  <c r="BM15" i="6"/>
  <c r="BD15" i="6"/>
  <c r="DM15" i="6" s="1"/>
  <c r="AL16" i="6"/>
  <c r="CU16" i="6" s="1"/>
  <c r="BN15" i="6"/>
  <c r="CI14" i="6"/>
  <c r="BT15" i="6"/>
  <c r="CG14" i="6"/>
  <c r="BP15" i="6"/>
  <c r="CB14" i="6"/>
  <c r="CJ14" i="6"/>
  <c r="DO14" i="6"/>
  <c r="AY15" i="5"/>
  <c r="DH15" i="5" s="1"/>
  <c r="AU15" i="5"/>
  <c r="DD15" i="5" s="1"/>
  <c r="AX15" i="5"/>
  <c r="DG15" i="5" s="1"/>
  <c r="CK13" i="5"/>
  <c r="CL13" i="5" s="1"/>
  <c r="BG14" i="5"/>
  <c r="BE15" i="5"/>
  <c r="DN15" i="5" s="1"/>
  <c r="BM15" i="5"/>
  <c r="AL16" i="5"/>
  <c r="CU16" i="5" s="1"/>
  <c r="BN15" i="5"/>
  <c r="CH14" i="5"/>
  <c r="CH14" i="4"/>
  <c r="BX14" i="5"/>
  <c r="BO15" i="5"/>
  <c r="AK16" i="5"/>
  <c r="CT16" i="5" s="1"/>
  <c r="AO16" i="5"/>
  <c r="CX16" i="5" s="1"/>
  <c r="AG16" i="5"/>
  <c r="CP16" i="5" s="1"/>
  <c r="BJ15" i="5"/>
  <c r="BQ14" i="3"/>
  <c r="CD14" i="5"/>
  <c r="AV15" i="5"/>
  <c r="DE15" i="5" s="1"/>
  <c r="BA15" i="5"/>
  <c r="DJ15" i="5" s="1"/>
  <c r="AS15" i="5"/>
  <c r="DB15" i="5" s="1"/>
  <c r="AR15" i="5"/>
  <c r="DA15" i="5" s="1"/>
  <c r="AT15" i="5"/>
  <c r="DC15" i="5" s="1"/>
  <c r="BV14" i="5"/>
  <c r="BI15" i="5"/>
  <c r="BF15" i="4"/>
  <c r="DO15" i="4" s="1"/>
  <c r="BC15" i="5"/>
  <c r="DL15" i="5" s="1"/>
  <c r="AJ16" i="5"/>
  <c r="CS16" i="5" s="1"/>
  <c r="AI16" i="5"/>
  <c r="CR16" i="5" s="1"/>
  <c r="BL15" i="5"/>
  <c r="DO14" i="5"/>
  <c r="CJ14" i="5"/>
  <c r="AQ16" i="5"/>
  <c r="CZ16" i="5" s="1"/>
  <c r="BS15" i="5"/>
  <c r="AP16" i="5"/>
  <c r="CY16" i="5" s="1"/>
  <c r="AN16" i="5"/>
  <c r="CW16" i="5" s="1"/>
  <c r="BQ15" i="5"/>
  <c r="CC14" i="4"/>
  <c r="BF15" i="5"/>
  <c r="BK15" i="5"/>
  <c r="BY14" i="5"/>
  <c r="BT15" i="5"/>
  <c r="BR14" i="3"/>
  <c r="CG14" i="5"/>
  <c r="BZ14" i="3"/>
  <c r="BD15" i="4"/>
  <c r="DM15" i="4" s="1"/>
  <c r="BG14" i="4"/>
  <c r="BR15" i="5"/>
  <c r="CA14" i="5"/>
  <c r="CE14" i="5"/>
  <c r="DP14" i="5"/>
  <c r="DQ14" i="5" s="1"/>
  <c r="BW14" i="5"/>
  <c r="AN15" i="3"/>
  <c r="CW15" i="3" s="1"/>
  <c r="CB14" i="5"/>
  <c r="CI14" i="5"/>
  <c r="AZ15" i="5"/>
  <c r="DI15" i="5" s="1"/>
  <c r="AY15" i="4"/>
  <c r="DH15" i="4" s="1"/>
  <c r="CB14" i="4"/>
  <c r="BB15" i="5"/>
  <c r="DK15" i="5" s="1"/>
  <c r="BP15" i="5"/>
  <c r="BZ14" i="5"/>
  <c r="AH16" i="5"/>
  <c r="CQ16" i="5" s="1"/>
  <c r="AE16" i="5"/>
  <c r="CN16" i="5" s="1"/>
  <c r="AD16" i="5"/>
  <c r="CM16" i="5" s="1"/>
  <c r="AM16" i="5"/>
  <c r="CV16" i="5" s="1"/>
  <c r="AF16" i="5"/>
  <c r="CO16" i="5" s="1"/>
  <c r="BH15" i="5"/>
  <c r="BD15" i="5"/>
  <c r="DM15" i="5" s="1"/>
  <c r="AW15" i="5"/>
  <c r="DF15" i="5" s="1"/>
  <c r="BL14" i="3"/>
  <c r="CQ14" i="3"/>
  <c r="CA14" i="3"/>
  <c r="DF14" i="3"/>
  <c r="CI14" i="3"/>
  <c r="DN14" i="3"/>
  <c r="BK14" i="3"/>
  <c r="CP14" i="3"/>
  <c r="BT14" i="3"/>
  <c r="CY14" i="3"/>
  <c r="BP14" i="3"/>
  <c r="CU14" i="3"/>
  <c r="AM16" i="4"/>
  <c r="CV16" i="4" s="1"/>
  <c r="AE16" i="4"/>
  <c r="CN16" i="4" s="1"/>
  <c r="AH16" i="4"/>
  <c r="CQ16" i="4" s="1"/>
  <c r="AF16" i="4"/>
  <c r="CO16" i="4" s="1"/>
  <c r="AD16" i="4"/>
  <c r="CM16" i="4" s="1"/>
  <c r="BH15" i="4"/>
  <c r="BK15" i="4"/>
  <c r="AO16" i="4"/>
  <c r="CX16" i="4" s="1"/>
  <c r="AK16" i="4"/>
  <c r="CT16" i="4" s="1"/>
  <c r="AU16" i="4"/>
  <c r="DD16" i="4" s="1"/>
  <c r="AG16" i="4"/>
  <c r="CP16" i="4" s="1"/>
  <c r="BJ15" i="4"/>
  <c r="BB15" i="3"/>
  <c r="DK15" i="3" s="1"/>
  <c r="AG15" i="3"/>
  <c r="CP15" i="3" s="1"/>
  <c r="CC15" i="4"/>
  <c r="BT15" i="4"/>
  <c r="BI15" i="4"/>
  <c r="AJ16" i="4"/>
  <c r="CS16" i="4" s="1"/>
  <c r="AI16" i="4"/>
  <c r="CR16" i="4" s="1"/>
  <c r="AW16" i="4"/>
  <c r="DF16" i="4" s="1"/>
  <c r="BL15" i="4"/>
  <c r="AF15" i="3"/>
  <c r="CO15" i="3" s="1"/>
  <c r="CA15" i="4"/>
  <c r="BY15" i="4"/>
  <c r="BR15" i="4"/>
  <c r="BU15" i="4"/>
  <c r="CG15" i="4"/>
  <c r="DP14" i="4"/>
  <c r="DQ14" i="4" s="1"/>
  <c r="AI15" i="3"/>
  <c r="CR15" i="3" s="1"/>
  <c r="BM15" i="4"/>
  <c r="AP16" i="4"/>
  <c r="CY16" i="4" s="1"/>
  <c r="AN16" i="4"/>
  <c r="CW16" i="4" s="1"/>
  <c r="BQ15" i="4"/>
  <c r="CE15" i="4"/>
  <c r="AL16" i="4"/>
  <c r="CU16" i="4" s="1"/>
  <c r="BN15" i="4"/>
  <c r="BW15" i="4"/>
  <c r="CD15" i="4"/>
  <c r="BO15" i="4"/>
  <c r="AW15" i="3"/>
  <c r="BA16" i="4"/>
  <c r="DJ16" i="4" s="1"/>
  <c r="AT16" i="4"/>
  <c r="DC16" i="4" s="1"/>
  <c r="AS16" i="4"/>
  <c r="DB16" i="4" s="1"/>
  <c r="AR16" i="4"/>
  <c r="DA16" i="4" s="1"/>
  <c r="AV16" i="4"/>
  <c r="DE16" i="4" s="1"/>
  <c r="BV15" i="4"/>
  <c r="BP15" i="4"/>
  <c r="AQ16" i="4"/>
  <c r="CZ16" i="4" s="1"/>
  <c r="BS15" i="4"/>
  <c r="CF14" i="3"/>
  <c r="BX15" i="4"/>
  <c r="CI15" i="4"/>
  <c r="BZ15" i="4"/>
  <c r="BA15" i="3"/>
  <c r="AV15" i="3"/>
  <c r="AH15" i="3"/>
  <c r="CE14" i="3"/>
  <c r="AM15" i="3"/>
  <c r="CV15" i="3" s="1"/>
  <c r="BM14" i="3"/>
  <c r="BY14" i="3"/>
  <c r="AU15" i="3"/>
  <c r="DD15" i="3" s="1"/>
  <c r="BX14" i="3"/>
  <c r="AT15" i="3"/>
  <c r="DP13" i="3"/>
  <c r="DQ13" i="3" s="1"/>
  <c r="BU14" i="3"/>
  <c r="AO15" i="3"/>
  <c r="AP15" i="3"/>
  <c r="BN14" i="3"/>
  <c r="AQ15" i="3"/>
  <c r="CJ14" i="3"/>
  <c r="CD14" i="3"/>
  <c r="CK13" i="3"/>
  <c r="CL13" i="3" s="1"/>
  <c r="BE15" i="3"/>
  <c r="CB14" i="3"/>
  <c r="AX15" i="3"/>
  <c r="DG15" i="3" s="1"/>
  <c r="BF15" i="3"/>
  <c r="DO15" i="3" s="1"/>
  <c r="AY15" i="3"/>
  <c r="DH15" i="3" s="1"/>
  <c r="CG14" i="3"/>
  <c r="AK15" i="3"/>
  <c r="CT15" i="3" s="1"/>
  <c r="BC15" i="3"/>
  <c r="DL15" i="3" s="1"/>
  <c r="BG14" i="3"/>
  <c r="CC14" i="3"/>
  <c r="AZ15" i="3"/>
  <c r="DI15" i="3" s="1"/>
  <c r="BD15" i="3"/>
  <c r="DM15" i="3" s="1"/>
  <c r="CH14" i="3"/>
  <c r="BS14" i="3"/>
  <c r="AJ15" i="3"/>
  <c r="CS15" i="3" s="1"/>
  <c r="BO14" i="3"/>
  <c r="AL15" i="3"/>
  <c r="CU15" i="3" s="1"/>
  <c r="BI15" i="3"/>
  <c r="CW13" i="2"/>
  <c r="BR13" i="2"/>
  <c r="DH13" i="2"/>
  <c r="CC13" i="2"/>
  <c r="DE13" i="2"/>
  <c r="BZ13" i="2"/>
  <c r="AR16" i="3"/>
  <c r="DA16" i="3" s="1"/>
  <c r="BV15" i="3"/>
  <c r="CU13" i="2"/>
  <c r="BP13" i="2"/>
  <c r="DF13" i="2"/>
  <c r="CA13" i="2"/>
  <c r="DI13" i="2"/>
  <c r="CD13" i="2"/>
  <c r="CR13" i="2"/>
  <c r="BM13" i="2"/>
  <c r="DJ13" i="2"/>
  <c r="CE13" i="2"/>
  <c r="AS14" i="2"/>
  <c r="BI13" i="2"/>
  <c r="AE16" i="3"/>
  <c r="CN16" i="3" s="1"/>
  <c r="AD16" i="3"/>
  <c r="CM16" i="3" s="1"/>
  <c r="BH15" i="3"/>
  <c r="DL13" i="2"/>
  <c r="CG13" i="2"/>
  <c r="DD13" i="2"/>
  <c r="AT14" i="2"/>
  <c r="CP13" i="2"/>
  <c r="DA14" i="2"/>
  <c r="AR15" i="2"/>
  <c r="BV15" i="2" s="1"/>
  <c r="CN13" i="2"/>
  <c r="AF14" i="2"/>
  <c r="BJ14" i="2" s="1"/>
  <c r="DC13" i="2"/>
  <c r="AE14" i="2"/>
  <c r="CM14" i="2"/>
  <c r="AD15" i="2"/>
  <c r="BH15" i="2" s="1"/>
  <c r="CO13" i="2"/>
  <c r="AG14" i="2"/>
  <c r="BK14" i="2" s="1"/>
  <c r="AU14" i="2"/>
  <c r="DB13" i="2"/>
  <c r="DP12" i="2"/>
  <c r="DQ12" i="2" s="1"/>
  <c r="CS13" i="2"/>
  <c r="AL14" i="2"/>
  <c r="BP14" i="2" s="1"/>
  <c r="AZ14" i="2"/>
  <c r="CD14" i="2" s="1"/>
  <c r="AK14" i="2"/>
  <c r="BO14" i="2" s="1"/>
  <c r="AO14" i="2"/>
  <c r="BS14" i="2" s="1"/>
  <c r="BC14" i="2"/>
  <c r="CG14" i="2" s="1"/>
  <c r="CY13" i="2"/>
  <c r="DN13" i="2"/>
  <c r="BE14" i="2"/>
  <c r="CI14" i="2" s="1"/>
  <c r="CX13" i="2"/>
  <c r="AQ14" i="2"/>
  <c r="BU14" i="2" s="1"/>
  <c r="CQ13" i="2"/>
  <c r="AV14" i="2"/>
  <c r="BZ14" i="2" s="1"/>
  <c r="AH14" i="2"/>
  <c r="BL14" i="2" s="1"/>
  <c r="BA14" i="2"/>
  <c r="BF14" i="2"/>
  <c r="AJ14" i="2"/>
  <c r="BN14" i="2" s="1"/>
  <c r="AI14" i="2"/>
  <c r="BM14" i="2" s="1"/>
  <c r="AM14" i="2"/>
  <c r="BQ14" i="2" s="1"/>
  <c r="AX14" i="2"/>
  <c r="CB14" i="2" s="1"/>
  <c r="AW14" i="2"/>
  <c r="CA14" i="2" s="1"/>
  <c r="CJ13" i="2"/>
  <c r="DO13" i="2"/>
  <c r="AY14" i="2"/>
  <c r="CC14" i="2" s="1"/>
  <c r="CT13" i="2"/>
  <c r="DK13" i="2"/>
  <c r="CV13" i="2"/>
  <c r="BB14" i="2"/>
  <c r="CF14" i="2" s="1"/>
  <c r="AN14" i="2"/>
  <c r="BR14" i="2" s="1"/>
  <c r="AP14" i="2"/>
  <c r="BT14" i="2" s="1"/>
  <c r="BD14" i="2"/>
  <c r="CH14" i="2" s="1"/>
  <c r="DM13" i="2"/>
  <c r="CZ13" i="2"/>
  <c r="DG13" i="2"/>
  <c r="BG13" i="2"/>
  <c r="CK12" i="2"/>
  <c r="CL12" i="2" s="1"/>
  <c r="DH59" i="8" l="1"/>
  <c r="CC59" i="8"/>
  <c r="CF59" i="8"/>
  <c r="DK59" i="8"/>
  <c r="CA59" i="8"/>
  <c r="DF59" i="8"/>
  <c r="CD59" i="8"/>
  <c r="DI59" i="8"/>
  <c r="DN59" i="8"/>
  <c r="CI59" i="8"/>
  <c r="CI58" i="8"/>
  <c r="DN58" i="8"/>
  <c r="AX59" i="8"/>
  <c r="BR59" i="8"/>
  <c r="CW59" i="8"/>
  <c r="AX60" i="8"/>
  <c r="CQ59" i="8"/>
  <c r="AI60" i="8"/>
  <c r="BL59" i="8"/>
  <c r="AJ60" i="8"/>
  <c r="BY59" i="8"/>
  <c r="DD59" i="8"/>
  <c r="DO58" i="8"/>
  <c r="CJ58" i="8"/>
  <c r="BN59" i="8"/>
  <c r="CS59" i="8"/>
  <c r="AL60" i="8"/>
  <c r="BJ59" i="8"/>
  <c r="AK60" i="8"/>
  <c r="AU60" i="8"/>
  <c r="CO59" i="8"/>
  <c r="AG60" i="8"/>
  <c r="AO60" i="8"/>
  <c r="CU59" i="8"/>
  <c r="BP59" i="8"/>
  <c r="CR59" i="8"/>
  <c r="BM59" i="8"/>
  <c r="CY59" i="8"/>
  <c r="BT59" i="8"/>
  <c r="BH59" i="8"/>
  <c r="AD60" i="8"/>
  <c r="AH60" i="8"/>
  <c r="AM60" i="8"/>
  <c r="AF60" i="8"/>
  <c r="AE60" i="8"/>
  <c r="CM59" i="8"/>
  <c r="DG58" i="8"/>
  <c r="CB58" i="8"/>
  <c r="AP60" i="8"/>
  <c r="CV59" i="8"/>
  <c r="BD60" i="8"/>
  <c r="BQ59" i="8"/>
  <c r="AN60" i="8"/>
  <c r="BB60" i="8"/>
  <c r="DI58" i="8"/>
  <c r="CD58" i="8"/>
  <c r="DP58" i="8"/>
  <c r="DQ58" i="8" s="1"/>
  <c r="CT59" i="8"/>
  <c r="BO59" i="8"/>
  <c r="DM59" i="8"/>
  <c r="CH59" i="8"/>
  <c r="BZ58" i="8"/>
  <c r="DE58" i="8"/>
  <c r="BE60" i="8"/>
  <c r="CX59" i="8"/>
  <c r="BS59" i="8"/>
  <c r="AQ60" i="8"/>
  <c r="CP59" i="8"/>
  <c r="BK59" i="8"/>
  <c r="BW58" i="8"/>
  <c r="CK58" i="8" s="1"/>
  <c r="CL58" i="8" s="1"/>
  <c r="DB58" i="8"/>
  <c r="DL58" i="8"/>
  <c r="CG58" i="8"/>
  <c r="AR59" i="8"/>
  <c r="AS59" i="8"/>
  <c r="DA58" i="8"/>
  <c r="AV59" i="8"/>
  <c r="BA59" i="8"/>
  <c r="BV58" i="8"/>
  <c r="AT59" i="8"/>
  <c r="BC60" i="8" s="1"/>
  <c r="CE58" i="8"/>
  <c r="DJ58" i="8"/>
  <c r="CH58" i="8"/>
  <c r="DM58" i="8"/>
  <c r="BX58" i="8"/>
  <c r="DC58" i="8"/>
  <c r="CZ59" i="8"/>
  <c r="BU59" i="8"/>
  <c r="BF59" i="8"/>
  <c r="BC59" i="8"/>
  <c r="BI59" i="8"/>
  <c r="CN59" i="8"/>
  <c r="DI59" i="6"/>
  <c r="CD59" i="6"/>
  <c r="DN59" i="6"/>
  <c r="CI59" i="6"/>
  <c r="DJ58" i="6"/>
  <c r="CE58" i="6"/>
  <c r="AR59" i="6"/>
  <c r="AS59" i="6"/>
  <c r="AT59" i="6"/>
  <c r="BA59" i="6"/>
  <c r="BV58" i="6"/>
  <c r="CK58" i="6" s="1"/>
  <c r="CL58" i="6" s="1"/>
  <c r="DA58" i="6"/>
  <c r="AV59" i="6"/>
  <c r="AW60" i="6" s="1"/>
  <c r="BR59" i="6"/>
  <c r="CW59" i="6"/>
  <c r="DP58" i="6"/>
  <c r="DQ58" i="6" s="1"/>
  <c r="BW58" i="6"/>
  <c r="DB58" i="6"/>
  <c r="BI59" i="6"/>
  <c r="CN59" i="6"/>
  <c r="AQ60" i="6"/>
  <c r="BE60" i="6"/>
  <c r="BS59" i="6"/>
  <c r="CX59" i="6"/>
  <c r="CP59" i="6"/>
  <c r="BK59" i="6"/>
  <c r="CZ59" i="6"/>
  <c r="BU59" i="6"/>
  <c r="DK59" i="6"/>
  <c r="CF59" i="6"/>
  <c r="DC58" i="6"/>
  <c r="BX58" i="6"/>
  <c r="BC59" i="6"/>
  <c r="BT59" i="6"/>
  <c r="CY59" i="6"/>
  <c r="BD59" i="6"/>
  <c r="BM59" i="6"/>
  <c r="CR59" i="6"/>
  <c r="AI60" i="6"/>
  <c r="CQ59" i="6"/>
  <c r="BL59" i="6"/>
  <c r="AJ60" i="6"/>
  <c r="AU59" i="6"/>
  <c r="BJ59" i="6"/>
  <c r="BC60" i="6"/>
  <c r="AG60" i="6"/>
  <c r="AK60" i="6"/>
  <c r="AO60" i="6"/>
  <c r="CO59" i="6"/>
  <c r="AN60" i="6"/>
  <c r="BD60" i="6"/>
  <c r="CV59" i="6"/>
  <c r="BQ59" i="6"/>
  <c r="AP60" i="6"/>
  <c r="BB60" i="6"/>
  <c r="BF59" i="6"/>
  <c r="AZ60" i="6"/>
  <c r="BN59" i="6"/>
  <c r="AL60" i="6"/>
  <c r="CS59" i="6"/>
  <c r="AY59" i="6"/>
  <c r="CT59" i="6"/>
  <c r="BO59" i="6"/>
  <c r="DG58" i="6"/>
  <c r="CB58" i="6"/>
  <c r="BH59" i="6"/>
  <c r="AH60" i="6"/>
  <c r="AF60" i="6"/>
  <c r="CM59" i="6"/>
  <c r="AM60" i="6"/>
  <c r="AE60" i="6"/>
  <c r="AD60" i="6"/>
  <c r="DI58" i="6"/>
  <c r="CD58" i="6"/>
  <c r="BZ58" i="6"/>
  <c r="DE58" i="6"/>
  <c r="AX59" i="6"/>
  <c r="AW59" i="6"/>
  <c r="CU59" i="6"/>
  <c r="BP59" i="6"/>
  <c r="BG58" i="6"/>
  <c r="DN59" i="5"/>
  <c r="CI59" i="5"/>
  <c r="DI59" i="5"/>
  <c r="CD59" i="5"/>
  <c r="CH59" i="5"/>
  <c r="DM59" i="5"/>
  <c r="CA58" i="5"/>
  <c r="DF58" i="5"/>
  <c r="AK60" i="5"/>
  <c r="AO60" i="5"/>
  <c r="BJ59" i="5"/>
  <c r="AG60" i="5"/>
  <c r="CO59" i="5"/>
  <c r="AY60" i="5"/>
  <c r="BI59" i="5"/>
  <c r="CN59" i="5"/>
  <c r="BY58" i="5"/>
  <c r="DD58" i="5"/>
  <c r="AM60" i="5"/>
  <c r="BH59" i="5"/>
  <c r="AD60" i="5"/>
  <c r="AE60" i="5"/>
  <c r="CM59" i="5"/>
  <c r="AF60" i="5"/>
  <c r="AH60" i="5"/>
  <c r="CS59" i="5"/>
  <c r="BN59" i="5"/>
  <c r="AZ60" i="5"/>
  <c r="AL60" i="5"/>
  <c r="BB59" i="5"/>
  <c r="CQ59" i="5"/>
  <c r="AJ60" i="5"/>
  <c r="BL59" i="5"/>
  <c r="AI60" i="5"/>
  <c r="BM59" i="5"/>
  <c r="CR59" i="5"/>
  <c r="CY59" i="5"/>
  <c r="BT59" i="5"/>
  <c r="BQ59" i="5"/>
  <c r="CV59" i="5"/>
  <c r="BB60" i="5"/>
  <c r="AN60" i="5"/>
  <c r="AP60" i="5"/>
  <c r="AX59" i="5"/>
  <c r="CW59" i="5"/>
  <c r="BR59" i="5"/>
  <c r="CZ59" i="5"/>
  <c r="BU59" i="5"/>
  <c r="AW59" i="5"/>
  <c r="DO58" i="5"/>
  <c r="CJ58" i="5"/>
  <c r="DM58" i="5"/>
  <c r="CH58" i="5"/>
  <c r="DK58" i="5"/>
  <c r="CF58" i="5"/>
  <c r="BZ58" i="5"/>
  <c r="DE58" i="5"/>
  <c r="DP58" i="5" s="1"/>
  <c r="DQ58" i="5" s="1"/>
  <c r="AU59" i="5"/>
  <c r="BX58" i="5"/>
  <c r="DC58" i="5"/>
  <c r="BF59" i="5"/>
  <c r="BW58" i="5"/>
  <c r="DB58" i="5"/>
  <c r="DG58" i="5"/>
  <c r="CB58" i="5"/>
  <c r="BA59" i="5"/>
  <c r="DA58" i="5"/>
  <c r="BV58" i="5"/>
  <c r="AR59" i="5"/>
  <c r="AS59" i="5"/>
  <c r="AT59" i="5"/>
  <c r="AV59" i="5"/>
  <c r="CK58" i="5"/>
  <c r="CL58" i="5" s="1"/>
  <c r="CX59" i="5"/>
  <c r="AQ60" i="5"/>
  <c r="BS59" i="5"/>
  <c r="CU59" i="5"/>
  <c r="BP59" i="5"/>
  <c r="BK59" i="5"/>
  <c r="CP59" i="5"/>
  <c r="BC59" i="5"/>
  <c r="AY59" i="5"/>
  <c r="BG58" i="5"/>
  <c r="CT59" i="5"/>
  <c r="BO59" i="5"/>
  <c r="CE58" i="5"/>
  <c r="DJ58" i="5"/>
  <c r="DO59" i="2"/>
  <c r="CJ59" i="2"/>
  <c r="BZ58" i="2"/>
  <c r="DE58" i="2"/>
  <c r="BX58" i="2"/>
  <c r="DC58" i="2"/>
  <c r="AW59" i="2"/>
  <c r="AU59" i="2"/>
  <c r="AU60" i="2" s="1"/>
  <c r="BM59" i="2"/>
  <c r="CR59" i="2"/>
  <c r="BR59" i="2"/>
  <c r="CW59" i="2"/>
  <c r="CX59" i="2"/>
  <c r="BS59" i="2"/>
  <c r="BE60" i="2"/>
  <c r="AQ60" i="2"/>
  <c r="AX59" i="2"/>
  <c r="BC59" i="2"/>
  <c r="CV59" i="2"/>
  <c r="BQ59" i="2"/>
  <c r="AN60" i="2"/>
  <c r="AP60" i="2"/>
  <c r="AL60" i="2"/>
  <c r="BN59" i="2"/>
  <c r="CS59" i="2"/>
  <c r="BL59" i="2"/>
  <c r="AI60" i="2"/>
  <c r="AJ60" i="2"/>
  <c r="CQ59" i="2"/>
  <c r="CY59" i="2"/>
  <c r="BT59" i="2"/>
  <c r="BK59" i="2"/>
  <c r="CP59" i="2"/>
  <c r="CG58" i="2"/>
  <c r="DL58" i="2"/>
  <c r="BH59" i="2"/>
  <c r="AH60" i="2"/>
  <c r="CM59" i="2"/>
  <c r="AE60" i="2"/>
  <c r="AD60" i="2"/>
  <c r="AF60" i="2"/>
  <c r="AM60" i="2"/>
  <c r="DB58" i="2"/>
  <c r="BW58" i="2"/>
  <c r="CZ59" i="2"/>
  <c r="BU59" i="2"/>
  <c r="CU59" i="2"/>
  <c r="BP59" i="2"/>
  <c r="AR59" i="2"/>
  <c r="AS59" i="2"/>
  <c r="AT59" i="2"/>
  <c r="AV59" i="2"/>
  <c r="DA58" i="2"/>
  <c r="DP58" i="2" s="1"/>
  <c r="DQ58" i="2" s="1"/>
  <c r="BV58" i="2"/>
  <c r="CK58" i="2" s="1"/>
  <c r="CL58" i="2" s="1"/>
  <c r="BA59" i="2"/>
  <c r="BE59" i="2"/>
  <c r="BG58" i="2"/>
  <c r="CO59" i="2"/>
  <c r="BJ59" i="2"/>
  <c r="AK60" i="2"/>
  <c r="AO60" i="2"/>
  <c r="AG60" i="2"/>
  <c r="BI59" i="2"/>
  <c r="CN59" i="2"/>
  <c r="BD59" i="2"/>
  <c r="CF59" i="2"/>
  <c r="DK59" i="2"/>
  <c r="AY59" i="2"/>
  <c r="AZ60" i="2" s="1"/>
  <c r="CJ58" i="2"/>
  <c r="DO58" i="2"/>
  <c r="DJ58" i="2"/>
  <c r="CE58" i="2"/>
  <c r="CD59" i="2"/>
  <c r="DI59" i="2"/>
  <c r="CT59" i="2"/>
  <c r="BO59" i="2"/>
  <c r="CG59" i="4"/>
  <c r="DL59" i="4"/>
  <c r="BI59" i="4"/>
  <c r="CN59" i="4"/>
  <c r="CZ59" i="4"/>
  <c r="BU59" i="4"/>
  <c r="BX58" i="4"/>
  <c r="DC58" i="4"/>
  <c r="CP59" i="4"/>
  <c r="BK59" i="4"/>
  <c r="CH59" i="4"/>
  <c r="DM59" i="4"/>
  <c r="BZ58" i="4"/>
  <c r="DE58" i="4"/>
  <c r="CF59" i="4"/>
  <c r="DK59" i="4"/>
  <c r="DJ58" i="4"/>
  <c r="CE58" i="4"/>
  <c r="BY59" i="4"/>
  <c r="DD59" i="4"/>
  <c r="CO59" i="4"/>
  <c r="AG60" i="4"/>
  <c r="AU60" i="4"/>
  <c r="AO60" i="4"/>
  <c r="BJ59" i="4"/>
  <c r="AK60" i="4"/>
  <c r="AX59" i="4"/>
  <c r="BS59" i="4"/>
  <c r="BE60" i="4"/>
  <c r="CX59" i="4"/>
  <c r="AQ60" i="4"/>
  <c r="CI58" i="4"/>
  <c r="DN58" i="4"/>
  <c r="CT59" i="4"/>
  <c r="BO59" i="4"/>
  <c r="BW58" i="4"/>
  <c r="DB58" i="4"/>
  <c r="DN59" i="4"/>
  <c r="CI59" i="4"/>
  <c r="BM59" i="4"/>
  <c r="CR59" i="4"/>
  <c r="CQ59" i="4"/>
  <c r="AI60" i="4"/>
  <c r="BL59" i="4"/>
  <c r="AJ60" i="4"/>
  <c r="BT59" i="4"/>
  <c r="CY59" i="4"/>
  <c r="CU59" i="4"/>
  <c r="BP59" i="4"/>
  <c r="AW59" i="4"/>
  <c r="CK58" i="4"/>
  <c r="CL58" i="4" s="1"/>
  <c r="CW59" i="4"/>
  <c r="BR59" i="4"/>
  <c r="DI58" i="4"/>
  <c r="CD58" i="4"/>
  <c r="CV59" i="4"/>
  <c r="AN60" i="4"/>
  <c r="BQ59" i="4"/>
  <c r="AP60" i="4"/>
  <c r="BF59" i="4"/>
  <c r="AY59" i="4"/>
  <c r="AL60" i="4"/>
  <c r="BN59" i="4"/>
  <c r="CS59" i="4"/>
  <c r="AZ60" i="4"/>
  <c r="BH59" i="4"/>
  <c r="AM60" i="4"/>
  <c r="AE60" i="4"/>
  <c r="AF60" i="4"/>
  <c r="CM59" i="4"/>
  <c r="AD60" i="4"/>
  <c r="AH60" i="4"/>
  <c r="AZ59" i="4"/>
  <c r="AR59" i="4"/>
  <c r="BA59" i="4"/>
  <c r="BB60" i="4" s="1"/>
  <c r="BV58" i="4"/>
  <c r="DA58" i="4"/>
  <c r="DP58" i="4" s="1"/>
  <c r="DQ58" i="4" s="1"/>
  <c r="AV59" i="4"/>
  <c r="AW60" i="4" s="1"/>
  <c r="AS59" i="4"/>
  <c r="BF60" i="4" s="1"/>
  <c r="AT59" i="4"/>
  <c r="CJ15" i="4"/>
  <c r="AH16" i="3"/>
  <c r="CQ16" i="3" s="1"/>
  <c r="BW15" i="8"/>
  <c r="AX16" i="8"/>
  <c r="DG16" i="8" s="1"/>
  <c r="AW16" i="8"/>
  <c r="DF16" i="8" s="1"/>
  <c r="AJ16" i="8"/>
  <c r="CS16" i="8" s="1"/>
  <c r="AI16" i="8"/>
  <c r="CR16" i="8" s="1"/>
  <c r="BL15" i="8"/>
  <c r="CA15" i="8"/>
  <c r="CB15" i="8"/>
  <c r="AT16" i="8"/>
  <c r="DC16" i="8" s="1"/>
  <c r="AS16" i="8"/>
  <c r="DB16" i="8" s="1"/>
  <c r="BA16" i="8"/>
  <c r="DJ16" i="8" s="1"/>
  <c r="AV16" i="8"/>
  <c r="DE16" i="8" s="1"/>
  <c r="AR16" i="8"/>
  <c r="DA16" i="8" s="1"/>
  <c r="BV15" i="8"/>
  <c r="BY15" i="5"/>
  <c r="BK15" i="8"/>
  <c r="BO15" i="8"/>
  <c r="CG15" i="8"/>
  <c r="BY15" i="8"/>
  <c r="CE15" i="8"/>
  <c r="BU15" i="8"/>
  <c r="BE16" i="4"/>
  <c r="DN16" i="4" s="1"/>
  <c r="BB16" i="4"/>
  <c r="DK16" i="4" s="1"/>
  <c r="CI15" i="8"/>
  <c r="BR15" i="8"/>
  <c r="AZ16" i="8"/>
  <c r="DI16" i="8" s="1"/>
  <c r="AL16" i="8"/>
  <c r="CU16" i="8" s="1"/>
  <c r="BN15" i="8"/>
  <c r="BY15" i="6"/>
  <c r="BW15" i="3"/>
  <c r="BD16" i="4"/>
  <c r="DM16" i="4" s="1"/>
  <c r="AN16" i="8"/>
  <c r="CW16" i="8" s="1"/>
  <c r="BD16" i="8"/>
  <c r="DM16" i="8" s="1"/>
  <c r="BB16" i="8"/>
  <c r="DK16" i="8" s="1"/>
  <c r="AP16" i="8"/>
  <c r="CY16" i="8" s="1"/>
  <c r="BQ15" i="8"/>
  <c r="BT15" i="8"/>
  <c r="DP14" i="8"/>
  <c r="DQ14" i="8" s="1"/>
  <c r="AG16" i="8"/>
  <c r="CP16" i="8" s="1"/>
  <c r="BC16" i="8"/>
  <c r="DL16" i="8" s="1"/>
  <c r="AU16" i="8"/>
  <c r="DD16" i="8" s="1"/>
  <c r="AY16" i="8"/>
  <c r="DH16" i="8" s="1"/>
  <c r="AO16" i="8"/>
  <c r="CX16" i="8" s="1"/>
  <c r="AK16" i="8"/>
  <c r="CT16" i="8" s="1"/>
  <c r="BJ15" i="8"/>
  <c r="CB15" i="4"/>
  <c r="CK15" i="4" s="1"/>
  <c r="CL15" i="4" s="1"/>
  <c r="BX15" i="8"/>
  <c r="AQ16" i="8"/>
  <c r="CZ16" i="8" s="1"/>
  <c r="BE16" i="8"/>
  <c r="DN16" i="8" s="1"/>
  <c r="BS15" i="8"/>
  <c r="BZ15" i="8"/>
  <c r="BM15" i="8"/>
  <c r="CK14" i="8"/>
  <c r="CL14" i="8" s="1"/>
  <c r="BI15" i="8"/>
  <c r="CD15" i="8"/>
  <c r="AD16" i="8"/>
  <c r="CM16" i="8" s="1"/>
  <c r="BF16" i="8"/>
  <c r="AH16" i="8"/>
  <c r="CQ16" i="8" s="1"/>
  <c r="AF16" i="8"/>
  <c r="CO16" i="8" s="1"/>
  <c r="BG15" i="8"/>
  <c r="AE16" i="8"/>
  <c r="CN16" i="8" s="1"/>
  <c r="AM16" i="8"/>
  <c r="CV16" i="8" s="1"/>
  <c r="BH15" i="8"/>
  <c r="CF15" i="4"/>
  <c r="CH15" i="8"/>
  <c r="CF15" i="8"/>
  <c r="CH15" i="4"/>
  <c r="BU15" i="5"/>
  <c r="CC15" i="8"/>
  <c r="AS16" i="3"/>
  <c r="DB16" i="3" s="1"/>
  <c r="BP15" i="8"/>
  <c r="CI15" i="6"/>
  <c r="CJ15" i="8"/>
  <c r="DO15" i="8"/>
  <c r="BE16" i="6"/>
  <c r="DN16" i="6" s="1"/>
  <c r="AZ16" i="6"/>
  <c r="DI16" i="6" s="1"/>
  <c r="DG15" i="6"/>
  <c r="AU16" i="6"/>
  <c r="DD16" i="6" s="1"/>
  <c r="BF16" i="6"/>
  <c r="DO16" i="6" s="1"/>
  <c r="CC15" i="6"/>
  <c r="CG15" i="6"/>
  <c r="CD15" i="6"/>
  <c r="CK14" i="6"/>
  <c r="CL14" i="6" s="1"/>
  <c r="AF17" i="6"/>
  <c r="CO17" i="6" s="1"/>
  <c r="AE17" i="6"/>
  <c r="CN17" i="6" s="1"/>
  <c r="AD17" i="6"/>
  <c r="CM17" i="6" s="1"/>
  <c r="AM17" i="6"/>
  <c r="CV17" i="6" s="1"/>
  <c r="AH17" i="6"/>
  <c r="CQ17" i="6" s="1"/>
  <c r="BH16" i="6"/>
  <c r="CF15" i="6"/>
  <c r="AV16" i="3"/>
  <c r="DE16" i="3" s="1"/>
  <c r="BU16" i="6"/>
  <c r="BZ15" i="6"/>
  <c r="BA16" i="6"/>
  <c r="DJ16" i="6" s="1"/>
  <c r="AV16" i="6"/>
  <c r="DE16" i="6" s="1"/>
  <c r="AT16" i="6"/>
  <c r="DC16" i="6" s="1"/>
  <c r="AS16" i="6"/>
  <c r="DB16" i="6" s="1"/>
  <c r="AR16" i="6"/>
  <c r="DA16" i="6" s="1"/>
  <c r="BV15" i="6"/>
  <c r="CA15" i="6"/>
  <c r="BC16" i="6"/>
  <c r="BX15" i="6"/>
  <c r="AQ17" i="6"/>
  <c r="CZ17" i="6" s="1"/>
  <c r="BS16" i="6"/>
  <c r="CB15" i="6"/>
  <c r="BR15" i="3"/>
  <c r="BP16" i="6"/>
  <c r="CE15" i="6"/>
  <c r="CH15" i="6"/>
  <c r="BK16" i="6"/>
  <c r="AM16" i="3"/>
  <c r="CV16" i="3" s="1"/>
  <c r="CK14" i="4"/>
  <c r="CL14" i="4" s="1"/>
  <c r="AY16" i="6"/>
  <c r="DH16" i="6" s="1"/>
  <c r="BW15" i="6"/>
  <c r="CC15" i="5"/>
  <c r="AX16" i="6"/>
  <c r="DG16" i="6" s="1"/>
  <c r="BR16" i="6"/>
  <c r="BO16" i="6"/>
  <c r="BD16" i="6"/>
  <c r="DM16" i="6" s="1"/>
  <c r="BI16" i="6"/>
  <c r="AW16" i="6"/>
  <c r="DF16" i="6" s="1"/>
  <c r="BT16" i="6"/>
  <c r="AG17" i="6"/>
  <c r="CP17" i="6" s="1"/>
  <c r="AO17" i="6"/>
  <c r="CX17" i="6" s="1"/>
  <c r="AK17" i="6"/>
  <c r="CT17" i="6" s="1"/>
  <c r="BJ16" i="6"/>
  <c r="BG15" i="6"/>
  <c r="CJ15" i="6"/>
  <c r="DO15" i="6"/>
  <c r="BM16" i="6"/>
  <c r="AJ17" i="6"/>
  <c r="CS17" i="6" s="1"/>
  <c r="AI17" i="6"/>
  <c r="CR17" i="6" s="1"/>
  <c r="BL16" i="6"/>
  <c r="CB15" i="5"/>
  <c r="AL17" i="6"/>
  <c r="CU17" i="6" s="1"/>
  <c r="BN16" i="6"/>
  <c r="AP17" i="6"/>
  <c r="CY17" i="6" s="1"/>
  <c r="AN17" i="6"/>
  <c r="CW17" i="6" s="1"/>
  <c r="BQ16" i="6"/>
  <c r="BB16" i="6"/>
  <c r="DK16" i="6" s="1"/>
  <c r="AX16" i="5"/>
  <c r="DG16" i="5" s="1"/>
  <c r="CI15" i="5"/>
  <c r="AY16" i="5"/>
  <c r="DH16" i="5" s="1"/>
  <c r="BD16" i="5"/>
  <c r="DM16" i="5" s="1"/>
  <c r="AU16" i="5"/>
  <c r="DD16" i="5" s="1"/>
  <c r="CK14" i="5"/>
  <c r="CL14" i="5" s="1"/>
  <c r="CA15" i="5"/>
  <c r="BJ15" i="3"/>
  <c r="AN17" i="5"/>
  <c r="CW17" i="5" s="1"/>
  <c r="AP17" i="5"/>
  <c r="CY17" i="5" s="1"/>
  <c r="BQ16" i="5"/>
  <c r="BB16" i="5"/>
  <c r="DK16" i="5" s="1"/>
  <c r="AL17" i="5"/>
  <c r="CU17" i="5" s="1"/>
  <c r="BN16" i="5"/>
  <c r="AW16" i="5"/>
  <c r="DF16" i="5" s="1"/>
  <c r="CD15" i="5"/>
  <c r="BR16" i="5"/>
  <c r="CG15" i="5"/>
  <c r="BK16" i="5"/>
  <c r="AY16" i="4"/>
  <c r="DH16" i="4" s="1"/>
  <c r="AF17" i="5"/>
  <c r="CO17" i="5" s="1"/>
  <c r="AE17" i="5"/>
  <c r="CN17" i="5" s="1"/>
  <c r="AM17" i="5"/>
  <c r="CV17" i="5" s="1"/>
  <c r="AH17" i="5"/>
  <c r="CQ17" i="5" s="1"/>
  <c r="AD17" i="5"/>
  <c r="CM17" i="5" s="1"/>
  <c r="BH16" i="5"/>
  <c r="BT16" i="5"/>
  <c r="BF16" i="5"/>
  <c r="BG15" i="5"/>
  <c r="AZ16" i="4"/>
  <c r="DI16" i="4" s="1"/>
  <c r="AJ17" i="5"/>
  <c r="CS17" i="5" s="1"/>
  <c r="AI17" i="5"/>
  <c r="CR17" i="5" s="1"/>
  <c r="BL16" i="5"/>
  <c r="BE16" i="5"/>
  <c r="DN16" i="5" s="1"/>
  <c r="BX15" i="5"/>
  <c r="BO16" i="5"/>
  <c r="AZ16" i="5"/>
  <c r="DI16" i="5" s="1"/>
  <c r="DO15" i="5"/>
  <c r="DP15" i="5" s="1"/>
  <c r="DQ15" i="5" s="1"/>
  <c r="CJ15" i="5"/>
  <c r="AX16" i="4"/>
  <c r="DG16" i="4" s="1"/>
  <c r="BU16" i="5"/>
  <c r="BA16" i="5"/>
  <c r="DJ16" i="5" s="1"/>
  <c r="AS16" i="5"/>
  <c r="DB16" i="5" s="1"/>
  <c r="AV16" i="5"/>
  <c r="DE16" i="5" s="1"/>
  <c r="AT16" i="5"/>
  <c r="DC16" i="5" s="1"/>
  <c r="AR16" i="5"/>
  <c r="DA16" i="5" s="1"/>
  <c r="BV15" i="5"/>
  <c r="BZ15" i="5"/>
  <c r="BM16" i="5"/>
  <c r="BI16" i="5"/>
  <c r="BP16" i="5"/>
  <c r="BG15" i="4"/>
  <c r="BW15" i="5"/>
  <c r="BF16" i="4"/>
  <c r="DO16" i="4" s="1"/>
  <c r="AK17" i="5"/>
  <c r="CT17" i="5" s="1"/>
  <c r="AO17" i="5"/>
  <c r="CX17" i="5" s="1"/>
  <c r="AG17" i="5"/>
  <c r="CP17" i="5" s="1"/>
  <c r="BJ16" i="5"/>
  <c r="AQ17" i="5"/>
  <c r="CZ17" i="5" s="1"/>
  <c r="BS16" i="5"/>
  <c r="CF15" i="5"/>
  <c r="CH15" i="5"/>
  <c r="BC16" i="4"/>
  <c r="DL16" i="4" s="1"/>
  <c r="BC16" i="5"/>
  <c r="DL16" i="5" s="1"/>
  <c r="CE15" i="5"/>
  <c r="BY15" i="3"/>
  <c r="AG16" i="3"/>
  <c r="CP16" i="3" s="1"/>
  <c r="BK15" i="3"/>
  <c r="AT16" i="3"/>
  <c r="DC16" i="3" s="1"/>
  <c r="DC15" i="3"/>
  <c r="CE15" i="3"/>
  <c r="DJ15" i="3"/>
  <c r="BU15" i="3"/>
  <c r="CZ15" i="3"/>
  <c r="BS15" i="3"/>
  <c r="CX15" i="3"/>
  <c r="CF15" i="3"/>
  <c r="BT15" i="3"/>
  <c r="CY15" i="3"/>
  <c r="CI15" i="3"/>
  <c r="DN15" i="3"/>
  <c r="AW16" i="3"/>
  <c r="DF16" i="3" s="1"/>
  <c r="CQ15" i="3"/>
  <c r="AF16" i="3"/>
  <c r="CO16" i="3" s="1"/>
  <c r="BZ15" i="3"/>
  <c r="DE15" i="3"/>
  <c r="CA15" i="3"/>
  <c r="DF15" i="3"/>
  <c r="BX16" i="4"/>
  <c r="BO16" i="4"/>
  <c r="AL17" i="4"/>
  <c r="CU17" i="4" s="1"/>
  <c r="BN16" i="4"/>
  <c r="AU16" i="3"/>
  <c r="DD16" i="3" s="1"/>
  <c r="BU16" i="4"/>
  <c r="BT16" i="4"/>
  <c r="CE16" i="4"/>
  <c r="CF16" i="4"/>
  <c r="BM15" i="3"/>
  <c r="DP15" i="4"/>
  <c r="DQ15" i="4" s="1"/>
  <c r="BL15" i="3"/>
  <c r="CI16" i="4"/>
  <c r="AH17" i="4"/>
  <c r="CQ17" i="4" s="1"/>
  <c r="AF17" i="4"/>
  <c r="CO17" i="4" s="1"/>
  <c r="AE17" i="4"/>
  <c r="CN17" i="4" s="1"/>
  <c r="AD17" i="4"/>
  <c r="CM17" i="4" s="1"/>
  <c r="AM17" i="4"/>
  <c r="CV17" i="4" s="1"/>
  <c r="BH16" i="4"/>
  <c r="AI16" i="3"/>
  <c r="CR16" i="3" s="1"/>
  <c r="AK17" i="4"/>
  <c r="CT17" i="4" s="1"/>
  <c r="AG17" i="4"/>
  <c r="CP17" i="4" s="1"/>
  <c r="AU17" i="4"/>
  <c r="DD17" i="4" s="1"/>
  <c r="AO17" i="4"/>
  <c r="CX17" i="4" s="1"/>
  <c r="BJ16" i="4"/>
  <c r="BM16" i="4"/>
  <c r="BI16" i="4"/>
  <c r="BZ16" i="4"/>
  <c r="AP17" i="4"/>
  <c r="CY17" i="4" s="1"/>
  <c r="BB17" i="4"/>
  <c r="DK17" i="4" s="1"/>
  <c r="AN17" i="4"/>
  <c r="CW17" i="4" s="1"/>
  <c r="BQ16" i="4"/>
  <c r="BX15" i="3"/>
  <c r="BP16" i="4"/>
  <c r="BK16" i="4"/>
  <c r="AJ17" i="4"/>
  <c r="CS17" i="4" s="1"/>
  <c r="AI17" i="4"/>
  <c r="CR17" i="4" s="1"/>
  <c r="AW17" i="4"/>
  <c r="DF17" i="4" s="1"/>
  <c r="BL16" i="4"/>
  <c r="BA16" i="3"/>
  <c r="DJ16" i="3" s="1"/>
  <c r="BA17" i="4"/>
  <c r="DJ17" i="4" s="1"/>
  <c r="AV17" i="4"/>
  <c r="DE17" i="4" s="1"/>
  <c r="AT17" i="4"/>
  <c r="DC17" i="4" s="1"/>
  <c r="AS17" i="4"/>
  <c r="DB17" i="4" s="1"/>
  <c r="AR17" i="4"/>
  <c r="DA17" i="4" s="1"/>
  <c r="BV16" i="4"/>
  <c r="CA16" i="4"/>
  <c r="BY16" i="4"/>
  <c r="AQ17" i="4"/>
  <c r="CZ17" i="4" s="1"/>
  <c r="BS16" i="4"/>
  <c r="BR16" i="4"/>
  <c r="BW16" i="4"/>
  <c r="BQ15" i="3"/>
  <c r="BB16" i="3"/>
  <c r="AN16" i="3"/>
  <c r="CW16" i="3" s="1"/>
  <c r="AQ16" i="3"/>
  <c r="CZ16" i="3" s="1"/>
  <c r="DP14" i="3"/>
  <c r="DQ14" i="3" s="1"/>
  <c r="AO16" i="3"/>
  <c r="CX16" i="3" s="1"/>
  <c r="BN15" i="3"/>
  <c r="AP16" i="3"/>
  <c r="AJ16" i="3"/>
  <c r="CS16" i="3" s="1"/>
  <c r="CB15" i="3"/>
  <c r="CC15" i="3"/>
  <c r="BO15" i="3"/>
  <c r="BD16" i="3"/>
  <c r="DM16" i="3" s="1"/>
  <c r="CK14" i="3"/>
  <c r="CL14" i="3" s="1"/>
  <c r="BE16" i="3"/>
  <c r="CG15" i="3"/>
  <c r="CJ15" i="3"/>
  <c r="AX16" i="3"/>
  <c r="DG16" i="3" s="1"/>
  <c r="BC16" i="3"/>
  <c r="CD15" i="3"/>
  <c r="AL16" i="3"/>
  <c r="CU16" i="3" s="1"/>
  <c r="AK16" i="3"/>
  <c r="CT16" i="3" s="1"/>
  <c r="AZ16" i="3"/>
  <c r="BF16" i="3"/>
  <c r="DO16" i="3" s="1"/>
  <c r="BG15" i="3"/>
  <c r="AY16" i="3"/>
  <c r="DH16" i="3" s="1"/>
  <c r="CH15" i="3"/>
  <c r="BP15" i="3"/>
  <c r="AE17" i="3"/>
  <c r="CN17" i="3" s="1"/>
  <c r="AD17" i="3"/>
  <c r="CM17" i="3" s="1"/>
  <c r="BH16" i="3"/>
  <c r="AR17" i="3"/>
  <c r="DA17" i="3" s="1"/>
  <c r="BV16" i="3"/>
  <c r="DC14" i="2"/>
  <c r="BX14" i="2"/>
  <c r="CN14" i="2"/>
  <c r="BI14" i="2"/>
  <c r="BI16" i="3"/>
  <c r="DD14" i="2"/>
  <c r="BY14" i="2"/>
  <c r="DB14" i="2"/>
  <c r="BW14" i="2"/>
  <c r="DJ14" i="2"/>
  <c r="CE14" i="2"/>
  <c r="AR16" i="2"/>
  <c r="BV16" i="2" s="1"/>
  <c r="DA15" i="2"/>
  <c r="AT15" i="2"/>
  <c r="CO14" i="2"/>
  <c r="AU15" i="2"/>
  <c r="AS15" i="2"/>
  <c r="BW15" i="2" s="1"/>
  <c r="AG15" i="2"/>
  <c r="CP14" i="2"/>
  <c r="CM15" i="2"/>
  <c r="AD16" i="2"/>
  <c r="BH16" i="2" s="1"/>
  <c r="AI15" i="2"/>
  <c r="BM15" i="2" s="1"/>
  <c r="AF15" i="2"/>
  <c r="BJ15" i="2" s="1"/>
  <c r="AE15" i="2"/>
  <c r="BI15" i="2" s="1"/>
  <c r="BE15" i="2"/>
  <c r="CI15" i="2" s="1"/>
  <c r="AQ15" i="2"/>
  <c r="BU15" i="2" s="1"/>
  <c r="AN15" i="2"/>
  <c r="BR15" i="2" s="1"/>
  <c r="AP15" i="2"/>
  <c r="BT15" i="2" s="1"/>
  <c r="BD15" i="2"/>
  <c r="CH15" i="2" s="1"/>
  <c r="BB15" i="2"/>
  <c r="CF15" i="2" s="1"/>
  <c r="AJ15" i="2"/>
  <c r="BN15" i="2" s="1"/>
  <c r="AH15" i="2"/>
  <c r="BL15" i="2" s="1"/>
  <c r="AW15" i="2"/>
  <c r="CA15" i="2" s="1"/>
  <c r="AM15" i="2"/>
  <c r="BQ15" i="2" s="1"/>
  <c r="AV15" i="2"/>
  <c r="BZ15" i="2" s="1"/>
  <c r="BF15" i="2"/>
  <c r="BA15" i="2"/>
  <c r="CE15" i="2" s="1"/>
  <c r="AX15" i="2"/>
  <c r="CB15" i="2" s="1"/>
  <c r="AY15" i="2"/>
  <c r="CC15" i="2" s="1"/>
  <c r="BC15" i="2"/>
  <c r="CG15" i="2" s="1"/>
  <c r="AK15" i="2"/>
  <c r="BO15" i="2" s="1"/>
  <c r="AZ15" i="2"/>
  <c r="CD15" i="2" s="1"/>
  <c r="AO15" i="2"/>
  <c r="BS15" i="2" s="1"/>
  <c r="AL15" i="2"/>
  <c r="CK13" i="2"/>
  <c r="CL13" i="2" s="1"/>
  <c r="DP13" i="2"/>
  <c r="DQ13" i="2" s="1"/>
  <c r="DN14" i="2"/>
  <c r="CZ14" i="2"/>
  <c r="DM14" i="2"/>
  <c r="CW14" i="2"/>
  <c r="DK14" i="2"/>
  <c r="CY14" i="2"/>
  <c r="CU14" i="2"/>
  <c r="DI14" i="2"/>
  <c r="CT14" i="2"/>
  <c r="CX14" i="2"/>
  <c r="DL14" i="2"/>
  <c r="DH14" i="2"/>
  <c r="CJ14" i="2"/>
  <c r="DO14" i="2"/>
  <c r="DF14" i="2"/>
  <c r="DE14" i="2"/>
  <c r="CQ14" i="2"/>
  <c r="CS14" i="2"/>
  <c r="CR14" i="2"/>
  <c r="CV14" i="2"/>
  <c r="DG14" i="2"/>
  <c r="BG14" i="2"/>
  <c r="DL60" i="8" l="1"/>
  <c r="CG60" i="8"/>
  <c r="AN61" i="8"/>
  <c r="AP61" i="8"/>
  <c r="BQ60" i="8"/>
  <c r="CV60" i="8"/>
  <c r="CW60" i="8"/>
  <c r="BR60" i="8"/>
  <c r="CU60" i="8"/>
  <c r="BP60" i="8"/>
  <c r="BY60" i="8"/>
  <c r="DD60" i="8"/>
  <c r="CB59" i="8"/>
  <c r="DG59" i="8"/>
  <c r="CZ60" i="8"/>
  <c r="BU60" i="8"/>
  <c r="DM60" i="8"/>
  <c r="CH60" i="8"/>
  <c r="AI61" i="8"/>
  <c r="BL60" i="8"/>
  <c r="CQ60" i="8"/>
  <c r="AJ61" i="8"/>
  <c r="CF60" i="8"/>
  <c r="DK60" i="8"/>
  <c r="BT60" i="8"/>
  <c r="CY60" i="8"/>
  <c r="CE59" i="8"/>
  <c r="DJ59" i="8"/>
  <c r="BN60" i="8"/>
  <c r="CS60" i="8"/>
  <c r="AL61" i="8"/>
  <c r="CB60" i="8"/>
  <c r="DG60" i="8"/>
  <c r="DN60" i="8"/>
  <c r="CI60" i="8"/>
  <c r="BZ59" i="8"/>
  <c r="DE59" i="8"/>
  <c r="CX60" i="8"/>
  <c r="BS60" i="8"/>
  <c r="BE61" i="8"/>
  <c r="AQ61" i="8"/>
  <c r="BF60" i="8"/>
  <c r="BI60" i="8"/>
  <c r="CN60" i="8"/>
  <c r="CP60" i="8"/>
  <c r="BK60" i="8"/>
  <c r="CR60" i="8"/>
  <c r="BM60" i="8"/>
  <c r="BX59" i="8"/>
  <c r="DC59" i="8"/>
  <c r="BW59" i="8"/>
  <c r="DB59" i="8"/>
  <c r="BG59" i="8"/>
  <c r="AY60" i="8"/>
  <c r="DO59" i="8"/>
  <c r="CJ59" i="8"/>
  <c r="CT60" i="8"/>
  <c r="BO60" i="8"/>
  <c r="AF61" i="8"/>
  <c r="AD61" i="8"/>
  <c r="AM61" i="8"/>
  <c r="CM60" i="8"/>
  <c r="AE61" i="8"/>
  <c r="BH60" i="8"/>
  <c r="AH61" i="8"/>
  <c r="AZ60" i="8"/>
  <c r="DL59" i="8"/>
  <c r="DP59" i="8" s="1"/>
  <c r="DQ59" i="8" s="1"/>
  <c r="CG59" i="8"/>
  <c r="BV59" i="8"/>
  <c r="CK59" i="8" s="1"/>
  <c r="CL59" i="8" s="1"/>
  <c r="AT60" i="8"/>
  <c r="AU61" i="8" s="1"/>
  <c r="AV60" i="8"/>
  <c r="AW61" i="8" s="1"/>
  <c r="AR60" i="8"/>
  <c r="BG60" i="8" s="1"/>
  <c r="AS60" i="8"/>
  <c r="BA60" i="8"/>
  <c r="BD61" i="8" s="1"/>
  <c r="DA59" i="8"/>
  <c r="BJ60" i="8"/>
  <c r="AK61" i="8"/>
  <c r="CO60" i="8"/>
  <c r="AG61" i="8"/>
  <c r="AO61" i="8"/>
  <c r="AW60" i="8"/>
  <c r="CA60" i="6"/>
  <c r="DF60" i="6"/>
  <c r="BH60" i="6"/>
  <c r="AD61" i="6"/>
  <c r="AM61" i="6"/>
  <c r="CM60" i="6"/>
  <c r="AE61" i="6"/>
  <c r="AF61" i="6"/>
  <c r="AH61" i="6"/>
  <c r="BY59" i="6"/>
  <c r="DD59" i="6"/>
  <c r="AL61" i="6"/>
  <c r="AZ61" i="6"/>
  <c r="BN60" i="6"/>
  <c r="CS60" i="6"/>
  <c r="CF60" i="6"/>
  <c r="DK60" i="6"/>
  <c r="AX60" i="6"/>
  <c r="AP61" i="6"/>
  <c r="CV60" i="6"/>
  <c r="BD61" i="6"/>
  <c r="AN61" i="6"/>
  <c r="BQ60" i="6"/>
  <c r="BT60" i="6"/>
  <c r="CY60" i="6"/>
  <c r="CE59" i="6"/>
  <c r="DJ59" i="6"/>
  <c r="BX59" i="6"/>
  <c r="DC59" i="6"/>
  <c r="BK60" i="6"/>
  <c r="CP60" i="6"/>
  <c r="BG59" i="6"/>
  <c r="DM60" i="6"/>
  <c r="CH60" i="6"/>
  <c r="CI60" i="6"/>
  <c r="DN60" i="6"/>
  <c r="DF59" i="6"/>
  <c r="CA59" i="6"/>
  <c r="AY60" i="6"/>
  <c r="DM59" i="6"/>
  <c r="CH59" i="6"/>
  <c r="CJ59" i="6"/>
  <c r="DO59" i="6"/>
  <c r="DB59" i="6"/>
  <c r="DP59" i="6" s="1"/>
  <c r="DQ59" i="6" s="1"/>
  <c r="BW59" i="6"/>
  <c r="CB59" i="6"/>
  <c r="DG59" i="6"/>
  <c r="AU60" i="6"/>
  <c r="BP60" i="6"/>
  <c r="CU60" i="6"/>
  <c r="CD60" i="6"/>
  <c r="DI60" i="6"/>
  <c r="CN60" i="6"/>
  <c r="BI60" i="6"/>
  <c r="BF60" i="6"/>
  <c r="CR60" i="6"/>
  <c r="BM60" i="6"/>
  <c r="BR60" i="6"/>
  <c r="CW60" i="6"/>
  <c r="CZ60" i="6"/>
  <c r="BU60" i="6"/>
  <c r="BS60" i="6"/>
  <c r="AQ61" i="6"/>
  <c r="CX60" i="6"/>
  <c r="BE61" i="6"/>
  <c r="DL60" i="6"/>
  <c r="CG60" i="6"/>
  <c r="BZ59" i="6"/>
  <c r="DE59" i="6"/>
  <c r="BJ60" i="6"/>
  <c r="AG61" i="6"/>
  <c r="AY61" i="6"/>
  <c r="CO60" i="6"/>
  <c r="AU61" i="6"/>
  <c r="BC61" i="6"/>
  <c r="AK61" i="6"/>
  <c r="AO61" i="6"/>
  <c r="AI61" i="6"/>
  <c r="CQ60" i="6"/>
  <c r="BL60" i="6"/>
  <c r="AJ61" i="6"/>
  <c r="AR60" i="6"/>
  <c r="BA60" i="6"/>
  <c r="AS60" i="6"/>
  <c r="BF61" i="6" s="1"/>
  <c r="AT60" i="6"/>
  <c r="DA59" i="6"/>
  <c r="AV60" i="6"/>
  <c r="AW61" i="6" s="1"/>
  <c r="BV59" i="6"/>
  <c r="CK59" i="6" s="1"/>
  <c r="CL59" i="6" s="1"/>
  <c r="CC59" i="6"/>
  <c r="DH59" i="6"/>
  <c r="CT60" i="6"/>
  <c r="BO60" i="6"/>
  <c r="DL59" i="6"/>
  <c r="CG59" i="6"/>
  <c r="CF60" i="5"/>
  <c r="DK60" i="5"/>
  <c r="BX59" i="5"/>
  <c r="DC59" i="5"/>
  <c r="CP60" i="5"/>
  <c r="BK60" i="5"/>
  <c r="BW59" i="5"/>
  <c r="DB59" i="5"/>
  <c r="DP59" i="5" s="1"/>
  <c r="DQ59" i="5" s="1"/>
  <c r="AI61" i="5"/>
  <c r="AJ61" i="5"/>
  <c r="CQ60" i="5"/>
  <c r="BL60" i="5"/>
  <c r="AU60" i="5"/>
  <c r="BA60" i="5"/>
  <c r="BB61" i="5" s="1"/>
  <c r="DA59" i="5"/>
  <c r="AR60" i="5"/>
  <c r="BF61" i="5" s="1"/>
  <c r="AS60" i="5"/>
  <c r="AT60" i="5"/>
  <c r="AV60" i="5"/>
  <c r="AX61" i="5" s="1"/>
  <c r="BV59" i="5"/>
  <c r="AK61" i="5"/>
  <c r="AO61" i="5"/>
  <c r="CO60" i="5"/>
  <c r="BJ60" i="5"/>
  <c r="AG61" i="5"/>
  <c r="CC59" i="5"/>
  <c r="DH59" i="5"/>
  <c r="CX60" i="5"/>
  <c r="BS60" i="5"/>
  <c r="AQ61" i="5"/>
  <c r="CG59" i="5"/>
  <c r="DL59" i="5"/>
  <c r="CN60" i="5"/>
  <c r="BI60" i="5"/>
  <c r="BC60" i="5"/>
  <c r="DH60" i="5"/>
  <c r="CC60" i="5"/>
  <c r="DJ59" i="5"/>
  <c r="CE59" i="5"/>
  <c r="AH61" i="5"/>
  <c r="AM61" i="5"/>
  <c r="CM60" i="5"/>
  <c r="BH60" i="5"/>
  <c r="AD61" i="5"/>
  <c r="AE61" i="5"/>
  <c r="AF61" i="5"/>
  <c r="CT60" i="5"/>
  <c r="BO60" i="5"/>
  <c r="BZ59" i="5"/>
  <c r="DE59" i="5"/>
  <c r="CA59" i="5"/>
  <c r="DF59" i="5"/>
  <c r="CR60" i="5"/>
  <c r="BM60" i="5"/>
  <c r="BF60" i="5"/>
  <c r="AX60" i="5"/>
  <c r="DI60" i="5"/>
  <c r="CD60" i="5"/>
  <c r="AW60" i="5"/>
  <c r="AW61" i="5" s="1"/>
  <c r="BG59" i="5"/>
  <c r="CV60" i="5"/>
  <c r="BQ60" i="5"/>
  <c r="AN61" i="5"/>
  <c r="AP61" i="5"/>
  <c r="CW60" i="5"/>
  <c r="BR60" i="5"/>
  <c r="DO59" i="5"/>
  <c r="CJ59" i="5"/>
  <c r="AZ61" i="5"/>
  <c r="AL61" i="5"/>
  <c r="CS60" i="5"/>
  <c r="BN60" i="5"/>
  <c r="CZ60" i="5"/>
  <c r="BU60" i="5"/>
  <c r="CB59" i="5"/>
  <c r="DG59" i="5"/>
  <c r="BE60" i="5"/>
  <c r="CY60" i="5"/>
  <c r="BT60" i="5"/>
  <c r="DK59" i="5"/>
  <c r="CF59" i="5"/>
  <c r="BY59" i="5"/>
  <c r="CK59" i="5" s="1"/>
  <c r="CL59" i="5" s="1"/>
  <c r="DD59" i="5"/>
  <c r="BD60" i="5"/>
  <c r="BP60" i="5"/>
  <c r="CU60" i="5"/>
  <c r="CK15" i="5"/>
  <c r="CL15" i="5" s="1"/>
  <c r="DD60" i="2"/>
  <c r="BY60" i="2"/>
  <c r="CD60" i="2"/>
  <c r="DI60" i="2"/>
  <c r="BF60" i="2"/>
  <c r="DE59" i="2"/>
  <c r="BZ59" i="2"/>
  <c r="AI61" i="2"/>
  <c r="AJ61" i="2"/>
  <c r="BL60" i="2"/>
  <c r="CQ60" i="2"/>
  <c r="BW59" i="2"/>
  <c r="DB59" i="2"/>
  <c r="CU60" i="2"/>
  <c r="BP60" i="2"/>
  <c r="AX60" i="2"/>
  <c r="CN60" i="2"/>
  <c r="BI60" i="2"/>
  <c r="CH59" i="2"/>
  <c r="DM59" i="2"/>
  <c r="BG59" i="2"/>
  <c r="BK60" i="2"/>
  <c r="CP60" i="2"/>
  <c r="BA60" i="2"/>
  <c r="AR60" i="2"/>
  <c r="AV60" i="2"/>
  <c r="AX61" i="2" s="1"/>
  <c r="DA59" i="2"/>
  <c r="DP59" i="2" s="1"/>
  <c r="DQ59" i="2" s="1"/>
  <c r="AT60" i="2"/>
  <c r="BG60" i="2" s="1"/>
  <c r="BV59" i="2"/>
  <c r="CK59" i="2" s="1"/>
  <c r="CL59" i="2" s="1"/>
  <c r="AS60" i="2"/>
  <c r="DN60" i="2"/>
  <c r="CI60" i="2"/>
  <c r="BX59" i="2"/>
  <c r="DC59" i="2"/>
  <c r="CX60" i="2"/>
  <c r="AQ61" i="2"/>
  <c r="BS60" i="2"/>
  <c r="CY60" i="2"/>
  <c r="BT60" i="2"/>
  <c r="CW60" i="2"/>
  <c r="BR60" i="2"/>
  <c r="AW60" i="2"/>
  <c r="CE59" i="2"/>
  <c r="DJ59" i="2"/>
  <c r="CT60" i="2"/>
  <c r="BO60" i="2"/>
  <c r="CV60" i="2"/>
  <c r="BQ60" i="2"/>
  <c r="AP61" i="2"/>
  <c r="AN61" i="2"/>
  <c r="DL59" i="2"/>
  <c r="CG59" i="2"/>
  <c r="CC59" i="2"/>
  <c r="DH59" i="2"/>
  <c r="BY59" i="2"/>
  <c r="DD59" i="2"/>
  <c r="AY60" i="2"/>
  <c r="AZ61" i="2" s="1"/>
  <c r="BB60" i="2"/>
  <c r="AG61" i="2"/>
  <c r="AK61" i="2"/>
  <c r="BJ60" i="2"/>
  <c r="AO61" i="2"/>
  <c r="CO60" i="2"/>
  <c r="BN60" i="2"/>
  <c r="CS60" i="2"/>
  <c r="AL61" i="2"/>
  <c r="CB59" i="2"/>
  <c r="DG59" i="2"/>
  <c r="BC60" i="2"/>
  <c r="BD61" i="2" s="1"/>
  <c r="CA59" i="2"/>
  <c r="DF59" i="2"/>
  <c r="BD60" i="2"/>
  <c r="DN59" i="2"/>
  <c r="CI59" i="2"/>
  <c r="AF61" i="2"/>
  <c r="AH61" i="2"/>
  <c r="BH60" i="2"/>
  <c r="AD61" i="2"/>
  <c r="AE61" i="2"/>
  <c r="CM60" i="2"/>
  <c r="AM61" i="2"/>
  <c r="BM60" i="2"/>
  <c r="CR60" i="2"/>
  <c r="CZ60" i="2"/>
  <c r="BU60" i="2"/>
  <c r="DK60" i="4"/>
  <c r="CF60" i="4"/>
  <c r="DF60" i="4"/>
  <c r="CA60" i="4"/>
  <c r="DO60" i="4"/>
  <c r="CJ60" i="4"/>
  <c r="DN60" i="4"/>
  <c r="CI60" i="4"/>
  <c r="BR60" i="4"/>
  <c r="CW60" i="4"/>
  <c r="DG59" i="4"/>
  <c r="CB59" i="4"/>
  <c r="BO60" i="4"/>
  <c r="CT60" i="4"/>
  <c r="AK61" i="4"/>
  <c r="AG61" i="4"/>
  <c r="CO60" i="4"/>
  <c r="AO61" i="4"/>
  <c r="BJ60" i="4"/>
  <c r="CN60" i="4"/>
  <c r="BI60" i="4"/>
  <c r="CX60" i="4"/>
  <c r="BS60" i="4"/>
  <c r="BE61" i="4"/>
  <c r="AQ61" i="4"/>
  <c r="BM60" i="4"/>
  <c r="CR60" i="4"/>
  <c r="BG59" i="4"/>
  <c r="AX60" i="4"/>
  <c r="BQ60" i="4"/>
  <c r="CV60" i="4"/>
  <c r="AN61" i="4"/>
  <c r="AP61" i="4"/>
  <c r="DD60" i="4"/>
  <c r="BY60" i="4"/>
  <c r="BX59" i="4"/>
  <c r="DC59" i="4"/>
  <c r="AY60" i="4"/>
  <c r="BZ59" i="4"/>
  <c r="DE59" i="4"/>
  <c r="CA59" i="4"/>
  <c r="DF59" i="4"/>
  <c r="BC60" i="4"/>
  <c r="BP60" i="4"/>
  <c r="CU60" i="4"/>
  <c r="CM60" i="4"/>
  <c r="AH61" i="4"/>
  <c r="AD61" i="4"/>
  <c r="AM61" i="4"/>
  <c r="AF61" i="4"/>
  <c r="AE61" i="4"/>
  <c r="BH60" i="4"/>
  <c r="BW59" i="4"/>
  <c r="CK59" i="4" s="1"/>
  <c r="CL59" i="4" s="1"/>
  <c r="DB59" i="4"/>
  <c r="DP59" i="4" s="1"/>
  <c r="DQ59" i="4" s="1"/>
  <c r="CJ59" i="4"/>
  <c r="DO59" i="4"/>
  <c r="DI59" i="4"/>
  <c r="CD59" i="4"/>
  <c r="CY60" i="4"/>
  <c r="BT60" i="4"/>
  <c r="BN60" i="4"/>
  <c r="AL61" i="4"/>
  <c r="CS60" i="4"/>
  <c r="BU60" i="4"/>
  <c r="CZ60" i="4"/>
  <c r="DI60" i="4"/>
  <c r="CD60" i="4"/>
  <c r="CP60" i="4"/>
  <c r="BK60" i="4"/>
  <c r="DJ59" i="4"/>
  <c r="CE59" i="4"/>
  <c r="DH59" i="4"/>
  <c r="CC59" i="4"/>
  <c r="DA59" i="4"/>
  <c r="BV59" i="4"/>
  <c r="AR60" i="4"/>
  <c r="AS60" i="4"/>
  <c r="BF61" i="4" s="1"/>
  <c r="AT60" i="4"/>
  <c r="AU61" i="4" s="1"/>
  <c r="AV60" i="4"/>
  <c r="BA60" i="4"/>
  <c r="AJ61" i="4"/>
  <c r="AI61" i="4"/>
  <c r="CQ60" i="4"/>
  <c r="AW61" i="4"/>
  <c r="AX61" i="4"/>
  <c r="BL60" i="4"/>
  <c r="BD60" i="4"/>
  <c r="BW16" i="3"/>
  <c r="BJ16" i="3"/>
  <c r="BL16" i="3"/>
  <c r="AS17" i="3"/>
  <c r="DB17" i="3" s="1"/>
  <c r="BQ16" i="3"/>
  <c r="AG17" i="3"/>
  <c r="CP17" i="3" s="1"/>
  <c r="CK15" i="8"/>
  <c r="CL15" i="8" s="1"/>
  <c r="BK16" i="8"/>
  <c r="CD16" i="8"/>
  <c r="BD17" i="8"/>
  <c r="DM17" i="8" s="1"/>
  <c r="AN17" i="8"/>
  <c r="CW17" i="8" s="1"/>
  <c r="AP17" i="8"/>
  <c r="CY17" i="8" s="1"/>
  <c r="BB17" i="8"/>
  <c r="DK17" i="8" s="1"/>
  <c r="BQ16" i="8"/>
  <c r="BM16" i="8"/>
  <c r="CG16" i="8"/>
  <c r="DP15" i="8"/>
  <c r="DQ15" i="8" s="1"/>
  <c r="AL17" i="8"/>
  <c r="CU17" i="8" s="1"/>
  <c r="AZ17" i="8"/>
  <c r="DI17" i="8" s="1"/>
  <c r="BN16" i="8"/>
  <c r="BZ16" i="3"/>
  <c r="BI16" i="8"/>
  <c r="CI16" i="8"/>
  <c r="CA16" i="8"/>
  <c r="AF17" i="8"/>
  <c r="CO17" i="8" s="1"/>
  <c r="AM17" i="8"/>
  <c r="CV17" i="8" s="1"/>
  <c r="BF17" i="8"/>
  <c r="AH17" i="8"/>
  <c r="CQ17" i="8" s="1"/>
  <c r="BG16" i="8"/>
  <c r="AE17" i="8"/>
  <c r="CN17" i="8" s="1"/>
  <c r="AD17" i="8"/>
  <c r="CM17" i="8" s="1"/>
  <c r="BH16" i="8"/>
  <c r="BP16" i="8"/>
  <c r="BD17" i="4"/>
  <c r="DM17" i="4" s="1"/>
  <c r="CB16" i="5"/>
  <c r="CI16" i="6"/>
  <c r="AO17" i="8"/>
  <c r="CX17" i="8" s="1"/>
  <c r="BC17" i="8"/>
  <c r="DL17" i="8" s="1"/>
  <c r="AK17" i="8"/>
  <c r="CT17" i="8" s="1"/>
  <c r="AG17" i="8"/>
  <c r="CP17" i="8" s="1"/>
  <c r="AY17" i="8"/>
  <c r="DH17" i="8" s="1"/>
  <c r="AU17" i="8"/>
  <c r="DD17" i="8" s="1"/>
  <c r="BJ16" i="8"/>
  <c r="BU16" i="8"/>
  <c r="BT16" i="8"/>
  <c r="BA17" i="8"/>
  <c r="DJ17" i="8" s="1"/>
  <c r="AT17" i="8"/>
  <c r="DC17" i="8" s="1"/>
  <c r="AR17" i="8"/>
  <c r="DA17" i="8" s="1"/>
  <c r="AS17" i="8"/>
  <c r="DB17" i="8" s="1"/>
  <c r="AV17" i="8"/>
  <c r="DE17" i="8" s="1"/>
  <c r="BV16" i="8"/>
  <c r="BR16" i="8"/>
  <c r="BE17" i="4"/>
  <c r="DN17" i="4" s="1"/>
  <c r="BO16" i="8"/>
  <c r="BE17" i="8"/>
  <c r="DN17" i="8" s="1"/>
  <c r="AQ17" i="8"/>
  <c r="CZ17" i="8" s="1"/>
  <c r="BS16" i="8"/>
  <c r="BY16" i="6"/>
  <c r="BY16" i="8"/>
  <c r="CH16" i="4"/>
  <c r="AI17" i="8"/>
  <c r="CR17" i="8" s="1"/>
  <c r="AX17" i="8"/>
  <c r="DG17" i="8" s="1"/>
  <c r="AJ17" i="8"/>
  <c r="CS17" i="8" s="1"/>
  <c r="AW17" i="8"/>
  <c r="DF17" i="8" s="1"/>
  <c r="BL16" i="8"/>
  <c r="CF16" i="8"/>
  <c r="BZ16" i="8"/>
  <c r="CE16" i="8"/>
  <c r="BW16" i="8"/>
  <c r="BX16" i="8"/>
  <c r="CG16" i="4"/>
  <c r="CC16" i="8"/>
  <c r="CC16" i="5"/>
  <c r="CB16" i="8"/>
  <c r="AX17" i="4"/>
  <c r="DG17" i="4" s="1"/>
  <c r="DP15" i="6"/>
  <c r="DQ15" i="6" s="1"/>
  <c r="CD16" i="6"/>
  <c r="CJ16" i="8"/>
  <c r="DO16" i="8"/>
  <c r="CH16" i="8"/>
  <c r="CK15" i="6"/>
  <c r="CL15" i="6" s="1"/>
  <c r="BE17" i="6"/>
  <c r="DN17" i="6" s="1"/>
  <c r="DL16" i="6"/>
  <c r="DP16" i="6" s="1"/>
  <c r="DQ16" i="6" s="1"/>
  <c r="AU17" i="6"/>
  <c r="DD17" i="6" s="1"/>
  <c r="AY17" i="6"/>
  <c r="DH17" i="6" s="1"/>
  <c r="AZ17" i="6"/>
  <c r="DI17" i="6" s="1"/>
  <c r="CJ16" i="6"/>
  <c r="BC17" i="6"/>
  <c r="DL17" i="6" s="1"/>
  <c r="CI17" i="6"/>
  <c r="CH16" i="6"/>
  <c r="BP17" i="6"/>
  <c r="BO17" i="6"/>
  <c r="AJ18" i="6"/>
  <c r="CS18" i="6" s="1"/>
  <c r="AI18" i="6"/>
  <c r="CR18" i="6" s="1"/>
  <c r="BL17" i="6"/>
  <c r="CB16" i="6"/>
  <c r="AV17" i="6"/>
  <c r="DE17" i="6" s="1"/>
  <c r="AT17" i="6"/>
  <c r="DC17" i="6" s="1"/>
  <c r="AS17" i="6"/>
  <c r="DB17" i="6" s="1"/>
  <c r="AR17" i="6"/>
  <c r="DA17" i="6" s="1"/>
  <c r="BA17" i="6"/>
  <c r="BV16" i="6"/>
  <c r="BG16" i="6"/>
  <c r="CJ16" i="4"/>
  <c r="BW16" i="6"/>
  <c r="AQ18" i="6"/>
  <c r="CZ18" i="6" s="1"/>
  <c r="BS17" i="6"/>
  <c r="BX16" i="6"/>
  <c r="AP18" i="6"/>
  <c r="CY18" i="6" s="1"/>
  <c r="AN18" i="6"/>
  <c r="CW18" i="6" s="1"/>
  <c r="BQ17" i="6"/>
  <c r="BM17" i="6"/>
  <c r="BZ16" i="6"/>
  <c r="BF17" i="6"/>
  <c r="CF16" i="6"/>
  <c r="AX17" i="6"/>
  <c r="DG17" i="6" s="1"/>
  <c r="BK17" i="6"/>
  <c r="CC16" i="6"/>
  <c r="AM18" i="6"/>
  <c r="CV18" i="6" s="1"/>
  <c r="AH18" i="6"/>
  <c r="CQ18" i="6" s="1"/>
  <c r="AF18" i="6"/>
  <c r="CO18" i="6" s="1"/>
  <c r="AE18" i="6"/>
  <c r="CN18" i="6" s="1"/>
  <c r="AD18" i="6"/>
  <c r="CM18" i="6" s="1"/>
  <c r="BH17" i="6"/>
  <c r="AL18" i="6"/>
  <c r="CU18" i="6" s="1"/>
  <c r="BN17" i="6"/>
  <c r="CE16" i="6"/>
  <c r="BI17" i="6"/>
  <c r="BT17" i="6"/>
  <c r="BB17" i="6"/>
  <c r="DK17" i="6" s="1"/>
  <c r="BU17" i="6"/>
  <c r="AO18" i="6"/>
  <c r="CX18" i="6" s="1"/>
  <c r="AK18" i="6"/>
  <c r="CT18" i="6" s="1"/>
  <c r="AG18" i="6"/>
  <c r="CP18" i="6" s="1"/>
  <c r="BJ17" i="6"/>
  <c r="CG16" i="6"/>
  <c r="BR17" i="6"/>
  <c r="AW17" i="6"/>
  <c r="DF17" i="6" s="1"/>
  <c r="DP16" i="4"/>
  <c r="DQ16" i="4" s="1"/>
  <c r="BD17" i="6"/>
  <c r="CA16" i="6"/>
  <c r="CH16" i="5"/>
  <c r="BG16" i="5"/>
  <c r="BY16" i="5"/>
  <c r="BE17" i="5"/>
  <c r="DN17" i="5" s="1"/>
  <c r="BD17" i="5"/>
  <c r="DM17" i="5" s="1"/>
  <c r="AU17" i="5"/>
  <c r="DD17" i="5" s="1"/>
  <c r="BC17" i="5"/>
  <c r="DL17" i="5" s="1"/>
  <c r="BR17" i="5"/>
  <c r="BX16" i="3"/>
  <c r="AY17" i="5"/>
  <c r="DH17" i="5" s="1"/>
  <c r="CD16" i="5"/>
  <c r="CJ16" i="5"/>
  <c r="DO16" i="5"/>
  <c r="AY17" i="4"/>
  <c r="DH17" i="4" s="1"/>
  <c r="BK17" i="5"/>
  <c r="AQ18" i="5"/>
  <c r="CZ18" i="5" s="1"/>
  <c r="BS17" i="5"/>
  <c r="BM17" i="5"/>
  <c r="BZ16" i="5"/>
  <c r="CI16" i="5"/>
  <c r="CA16" i="5"/>
  <c r="CG16" i="5"/>
  <c r="AM18" i="5"/>
  <c r="CV18" i="5" s="1"/>
  <c r="AF18" i="5"/>
  <c r="CO18" i="5" s="1"/>
  <c r="AE18" i="5"/>
  <c r="CN18" i="5" s="1"/>
  <c r="AH18" i="5"/>
  <c r="CQ18" i="5" s="1"/>
  <c r="AD18" i="5"/>
  <c r="CM18" i="5" s="1"/>
  <c r="BH17" i="5"/>
  <c r="CD16" i="4"/>
  <c r="BF17" i="4"/>
  <c r="DO17" i="4" s="1"/>
  <c r="DP16" i="5"/>
  <c r="DQ16" i="5" s="1"/>
  <c r="BW16" i="5"/>
  <c r="AI18" i="5"/>
  <c r="CR18" i="5" s="1"/>
  <c r="AJ18" i="5"/>
  <c r="CS18" i="5" s="1"/>
  <c r="BL17" i="5"/>
  <c r="AO18" i="5"/>
  <c r="CX18" i="5" s="1"/>
  <c r="AG18" i="5"/>
  <c r="CP18" i="5" s="1"/>
  <c r="AK18" i="5"/>
  <c r="CT18" i="5" s="1"/>
  <c r="BJ17" i="5"/>
  <c r="BC17" i="4"/>
  <c r="DL17" i="4" s="1"/>
  <c r="BT17" i="5"/>
  <c r="BX16" i="5"/>
  <c r="CC16" i="4"/>
  <c r="AP18" i="5"/>
  <c r="CY18" i="5" s="1"/>
  <c r="AN18" i="5"/>
  <c r="CW18" i="5" s="1"/>
  <c r="BQ17" i="5"/>
  <c r="AZ17" i="5"/>
  <c r="DI17" i="5" s="1"/>
  <c r="CF16" i="5"/>
  <c r="BO17" i="5"/>
  <c r="AF17" i="3"/>
  <c r="CO17" i="3" s="1"/>
  <c r="CB16" i="4"/>
  <c r="AZ17" i="4"/>
  <c r="DI17" i="4" s="1"/>
  <c r="CE16" i="5"/>
  <c r="AW17" i="5"/>
  <c r="DF17" i="5" s="1"/>
  <c r="BI17" i="5"/>
  <c r="AL18" i="5"/>
  <c r="CU18" i="5" s="1"/>
  <c r="BN17" i="5"/>
  <c r="BU17" i="5"/>
  <c r="BB17" i="5"/>
  <c r="DK17" i="5" s="1"/>
  <c r="CG17" i="5"/>
  <c r="BG16" i="4"/>
  <c r="AV17" i="5"/>
  <c r="DE17" i="5" s="1"/>
  <c r="AS17" i="5"/>
  <c r="DB17" i="5" s="1"/>
  <c r="AT17" i="5"/>
  <c r="DC17" i="5" s="1"/>
  <c r="AR17" i="5"/>
  <c r="DA17" i="5" s="1"/>
  <c r="BA17" i="5"/>
  <c r="DJ17" i="5" s="1"/>
  <c r="BV16" i="5"/>
  <c r="BK16" i="3"/>
  <c r="AX17" i="5"/>
  <c r="DG17" i="5" s="1"/>
  <c r="BF17" i="5"/>
  <c r="BP17" i="5"/>
  <c r="AU17" i="3"/>
  <c r="DD17" i="3" s="1"/>
  <c r="BY16" i="3"/>
  <c r="CF16" i="3"/>
  <c r="DK16" i="3"/>
  <c r="AV17" i="3"/>
  <c r="DE17" i="3" s="1"/>
  <c r="CE16" i="3"/>
  <c r="BA17" i="3"/>
  <c r="DJ17" i="3" s="1"/>
  <c r="AM17" i="3"/>
  <c r="CV17" i="3" s="1"/>
  <c r="CG16" i="3"/>
  <c r="DL16" i="3"/>
  <c r="BM16" i="3"/>
  <c r="AH17" i="3"/>
  <c r="CQ17" i="3" s="1"/>
  <c r="AW17" i="3"/>
  <c r="DF17" i="3" s="1"/>
  <c r="BU16" i="3"/>
  <c r="AI17" i="3"/>
  <c r="CR17" i="3" s="1"/>
  <c r="AQ17" i="3"/>
  <c r="CZ17" i="3" s="1"/>
  <c r="CY16" i="3"/>
  <c r="CI16" i="3"/>
  <c r="DN16" i="3"/>
  <c r="CA16" i="3"/>
  <c r="AT17" i="3"/>
  <c r="DC17" i="3" s="1"/>
  <c r="CD16" i="3"/>
  <c r="DI16" i="3"/>
  <c r="AQ18" i="4"/>
  <c r="CZ18" i="4" s="1"/>
  <c r="BS17" i="4"/>
  <c r="AJ18" i="4"/>
  <c r="CS18" i="4" s="1"/>
  <c r="AI18" i="4"/>
  <c r="CR18" i="4" s="1"/>
  <c r="AW18" i="4"/>
  <c r="DF18" i="4" s="1"/>
  <c r="BL17" i="4"/>
  <c r="CE17" i="4"/>
  <c r="BU17" i="4"/>
  <c r="BR17" i="4"/>
  <c r="BX17" i="4"/>
  <c r="AP17" i="3"/>
  <c r="CY17" i="3" s="1"/>
  <c r="BT17" i="4"/>
  <c r="CA17" i="4"/>
  <c r="BO17" i="4"/>
  <c r="BW17" i="4"/>
  <c r="AF18" i="4"/>
  <c r="CO18" i="4" s="1"/>
  <c r="AE18" i="4"/>
  <c r="CN18" i="4" s="1"/>
  <c r="AD18" i="4"/>
  <c r="CM18" i="4" s="1"/>
  <c r="AH18" i="4"/>
  <c r="CQ18" i="4" s="1"/>
  <c r="AM18" i="4"/>
  <c r="CV18" i="4" s="1"/>
  <c r="BH17" i="4"/>
  <c r="BI17" i="4"/>
  <c r="BK17" i="4"/>
  <c r="AN17" i="3"/>
  <c r="CW17" i="3" s="1"/>
  <c r="AV18" i="4"/>
  <c r="DE18" i="4" s="1"/>
  <c r="AT18" i="4"/>
  <c r="DC18" i="4" s="1"/>
  <c r="AS18" i="4"/>
  <c r="DB18" i="4" s="1"/>
  <c r="AR18" i="4"/>
  <c r="DA18" i="4" s="1"/>
  <c r="BA18" i="4"/>
  <c r="DJ18" i="4" s="1"/>
  <c r="BV17" i="4"/>
  <c r="AU18" i="4"/>
  <c r="DD18" i="4" s="1"/>
  <c r="AO18" i="4"/>
  <c r="CX18" i="4" s="1"/>
  <c r="AK18" i="4"/>
  <c r="CT18" i="4" s="1"/>
  <c r="AG18" i="4"/>
  <c r="CP18" i="4" s="1"/>
  <c r="BJ17" i="4"/>
  <c r="CF17" i="4"/>
  <c r="BM17" i="4"/>
  <c r="BZ17" i="4"/>
  <c r="BY17" i="4"/>
  <c r="BP17" i="4"/>
  <c r="AL18" i="4"/>
  <c r="CU18" i="4" s="1"/>
  <c r="BN17" i="4"/>
  <c r="CH17" i="4"/>
  <c r="AP18" i="4"/>
  <c r="CY18" i="4" s="1"/>
  <c r="BB18" i="4"/>
  <c r="DK18" i="4" s="1"/>
  <c r="AN18" i="4"/>
  <c r="CW18" i="4" s="1"/>
  <c r="BQ17" i="4"/>
  <c r="BR16" i="3"/>
  <c r="BB17" i="3"/>
  <c r="CF17" i="3" s="1"/>
  <c r="BS16" i="3"/>
  <c r="BT16" i="3"/>
  <c r="AF16" i="2"/>
  <c r="BJ16" i="2" s="1"/>
  <c r="AE16" i="2"/>
  <c r="CN16" i="2" s="1"/>
  <c r="BN16" i="3"/>
  <c r="AO17" i="3"/>
  <c r="CX17" i="3" s="1"/>
  <c r="BD17" i="3"/>
  <c r="DM17" i="3" s="1"/>
  <c r="DP15" i="3"/>
  <c r="DQ15" i="3" s="1"/>
  <c r="CH16" i="3"/>
  <c r="AL17" i="3"/>
  <c r="BO16" i="3"/>
  <c r="BP16" i="3"/>
  <c r="AK17" i="3"/>
  <c r="BG16" i="3"/>
  <c r="AX17" i="3"/>
  <c r="DG17" i="3" s="1"/>
  <c r="BE17" i="3"/>
  <c r="DN17" i="3" s="1"/>
  <c r="CB16" i="3"/>
  <c r="CK15" i="3"/>
  <c r="CL15" i="3" s="1"/>
  <c r="BC17" i="3"/>
  <c r="DL17" i="3" s="1"/>
  <c r="CJ16" i="3"/>
  <c r="BF17" i="3"/>
  <c r="AY17" i="3"/>
  <c r="DH17" i="3" s="1"/>
  <c r="AZ17" i="3"/>
  <c r="DI17" i="3" s="1"/>
  <c r="CC16" i="3"/>
  <c r="AJ17" i="3"/>
  <c r="AR18" i="3"/>
  <c r="DA18" i="3" s="1"/>
  <c r="BV17" i="3"/>
  <c r="BW17" i="3"/>
  <c r="CP15" i="2"/>
  <c r="BK15" i="2"/>
  <c r="DD15" i="2"/>
  <c r="BY15" i="2"/>
  <c r="AK16" i="2"/>
  <c r="BO16" i="2" s="1"/>
  <c r="BP15" i="2"/>
  <c r="DC15" i="2"/>
  <c r="BX15" i="2"/>
  <c r="BI17" i="3"/>
  <c r="AD18" i="3"/>
  <c r="CM18" i="3" s="1"/>
  <c r="AE18" i="3"/>
  <c r="CN18" i="3" s="1"/>
  <c r="BH17" i="3"/>
  <c r="CM16" i="2"/>
  <c r="AD17" i="2"/>
  <c r="BH17" i="2" s="1"/>
  <c r="CN15" i="2"/>
  <c r="AT16" i="2"/>
  <c r="DB15" i="2"/>
  <c r="AU16" i="2"/>
  <c r="CO15" i="2"/>
  <c r="AG16" i="2"/>
  <c r="AS16" i="2"/>
  <c r="BW16" i="2" s="1"/>
  <c r="AR17" i="2"/>
  <c r="BV17" i="2" s="1"/>
  <c r="DA16" i="2"/>
  <c r="BA16" i="2"/>
  <c r="CE16" i="2" s="1"/>
  <c r="AI16" i="2"/>
  <c r="BM16" i="2" s="1"/>
  <c r="AV16" i="2"/>
  <c r="BZ16" i="2" s="1"/>
  <c r="AJ16" i="2"/>
  <c r="BN16" i="2" s="1"/>
  <c r="BF16" i="2"/>
  <c r="AM16" i="2"/>
  <c r="BQ16" i="2" s="1"/>
  <c r="AX16" i="2"/>
  <c r="CB16" i="2" s="1"/>
  <c r="AH16" i="2"/>
  <c r="BL16" i="2" s="1"/>
  <c r="AW16" i="2"/>
  <c r="CA16" i="2" s="1"/>
  <c r="BC16" i="2"/>
  <c r="CG16" i="2" s="1"/>
  <c r="AZ16" i="2"/>
  <c r="CD16" i="2" s="1"/>
  <c r="AY16" i="2"/>
  <c r="CC16" i="2" s="1"/>
  <c r="AO16" i="2"/>
  <c r="BS16" i="2" s="1"/>
  <c r="AL16" i="2"/>
  <c r="BP16" i="2" s="1"/>
  <c r="AP16" i="2"/>
  <c r="BT16" i="2" s="1"/>
  <c r="BD16" i="2"/>
  <c r="CH16" i="2" s="1"/>
  <c r="BB16" i="2"/>
  <c r="CF16" i="2" s="1"/>
  <c r="AN16" i="2"/>
  <c r="BR16" i="2" s="1"/>
  <c r="AQ16" i="2"/>
  <c r="BU16" i="2" s="1"/>
  <c r="BE16" i="2"/>
  <c r="CI16" i="2" s="1"/>
  <c r="CV15" i="2"/>
  <c r="CZ15" i="2"/>
  <c r="DN15" i="2"/>
  <c r="DH15" i="2"/>
  <c r="DI15" i="2"/>
  <c r="CQ15" i="2"/>
  <c r="DE15" i="2"/>
  <c r="CY15" i="2"/>
  <c r="CR15" i="2"/>
  <c r="CU15" i="2"/>
  <c r="CW15" i="2"/>
  <c r="CX15" i="2"/>
  <c r="DF15" i="2"/>
  <c r="CT15" i="2"/>
  <c r="CJ15" i="2"/>
  <c r="DO15" i="2"/>
  <c r="DJ15" i="2"/>
  <c r="CS15" i="2"/>
  <c r="DG15" i="2"/>
  <c r="DP14" i="2"/>
  <c r="DM15" i="2"/>
  <c r="CK14" i="2"/>
  <c r="CL14" i="2" s="1"/>
  <c r="DK15" i="2"/>
  <c r="DL15" i="2"/>
  <c r="BG15" i="2"/>
  <c r="DM61" i="8" l="1"/>
  <c r="CH61" i="8"/>
  <c r="DD61" i="8"/>
  <c r="BY61" i="8"/>
  <c r="DF61" i="8"/>
  <c r="CA61" i="8"/>
  <c r="BS61" i="8"/>
  <c r="AQ62" i="8"/>
  <c r="CX61" i="8"/>
  <c r="BE62" i="8"/>
  <c r="CP61" i="8"/>
  <c r="BK61" i="8"/>
  <c r="CD60" i="8"/>
  <c r="DI60" i="8"/>
  <c r="AL62" i="8"/>
  <c r="CS61" i="8"/>
  <c r="BN61" i="8"/>
  <c r="CZ61" i="8"/>
  <c r="BU61" i="8"/>
  <c r="BL61" i="8"/>
  <c r="CQ61" i="8"/>
  <c r="AI62" i="8"/>
  <c r="AJ62" i="8"/>
  <c r="BX60" i="8"/>
  <c r="DC60" i="8"/>
  <c r="AY61" i="8"/>
  <c r="AX61" i="8"/>
  <c r="CT61" i="8"/>
  <c r="BO61" i="8"/>
  <c r="CR61" i="8"/>
  <c r="BM61" i="8"/>
  <c r="BT61" i="8"/>
  <c r="CY61" i="8"/>
  <c r="AP62" i="8"/>
  <c r="CV61" i="8"/>
  <c r="AN62" i="8"/>
  <c r="BQ61" i="8"/>
  <c r="CU61" i="8"/>
  <c r="BP61" i="8"/>
  <c r="BB61" i="8"/>
  <c r="BB62" i="8" s="1"/>
  <c r="DH60" i="8"/>
  <c r="CC60" i="8"/>
  <c r="AD62" i="8"/>
  <c r="AE62" i="8"/>
  <c r="BH61" i="8"/>
  <c r="AF62" i="8"/>
  <c r="CM61" i="8"/>
  <c r="AM62" i="8"/>
  <c r="AH62" i="8"/>
  <c r="AZ61" i="8"/>
  <c r="BZ60" i="8"/>
  <c r="DE60" i="8"/>
  <c r="DJ60" i="8"/>
  <c r="CE60" i="8"/>
  <c r="BR61" i="8"/>
  <c r="CW61" i="8"/>
  <c r="DF60" i="8"/>
  <c r="CA60" i="8"/>
  <c r="BC61" i="8"/>
  <c r="DB60" i="8"/>
  <c r="BW60" i="8"/>
  <c r="BJ61" i="8"/>
  <c r="AK62" i="8"/>
  <c r="AO62" i="8"/>
  <c r="AG62" i="8"/>
  <c r="CO61" i="8"/>
  <c r="AU62" i="8"/>
  <c r="DN61" i="8"/>
  <c r="CI61" i="8"/>
  <c r="BF61" i="8"/>
  <c r="CN61" i="8"/>
  <c r="BI61" i="8"/>
  <c r="BV60" i="8"/>
  <c r="CK60" i="8" s="1"/>
  <c r="CL60" i="8" s="1"/>
  <c r="AV61" i="8"/>
  <c r="AW62" i="8" s="1"/>
  <c r="BA61" i="8"/>
  <c r="DA60" i="8"/>
  <c r="DP60" i="8" s="1"/>
  <c r="DQ60" i="8" s="1"/>
  <c r="AR61" i="8"/>
  <c r="BG61" i="8" s="1"/>
  <c r="AT61" i="8"/>
  <c r="AS61" i="8"/>
  <c r="CJ60" i="8"/>
  <c r="DO60" i="8"/>
  <c r="DF61" i="6"/>
  <c r="CA61" i="6"/>
  <c r="DO61" i="6"/>
  <c r="CJ61" i="6"/>
  <c r="CJ60" i="6"/>
  <c r="DO60" i="6"/>
  <c r="CC60" i="6"/>
  <c r="DH60" i="6"/>
  <c r="AJ62" i="6"/>
  <c r="BL61" i="6"/>
  <c r="AI62" i="6"/>
  <c r="CQ61" i="6"/>
  <c r="CE60" i="6"/>
  <c r="DJ60" i="6"/>
  <c r="DP60" i="6" s="1"/>
  <c r="DQ60" i="6" s="1"/>
  <c r="CO61" i="6"/>
  <c r="AO62" i="6"/>
  <c r="BJ61" i="6"/>
  <c r="AG62" i="6"/>
  <c r="AK62" i="6"/>
  <c r="AS61" i="6"/>
  <c r="AT61" i="6"/>
  <c r="BA61" i="6"/>
  <c r="AR61" i="6"/>
  <c r="DA60" i="6"/>
  <c r="BV60" i="6"/>
  <c r="CK60" i="6" s="1"/>
  <c r="CL60" i="6" s="1"/>
  <c r="AV61" i="6"/>
  <c r="AW62" i="6" s="1"/>
  <c r="BR61" i="6"/>
  <c r="CW61" i="6"/>
  <c r="BG60" i="6"/>
  <c r="DN61" i="6"/>
  <c r="CI61" i="6"/>
  <c r="BT61" i="6"/>
  <c r="CY61" i="6"/>
  <c r="AN62" i="6"/>
  <c r="CV61" i="6"/>
  <c r="AP62" i="6"/>
  <c r="BQ61" i="6"/>
  <c r="AX61" i="6"/>
  <c r="BC62" i="6" s="1"/>
  <c r="DD60" i="6"/>
  <c r="BY60" i="6"/>
  <c r="BB61" i="6"/>
  <c r="AM62" i="6"/>
  <c r="CM61" i="6"/>
  <c r="AH62" i="6"/>
  <c r="AE62" i="6"/>
  <c r="AD62" i="6"/>
  <c r="AF62" i="6"/>
  <c r="BH61" i="6"/>
  <c r="CD61" i="6"/>
  <c r="DI61" i="6"/>
  <c r="CC61" i="6"/>
  <c r="DH61" i="6"/>
  <c r="CH61" i="6"/>
  <c r="DM61" i="6"/>
  <c r="BM61" i="6"/>
  <c r="CR61" i="6"/>
  <c r="DL61" i="6"/>
  <c r="CG61" i="6"/>
  <c r="CU61" i="6"/>
  <c r="BP61" i="6"/>
  <c r="BK61" i="6"/>
  <c r="CP61" i="6"/>
  <c r="DB60" i="6"/>
  <c r="BW60" i="6"/>
  <c r="AL62" i="6"/>
  <c r="BN61" i="6"/>
  <c r="CS61" i="6"/>
  <c r="CB60" i="6"/>
  <c r="DG60" i="6"/>
  <c r="CX61" i="6"/>
  <c r="BE62" i="6"/>
  <c r="BS61" i="6"/>
  <c r="AQ62" i="6"/>
  <c r="DD61" i="6"/>
  <c r="BY61" i="6"/>
  <c r="DE60" i="6"/>
  <c r="BZ60" i="6"/>
  <c r="BX60" i="6"/>
  <c r="DC60" i="6"/>
  <c r="BI61" i="6"/>
  <c r="CN61" i="6"/>
  <c r="BU61" i="6"/>
  <c r="CZ61" i="6"/>
  <c r="BO61" i="6"/>
  <c r="CT61" i="6"/>
  <c r="BC18" i="6"/>
  <c r="DL18" i="6" s="1"/>
  <c r="BY17" i="6"/>
  <c r="DO61" i="5"/>
  <c r="CJ61" i="5"/>
  <c r="DK61" i="5"/>
  <c r="CF61" i="5"/>
  <c r="DF61" i="5"/>
  <c r="CA61" i="5"/>
  <c r="DG61" i="5"/>
  <c r="CB61" i="5"/>
  <c r="DD60" i="5"/>
  <c r="BY60" i="5"/>
  <c r="CP61" i="5"/>
  <c r="BK61" i="5"/>
  <c r="AI62" i="5"/>
  <c r="AJ62" i="5"/>
  <c r="CQ61" i="5"/>
  <c r="BL61" i="5"/>
  <c r="AU61" i="5"/>
  <c r="CY61" i="5"/>
  <c r="BT61" i="5"/>
  <c r="CV61" i="5"/>
  <c r="BQ61" i="5"/>
  <c r="AN62" i="5"/>
  <c r="AP62" i="5"/>
  <c r="BD61" i="5"/>
  <c r="BN61" i="5"/>
  <c r="AL62" i="5"/>
  <c r="CS61" i="5"/>
  <c r="CW61" i="5"/>
  <c r="BR61" i="5"/>
  <c r="DL60" i="5"/>
  <c r="CG60" i="5"/>
  <c r="CX61" i="5"/>
  <c r="BS61" i="5"/>
  <c r="AQ62" i="5"/>
  <c r="CR61" i="5"/>
  <c r="BM61" i="5"/>
  <c r="DN60" i="5"/>
  <c r="CI60" i="5"/>
  <c r="BC61" i="5"/>
  <c r="DJ60" i="5"/>
  <c r="CE60" i="5"/>
  <c r="CT61" i="5"/>
  <c r="BO61" i="5"/>
  <c r="AG62" i="5"/>
  <c r="AK62" i="5"/>
  <c r="AO62" i="5"/>
  <c r="CO61" i="5"/>
  <c r="BJ61" i="5"/>
  <c r="AY61" i="5"/>
  <c r="AZ62" i="5" s="1"/>
  <c r="DM60" i="5"/>
  <c r="CH60" i="5"/>
  <c r="CN61" i="5"/>
  <c r="BI61" i="5"/>
  <c r="DF60" i="5"/>
  <c r="CA60" i="5"/>
  <c r="AF62" i="5"/>
  <c r="AH62" i="5"/>
  <c r="AM62" i="5"/>
  <c r="CM61" i="5"/>
  <c r="BH61" i="5"/>
  <c r="AD62" i="5"/>
  <c r="AE62" i="5"/>
  <c r="CZ61" i="5"/>
  <c r="BU61" i="5"/>
  <c r="DE60" i="5"/>
  <c r="BZ60" i="5"/>
  <c r="DO60" i="5"/>
  <c r="CJ60" i="5"/>
  <c r="BE61" i="5"/>
  <c r="DC60" i="5"/>
  <c r="BX60" i="5"/>
  <c r="DB60" i="5"/>
  <c r="BW60" i="5"/>
  <c r="CU61" i="5"/>
  <c r="BP61" i="5"/>
  <c r="BA61" i="5"/>
  <c r="BD62" i="5" s="1"/>
  <c r="DA60" i="5"/>
  <c r="DP60" i="5" s="1"/>
  <c r="DQ60" i="5" s="1"/>
  <c r="BV60" i="5"/>
  <c r="CK60" i="5" s="1"/>
  <c r="CL60" i="5" s="1"/>
  <c r="AR61" i="5"/>
  <c r="AS61" i="5"/>
  <c r="AT61" i="5"/>
  <c r="AV61" i="5"/>
  <c r="AW62" i="5" s="1"/>
  <c r="CD61" i="5"/>
  <c r="DI61" i="5"/>
  <c r="DG60" i="5"/>
  <c r="CB60" i="5"/>
  <c r="BG60" i="5"/>
  <c r="CB61" i="2"/>
  <c r="DG61" i="2"/>
  <c r="DI61" i="2"/>
  <c r="CD61" i="2"/>
  <c r="CH61" i="2"/>
  <c r="DM61" i="2"/>
  <c r="BI61" i="2"/>
  <c r="CN61" i="2"/>
  <c r="CS61" i="2"/>
  <c r="BN61" i="2"/>
  <c r="AL62" i="2"/>
  <c r="AD62" i="2"/>
  <c r="AE62" i="2"/>
  <c r="AF62" i="2"/>
  <c r="AH62" i="2"/>
  <c r="AM62" i="2"/>
  <c r="BH61" i="2"/>
  <c r="CM61" i="2"/>
  <c r="CR61" i="2"/>
  <c r="BM61" i="2"/>
  <c r="BX60" i="2"/>
  <c r="DC60" i="2"/>
  <c r="AV61" i="2"/>
  <c r="BV60" i="2"/>
  <c r="CK60" i="2" s="1"/>
  <c r="CL60" i="2" s="1"/>
  <c r="DA60" i="2"/>
  <c r="DP60" i="2" s="1"/>
  <c r="DQ60" i="2" s="1"/>
  <c r="AR61" i="2"/>
  <c r="AS61" i="2"/>
  <c r="AT61" i="2"/>
  <c r="AU62" i="2" s="1"/>
  <c r="BA61" i="2"/>
  <c r="DJ60" i="2"/>
  <c r="CE60" i="2"/>
  <c r="BF61" i="2"/>
  <c r="AU61" i="2"/>
  <c r="BR61" i="2"/>
  <c r="CW61" i="2"/>
  <c r="CZ61" i="2"/>
  <c r="BU61" i="2"/>
  <c r="BL61" i="2"/>
  <c r="AI62" i="2"/>
  <c r="AJ62" i="2"/>
  <c r="CQ61" i="2"/>
  <c r="AG62" i="2"/>
  <c r="AK62" i="2"/>
  <c r="CO61" i="2"/>
  <c r="AO62" i="2"/>
  <c r="BJ61" i="2"/>
  <c r="CT61" i="2"/>
  <c r="BO61" i="2"/>
  <c r="DO60" i="2"/>
  <c r="CJ60" i="2"/>
  <c r="CA60" i="2"/>
  <c r="DF60" i="2"/>
  <c r="BE62" i="2"/>
  <c r="BS61" i="2"/>
  <c r="AQ62" i="2"/>
  <c r="CX61" i="2"/>
  <c r="BC61" i="2"/>
  <c r="CV61" i="2"/>
  <c r="AN62" i="2"/>
  <c r="BQ61" i="2"/>
  <c r="AP62" i="2"/>
  <c r="BB62" i="2"/>
  <c r="DM60" i="2"/>
  <c r="CH60" i="2"/>
  <c r="AY61" i="2"/>
  <c r="AX62" i="2" s="1"/>
  <c r="CB60" i="2"/>
  <c r="DG60" i="2"/>
  <c r="DL60" i="2"/>
  <c r="CG60" i="2"/>
  <c r="BZ60" i="2"/>
  <c r="DE60" i="2"/>
  <c r="BE61" i="2"/>
  <c r="BB61" i="2"/>
  <c r="BD62" i="2" s="1"/>
  <c r="CP61" i="2"/>
  <c r="BK61" i="2"/>
  <c r="CC60" i="2"/>
  <c r="DH60" i="2"/>
  <c r="CU61" i="2"/>
  <c r="BP61" i="2"/>
  <c r="AW61" i="2"/>
  <c r="BT61" i="2"/>
  <c r="CY61" i="2"/>
  <c r="DK60" i="2"/>
  <c r="CF60" i="2"/>
  <c r="BW60" i="2"/>
  <c r="DB60" i="2"/>
  <c r="DO61" i="4"/>
  <c r="CJ61" i="4"/>
  <c r="BY61" i="4"/>
  <c r="DD61" i="4"/>
  <c r="DN61" i="4"/>
  <c r="CI61" i="4"/>
  <c r="DJ60" i="4"/>
  <c r="CE60" i="4"/>
  <c r="BJ61" i="4"/>
  <c r="AU62" i="4"/>
  <c r="AO62" i="4"/>
  <c r="AK62" i="4"/>
  <c r="AG62" i="4"/>
  <c r="CO61" i="4"/>
  <c r="BZ60" i="4"/>
  <c r="DE60" i="4"/>
  <c r="AN62" i="4"/>
  <c r="CV61" i="4"/>
  <c r="AP62" i="4"/>
  <c r="BQ61" i="4"/>
  <c r="DH60" i="4"/>
  <c r="CC60" i="4"/>
  <c r="CS61" i="4"/>
  <c r="AL62" i="4"/>
  <c r="BN61" i="4"/>
  <c r="CQ61" i="4"/>
  <c r="BL61" i="4"/>
  <c r="AI62" i="4"/>
  <c r="AJ62" i="4"/>
  <c r="CA61" i="4"/>
  <c r="DF61" i="4"/>
  <c r="BP61" i="4"/>
  <c r="CU61" i="4"/>
  <c r="DB60" i="4"/>
  <c r="BW60" i="4"/>
  <c r="CK60" i="4" s="1"/>
  <c r="CL60" i="4" s="1"/>
  <c r="AY61" i="4"/>
  <c r="AZ62" i="4" s="1"/>
  <c r="AZ61" i="4"/>
  <c r="BC62" i="4" s="1"/>
  <c r="CW61" i="4"/>
  <c r="BR61" i="4"/>
  <c r="BD61" i="4"/>
  <c r="AQ62" i="4"/>
  <c r="CX61" i="4"/>
  <c r="BS61" i="4"/>
  <c r="CT61" i="4"/>
  <c r="BO61" i="4"/>
  <c r="BU61" i="4"/>
  <c r="CZ61" i="4"/>
  <c r="BI61" i="4"/>
  <c r="CN61" i="4"/>
  <c r="BG60" i="4"/>
  <c r="AD62" i="4"/>
  <c r="AE62" i="4"/>
  <c r="AM62" i="4"/>
  <c r="BH61" i="4"/>
  <c r="CM61" i="4"/>
  <c r="AF62" i="4"/>
  <c r="AH62" i="4"/>
  <c r="BB61" i="4"/>
  <c r="BT61" i="4"/>
  <c r="CY61" i="4"/>
  <c r="CG60" i="4"/>
  <c r="DL60" i="4"/>
  <c r="DG61" i="4"/>
  <c r="CB61" i="4"/>
  <c r="CR61" i="4"/>
  <c r="BM61" i="4"/>
  <c r="DC60" i="4"/>
  <c r="DP60" i="4" s="1"/>
  <c r="DQ60" i="4" s="1"/>
  <c r="BX60" i="4"/>
  <c r="BA61" i="4"/>
  <c r="DA60" i="4"/>
  <c r="AR61" i="4"/>
  <c r="AT61" i="4"/>
  <c r="AS61" i="4"/>
  <c r="BV60" i="4"/>
  <c r="AV61" i="4"/>
  <c r="AW62" i="4" s="1"/>
  <c r="BC61" i="4"/>
  <c r="CH60" i="4"/>
  <c r="DM60" i="4"/>
  <c r="DG60" i="4"/>
  <c r="CB60" i="4"/>
  <c r="BK61" i="4"/>
  <c r="CP61" i="4"/>
  <c r="BK17" i="3"/>
  <c r="AS18" i="3"/>
  <c r="DB18" i="3" s="1"/>
  <c r="CJ17" i="8"/>
  <c r="DO17" i="8"/>
  <c r="BM17" i="8"/>
  <c r="CF17" i="8"/>
  <c r="AT18" i="8"/>
  <c r="DC18" i="8" s="1"/>
  <c r="AV18" i="8"/>
  <c r="DE18" i="8" s="1"/>
  <c r="AR18" i="8"/>
  <c r="DA18" i="8" s="1"/>
  <c r="AS18" i="8"/>
  <c r="DB18" i="8" s="1"/>
  <c r="BA18" i="8"/>
  <c r="DJ18" i="8" s="1"/>
  <c r="BV17" i="8"/>
  <c r="BT17" i="8"/>
  <c r="BX17" i="8"/>
  <c r="BR17" i="8"/>
  <c r="BY17" i="8"/>
  <c r="CC17" i="8"/>
  <c r="BO17" i="8"/>
  <c r="AY18" i="8"/>
  <c r="DH18" i="8" s="1"/>
  <c r="BC18" i="8"/>
  <c r="DL18" i="8" s="1"/>
  <c r="AU18" i="8"/>
  <c r="DD18" i="8" s="1"/>
  <c r="AO18" i="8"/>
  <c r="CX18" i="8" s="1"/>
  <c r="AK18" i="8"/>
  <c r="CT18" i="8" s="1"/>
  <c r="AG18" i="8"/>
  <c r="CP18" i="8" s="1"/>
  <c r="BJ17" i="8"/>
  <c r="BW17" i="8"/>
  <c r="CE17" i="8"/>
  <c r="CH17" i="8"/>
  <c r="BX17" i="3"/>
  <c r="CI17" i="4"/>
  <c r="AP18" i="8"/>
  <c r="CY18" i="8" s="1"/>
  <c r="BD18" i="8"/>
  <c r="DM18" i="8" s="1"/>
  <c r="BB18" i="8"/>
  <c r="DK18" i="8" s="1"/>
  <c r="AN18" i="8"/>
  <c r="CW18" i="8" s="1"/>
  <c r="BQ17" i="8"/>
  <c r="CG17" i="8"/>
  <c r="CK16" i="8"/>
  <c r="CL16" i="8" s="1"/>
  <c r="CB17" i="4"/>
  <c r="AU18" i="6"/>
  <c r="DD18" i="6" s="1"/>
  <c r="CC17" i="6"/>
  <c r="BU17" i="8"/>
  <c r="AE18" i="8"/>
  <c r="CN18" i="8" s="1"/>
  <c r="AD18" i="8"/>
  <c r="CM18" i="8" s="1"/>
  <c r="AM18" i="8"/>
  <c r="CV18" i="8" s="1"/>
  <c r="BF18" i="8"/>
  <c r="BG17" i="8"/>
  <c r="AH18" i="8"/>
  <c r="CQ18" i="8" s="1"/>
  <c r="AF18" i="8"/>
  <c r="CO18" i="8" s="1"/>
  <c r="BH17" i="8"/>
  <c r="CD17" i="8"/>
  <c r="AJ18" i="8"/>
  <c r="CS18" i="8" s="1"/>
  <c r="AI18" i="8"/>
  <c r="CR18" i="8" s="1"/>
  <c r="AX18" i="8"/>
  <c r="DG18" i="8" s="1"/>
  <c r="AW18" i="8"/>
  <c r="DF18" i="8" s="1"/>
  <c r="BL17" i="8"/>
  <c r="CA17" i="8"/>
  <c r="AZ18" i="8"/>
  <c r="DI18" i="8" s="1"/>
  <c r="AL18" i="8"/>
  <c r="CU18" i="8" s="1"/>
  <c r="BN17" i="8"/>
  <c r="AQ18" i="8"/>
  <c r="CZ18" i="8" s="1"/>
  <c r="BE18" i="8"/>
  <c r="DN18" i="8" s="1"/>
  <c r="BS17" i="8"/>
  <c r="CI17" i="8"/>
  <c r="BI17" i="8"/>
  <c r="AY18" i="4"/>
  <c r="DH18" i="4" s="1"/>
  <c r="BK17" i="8"/>
  <c r="CB17" i="8"/>
  <c r="BZ17" i="8"/>
  <c r="BL17" i="3"/>
  <c r="CJ17" i="4"/>
  <c r="AY18" i="6"/>
  <c r="DH18" i="6" s="1"/>
  <c r="CD17" i="6"/>
  <c r="DP16" i="8"/>
  <c r="DQ16" i="8" s="1"/>
  <c r="BP17" i="8"/>
  <c r="BB18" i="6"/>
  <c r="DK18" i="6" s="1"/>
  <c r="DJ17" i="6"/>
  <c r="DP17" i="6" s="1"/>
  <c r="DQ17" i="6" s="1"/>
  <c r="CK16" i="6"/>
  <c r="CL16" i="6" s="1"/>
  <c r="BE18" i="6"/>
  <c r="DN18" i="6" s="1"/>
  <c r="DM17" i="6"/>
  <c r="AZ18" i="6"/>
  <c r="DI18" i="6" s="1"/>
  <c r="CG17" i="6"/>
  <c r="CA17" i="6"/>
  <c r="CG17" i="4"/>
  <c r="AP19" i="6"/>
  <c r="CY19" i="6" s="1"/>
  <c r="AN19" i="6"/>
  <c r="CW19" i="6" s="1"/>
  <c r="BQ18" i="6"/>
  <c r="AL19" i="6"/>
  <c r="CU19" i="6" s="1"/>
  <c r="BN18" i="6"/>
  <c r="BF18" i="6"/>
  <c r="BC18" i="5"/>
  <c r="DL18" i="5" s="1"/>
  <c r="AE17" i="2"/>
  <c r="AE18" i="2" s="1"/>
  <c r="CH17" i="5"/>
  <c r="BR18" i="6"/>
  <c r="CE17" i="6"/>
  <c r="CI17" i="5"/>
  <c r="BD18" i="6"/>
  <c r="DM18" i="6" s="1"/>
  <c r="AR18" i="6"/>
  <c r="DA18" i="6" s="1"/>
  <c r="BA18" i="6"/>
  <c r="DJ18" i="6" s="1"/>
  <c r="AV18" i="6"/>
  <c r="DE18" i="6" s="1"/>
  <c r="AT18" i="6"/>
  <c r="DC18" i="6" s="1"/>
  <c r="AS18" i="6"/>
  <c r="DB18" i="6" s="1"/>
  <c r="BV17" i="6"/>
  <c r="BY17" i="3"/>
  <c r="CK16" i="4"/>
  <c r="CL16" i="4" s="1"/>
  <c r="BT18" i="6"/>
  <c r="BW17" i="6"/>
  <c r="BK18" i="6"/>
  <c r="CB17" i="6"/>
  <c r="BX17" i="6"/>
  <c r="BP18" i="6"/>
  <c r="BZ17" i="6"/>
  <c r="BI16" i="2"/>
  <c r="BD18" i="4"/>
  <c r="DM18" i="4" s="1"/>
  <c r="BO18" i="6"/>
  <c r="CG18" i="6"/>
  <c r="CJ17" i="6"/>
  <c r="DO17" i="6"/>
  <c r="BM18" i="6"/>
  <c r="AF19" i="6"/>
  <c r="CO19" i="6" s="1"/>
  <c r="AE19" i="6"/>
  <c r="CN19" i="6" s="1"/>
  <c r="AM19" i="6"/>
  <c r="CV19" i="6" s="1"/>
  <c r="AH19" i="6"/>
  <c r="CQ19" i="6" s="1"/>
  <c r="AD19" i="6"/>
  <c r="CM19" i="6" s="1"/>
  <c r="BH18" i="6"/>
  <c r="AQ19" i="6"/>
  <c r="CZ19" i="6" s="1"/>
  <c r="BS18" i="6"/>
  <c r="BI18" i="6"/>
  <c r="BU18" i="6"/>
  <c r="AO19" i="6"/>
  <c r="CX19" i="6" s="1"/>
  <c r="AK19" i="6"/>
  <c r="CT19" i="6" s="1"/>
  <c r="AG19" i="6"/>
  <c r="CP19" i="6" s="1"/>
  <c r="BJ18" i="6"/>
  <c r="CH17" i="6"/>
  <c r="AI19" i="6"/>
  <c r="CR19" i="6" s="1"/>
  <c r="AJ19" i="6"/>
  <c r="CS19" i="6" s="1"/>
  <c r="BL18" i="6"/>
  <c r="AW18" i="6"/>
  <c r="DF18" i="6" s="1"/>
  <c r="CF17" i="6"/>
  <c r="BG17" i="6"/>
  <c r="AX18" i="6"/>
  <c r="DG18" i="6" s="1"/>
  <c r="AU18" i="5"/>
  <c r="DD18" i="5" s="1"/>
  <c r="BY17" i="5"/>
  <c r="CK16" i="5"/>
  <c r="CL16" i="5" s="1"/>
  <c r="BE18" i="5"/>
  <c r="DN18" i="5" s="1"/>
  <c r="AY18" i="5"/>
  <c r="DH18" i="5" s="1"/>
  <c r="BZ17" i="5"/>
  <c r="BC18" i="4"/>
  <c r="DL18" i="4" s="1"/>
  <c r="BF18" i="4"/>
  <c r="DO18" i="4" s="1"/>
  <c r="CF17" i="5"/>
  <c r="BM18" i="5"/>
  <c r="BU18" i="5"/>
  <c r="BG17" i="4"/>
  <c r="CJ17" i="5"/>
  <c r="DO17" i="5"/>
  <c r="DP17" i="5" s="1"/>
  <c r="DQ17" i="5" s="1"/>
  <c r="BO18" i="5"/>
  <c r="CD17" i="4"/>
  <c r="BB18" i="5"/>
  <c r="DK18" i="5" s="1"/>
  <c r="AF18" i="3"/>
  <c r="CO18" i="3" s="1"/>
  <c r="BE18" i="4"/>
  <c r="DN18" i="4" s="1"/>
  <c r="BR18" i="5"/>
  <c r="AL19" i="5"/>
  <c r="CU19" i="5" s="1"/>
  <c r="BN18" i="5"/>
  <c r="AX18" i="4"/>
  <c r="DG18" i="4" s="1"/>
  <c r="CB17" i="5"/>
  <c r="BK18" i="5"/>
  <c r="BP18" i="5"/>
  <c r="AG18" i="3"/>
  <c r="CP18" i="3" s="1"/>
  <c r="CE17" i="5"/>
  <c r="AV18" i="5"/>
  <c r="DE18" i="5" s="1"/>
  <c r="AT18" i="5"/>
  <c r="DC18" i="5" s="1"/>
  <c r="AS18" i="5"/>
  <c r="DB18" i="5" s="1"/>
  <c r="BA18" i="5"/>
  <c r="DJ18" i="5" s="1"/>
  <c r="AR18" i="5"/>
  <c r="DA18" i="5" s="1"/>
  <c r="BV17" i="5"/>
  <c r="BD18" i="5"/>
  <c r="DM18" i="5" s="1"/>
  <c r="AN19" i="5"/>
  <c r="CW19" i="5" s="1"/>
  <c r="AP19" i="5"/>
  <c r="CY19" i="5" s="1"/>
  <c r="BQ18" i="5"/>
  <c r="AZ18" i="5"/>
  <c r="DI18" i="5" s="1"/>
  <c r="CC17" i="5"/>
  <c r="AQ19" i="5"/>
  <c r="CZ19" i="5" s="1"/>
  <c r="BS18" i="5"/>
  <c r="BJ17" i="3"/>
  <c r="BI18" i="5"/>
  <c r="AK19" i="5"/>
  <c r="CT19" i="5" s="1"/>
  <c r="AG19" i="5"/>
  <c r="CP19" i="5" s="1"/>
  <c r="AO19" i="5"/>
  <c r="CX19" i="5" s="1"/>
  <c r="BJ18" i="5"/>
  <c r="BZ17" i="3"/>
  <c r="CC17" i="4"/>
  <c r="BX17" i="5"/>
  <c r="CA17" i="5"/>
  <c r="BT18" i="5"/>
  <c r="AW18" i="5"/>
  <c r="DF18" i="5" s="1"/>
  <c r="BG17" i="5"/>
  <c r="AT18" i="3"/>
  <c r="DC18" i="3" s="1"/>
  <c r="AZ18" i="4"/>
  <c r="DI18" i="4" s="1"/>
  <c r="CD17" i="5"/>
  <c r="AD19" i="5"/>
  <c r="CM19" i="5" s="1"/>
  <c r="AH19" i="5"/>
  <c r="CQ19" i="5" s="1"/>
  <c r="AF19" i="5"/>
  <c r="CO19" i="5" s="1"/>
  <c r="AM19" i="5"/>
  <c r="CV19" i="5" s="1"/>
  <c r="AE19" i="5"/>
  <c r="CN19" i="5" s="1"/>
  <c r="BH18" i="5"/>
  <c r="AU18" i="3"/>
  <c r="DD18" i="3" s="1"/>
  <c r="AI19" i="5"/>
  <c r="CR19" i="5" s="1"/>
  <c r="AJ19" i="5"/>
  <c r="CS19" i="5" s="1"/>
  <c r="BL18" i="5"/>
  <c r="BT17" i="3"/>
  <c r="BW17" i="5"/>
  <c r="AX18" i="5"/>
  <c r="DG18" i="5" s="1"/>
  <c r="BF18" i="5"/>
  <c r="BQ17" i="3"/>
  <c r="AH18" i="3"/>
  <c r="CQ18" i="3" s="1"/>
  <c r="AM18" i="3"/>
  <c r="CV18" i="3" s="1"/>
  <c r="CE17" i="3"/>
  <c r="BR17" i="3"/>
  <c r="BU17" i="3"/>
  <c r="AQ18" i="3"/>
  <c r="CZ18" i="3" s="1"/>
  <c r="AN18" i="3"/>
  <c r="CW18" i="3" s="1"/>
  <c r="BP17" i="3"/>
  <c r="CU17" i="3"/>
  <c r="BS17" i="3"/>
  <c r="AP18" i="3"/>
  <c r="CY18" i="3" s="1"/>
  <c r="CJ17" i="3"/>
  <c r="DO17" i="3"/>
  <c r="BB18" i="3"/>
  <c r="DK18" i="3" s="1"/>
  <c r="DK17" i="3"/>
  <c r="AW18" i="3"/>
  <c r="DF18" i="3" s="1"/>
  <c r="AI18" i="3"/>
  <c r="CR18" i="3" s="1"/>
  <c r="BA18" i="3"/>
  <c r="DJ18" i="3" s="1"/>
  <c r="AV18" i="3"/>
  <c r="DE18" i="3" s="1"/>
  <c r="CA17" i="3"/>
  <c r="BN17" i="3"/>
  <c r="CS17" i="3"/>
  <c r="BM17" i="3"/>
  <c r="BO17" i="3"/>
  <c r="CT17" i="3"/>
  <c r="BY18" i="4"/>
  <c r="AP19" i="4"/>
  <c r="CY19" i="4" s="1"/>
  <c r="AN19" i="4"/>
  <c r="CW19" i="4" s="1"/>
  <c r="BB19" i="4"/>
  <c r="DK19" i="4" s="1"/>
  <c r="BQ18" i="4"/>
  <c r="AS17" i="2"/>
  <c r="BW17" i="2" s="1"/>
  <c r="DP17" i="4"/>
  <c r="DQ17" i="4" s="1"/>
  <c r="BO18" i="4"/>
  <c r="CA18" i="4"/>
  <c r="BI18" i="4"/>
  <c r="BM18" i="4"/>
  <c r="BT18" i="4"/>
  <c r="BZ18" i="4"/>
  <c r="AO19" i="4"/>
  <c r="CX19" i="4" s="1"/>
  <c r="AK19" i="4"/>
  <c r="CT19" i="4" s="1"/>
  <c r="AG19" i="4"/>
  <c r="CP19" i="4" s="1"/>
  <c r="AU19" i="4"/>
  <c r="DD19" i="4" s="1"/>
  <c r="BJ18" i="4"/>
  <c r="AL19" i="4"/>
  <c r="CU19" i="4" s="1"/>
  <c r="BN18" i="4"/>
  <c r="BX18" i="4"/>
  <c r="CE18" i="4"/>
  <c r="CF18" i="4"/>
  <c r="BK18" i="4"/>
  <c r="AJ19" i="4"/>
  <c r="CS19" i="4" s="1"/>
  <c r="AI19" i="4"/>
  <c r="CR19" i="4" s="1"/>
  <c r="AW19" i="4"/>
  <c r="DF19" i="4" s="1"/>
  <c r="BL18" i="4"/>
  <c r="BA19" i="4"/>
  <c r="DJ19" i="4" s="1"/>
  <c r="AT19" i="4"/>
  <c r="DC19" i="4" s="1"/>
  <c r="AS19" i="4"/>
  <c r="DB19" i="4" s="1"/>
  <c r="AR19" i="4"/>
  <c r="DA19" i="4" s="1"/>
  <c r="AV19" i="4"/>
  <c r="DE19" i="4" s="1"/>
  <c r="BV18" i="4"/>
  <c r="BW18" i="4"/>
  <c r="AM19" i="4"/>
  <c r="CV19" i="4" s="1"/>
  <c r="AD19" i="4"/>
  <c r="CM19" i="4" s="1"/>
  <c r="AH19" i="4"/>
  <c r="CQ19" i="4" s="1"/>
  <c r="AF19" i="4"/>
  <c r="CO19" i="4" s="1"/>
  <c r="AE19" i="4"/>
  <c r="CN19" i="4" s="1"/>
  <c r="BH18" i="4"/>
  <c r="BR18" i="4"/>
  <c r="CH18" i="4"/>
  <c r="BP18" i="4"/>
  <c r="AQ19" i="4"/>
  <c r="CZ19" i="4" s="1"/>
  <c r="BS18" i="4"/>
  <c r="BU18" i="4"/>
  <c r="CO16" i="2"/>
  <c r="CH17" i="3"/>
  <c r="CB17" i="3"/>
  <c r="AL18" i="3"/>
  <c r="DP16" i="3"/>
  <c r="DQ16" i="3" s="1"/>
  <c r="CI17" i="3"/>
  <c r="AO18" i="3"/>
  <c r="CX18" i="3" s="1"/>
  <c r="AK18" i="3"/>
  <c r="AJ18" i="3"/>
  <c r="CS18" i="3" s="1"/>
  <c r="CG17" i="3"/>
  <c r="BE18" i="3"/>
  <c r="AZ18" i="3"/>
  <c r="DI18" i="3" s="1"/>
  <c r="BD18" i="3"/>
  <c r="DM18" i="3" s="1"/>
  <c r="CK16" i="3"/>
  <c r="CL16" i="3" s="1"/>
  <c r="BF18" i="3"/>
  <c r="DO18" i="3" s="1"/>
  <c r="AY18" i="3"/>
  <c r="CC17" i="3"/>
  <c r="AX18" i="3"/>
  <c r="DG18" i="3" s="1"/>
  <c r="BG17" i="3"/>
  <c r="CD17" i="3"/>
  <c r="BC18" i="3"/>
  <c r="CP16" i="2"/>
  <c r="BK16" i="2"/>
  <c r="DD16" i="2"/>
  <c r="BY16" i="2"/>
  <c r="AG17" i="2"/>
  <c r="DC16" i="2"/>
  <c r="BX16" i="2"/>
  <c r="BI18" i="3"/>
  <c r="BW18" i="3"/>
  <c r="AF17" i="2"/>
  <c r="BJ17" i="2" s="1"/>
  <c r="AD19" i="3"/>
  <c r="CM19" i="3" s="1"/>
  <c r="BH18" i="3"/>
  <c r="AE19" i="3"/>
  <c r="CN19" i="3" s="1"/>
  <c r="AS19" i="3"/>
  <c r="DB19" i="3" s="1"/>
  <c r="AR19" i="3"/>
  <c r="DA19" i="3" s="1"/>
  <c r="BV18" i="3"/>
  <c r="AY17" i="2"/>
  <c r="CC17" i="2" s="1"/>
  <c r="AR18" i="2"/>
  <c r="BV18" i="2" s="1"/>
  <c r="AS18" i="2"/>
  <c r="DA17" i="2"/>
  <c r="DB16" i="2"/>
  <c r="AU17" i="2"/>
  <c r="AD18" i="2"/>
  <c r="BH18" i="2" s="1"/>
  <c r="CM17" i="2"/>
  <c r="AT17" i="2"/>
  <c r="AP17" i="2"/>
  <c r="BT17" i="2" s="1"/>
  <c r="BE17" i="2"/>
  <c r="CI17" i="2" s="1"/>
  <c r="AQ17" i="2"/>
  <c r="BU17" i="2" s="1"/>
  <c r="AN17" i="2"/>
  <c r="BR17" i="2" s="1"/>
  <c r="BD17" i="2"/>
  <c r="CH17" i="2" s="1"/>
  <c r="BB17" i="2"/>
  <c r="CF17" i="2" s="1"/>
  <c r="AL17" i="2"/>
  <c r="BP17" i="2" s="1"/>
  <c r="AZ17" i="2"/>
  <c r="CD17" i="2" s="1"/>
  <c r="AK17" i="2"/>
  <c r="BO17" i="2" s="1"/>
  <c r="AO17" i="2"/>
  <c r="BS17" i="2" s="1"/>
  <c r="BC17" i="2"/>
  <c r="CG17" i="2" s="1"/>
  <c r="AI17" i="2"/>
  <c r="BM17" i="2" s="1"/>
  <c r="AM17" i="2"/>
  <c r="BQ17" i="2" s="1"/>
  <c r="BF17" i="2"/>
  <c r="AJ17" i="2"/>
  <c r="BN17" i="2" s="1"/>
  <c r="AH17" i="2"/>
  <c r="BL17" i="2" s="1"/>
  <c r="BA17" i="2"/>
  <c r="CE17" i="2" s="1"/>
  <c r="AV17" i="2"/>
  <c r="BZ17" i="2" s="1"/>
  <c r="AX17" i="2"/>
  <c r="CB17" i="2" s="1"/>
  <c r="AW17" i="2"/>
  <c r="CA17" i="2" s="1"/>
  <c r="DN16" i="2"/>
  <c r="CS16" i="2"/>
  <c r="CJ16" i="2"/>
  <c r="DO16" i="2"/>
  <c r="DK16" i="2"/>
  <c r="CK15" i="2"/>
  <c r="CL15" i="2" s="1"/>
  <c r="DL16" i="2"/>
  <c r="CX16" i="2"/>
  <c r="DJ16" i="2"/>
  <c r="DQ14" i="2"/>
  <c r="CR16" i="2"/>
  <c r="DG16" i="2"/>
  <c r="DI16" i="2"/>
  <c r="DE16" i="2"/>
  <c r="CT16" i="2"/>
  <c r="CQ16" i="2"/>
  <c r="CW16" i="2"/>
  <c r="DF16" i="2"/>
  <c r="CU16" i="2"/>
  <c r="DM16" i="2"/>
  <c r="CY16" i="2"/>
  <c r="DH16" i="2"/>
  <c r="DP15" i="2"/>
  <c r="DQ15" i="2" s="1"/>
  <c r="CV16" i="2"/>
  <c r="CZ16" i="2"/>
  <c r="BG16" i="2"/>
  <c r="DF62" i="8" l="1"/>
  <c r="CA62" i="8"/>
  <c r="CF62" i="8"/>
  <c r="DK62" i="8"/>
  <c r="CB61" i="8"/>
  <c r="DG61" i="8"/>
  <c r="BK62" i="8"/>
  <c r="CP62" i="8"/>
  <c r="BD62" i="8"/>
  <c r="AY62" i="8"/>
  <c r="CD61" i="8"/>
  <c r="DI61" i="8"/>
  <c r="CU62" i="8"/>
  <c r="BP62" i="8"/>
  <c r="AJ63" i="8"/>
  <c r="BL62" i="8"/>
  <c r="AI63" i="8"/>
  <c r="CQ62" i="8"/>
  <c r="BR62" i="8"/>
  <c r="CW62" i="8"/>
  <c r="AX62" i="8"/>
  <c r="BC63" i="8" s="1"/>
  <c r="DN62" i="8"/>
  <c r="CI62" i="8"/>
  <c r="BX61" i="8"/>
  <c r="DC61" i="8"/>
  <c r="BC62" i="8"/>
  <c r="DD62" i="8"/>
  <c r="BY62" i="8"/>
  <c r="BW61" i="8"/>
  <c r="DB61" i="8"/>
  <c r="DP61" i="8" s="1"/>
  <c r="DQ61" i="8" s="1"/>
  <c r="AT62" i="8"/>
  <c r="BV61" i="8"/>
  <c r="AV62" i="8"/>
  <c r="AR62" i="8"/>
  <c r="DA61" i="8"/>
  <c r="BA62" i="8"/>
  <c r="AS62" i="8"/>
  <c r="CS62" i="8"/>
  <c r="BN62" i="8"/>
  <c r="AL63" i="8"/>
  <c r="CE61" i="8"/>
  <c r="DJ61" i="8"/>
  <c r="BF62" i="8"/>
  <c r="BM62" i="8"/>
  <c r="CR62" i="8"/>
  <c r="BZ61" i="8"/>
  <c r="DE61" i="8"/>
  <c r="AK63" i="8"/>
  <c r="AU63" i="8"/>
  <c r="BJ62" i="8"/>
  <c r="CO62" i="8"/>
  <c r="AG63" i="8"/>
  <c r="AO63" i="8"/>
  <c r="BT62" i="8"/>
  <c r="CY62" i="8"/>
  <c r="DL61" i="8"/>
  <c r="CG61" i="8"/>
  <c r="CK61" i="8"/>
  <c r="CL61" i="8" s="1"/>
  <c r="DH61" i="8"/>
  <c r="CC61" i="8"/>
  <c r="BQ62" i="8"/>
  <c r="AN63" i="8"/>
  <c r="CV62" i="8"/>
  <c r="AP63" i="8"/>
  <c r="BD63" i="8"/>
  <c r="BI62" i="8"/>
  <c r="CN62" i="8"/>
  <c r="BO62" i="8"/>
  <c r="CT62" i="8"/>
  <c r="AH63" i="8"/>
  <c r="AD63" i="8"/>
  <c r="AM63" i="8"/>
  <c r="AE63" i="8"/>
  <c r="BH62" i="8"/>
  <c r="AF63" i="8"/>
  <c r="CM62" i="8"/>
  <c r="CF61" i="8"/>
  <c r="DK61" i="8"/>
  <c r="CX62" i="8"/>
  <c r="AQ63" i="8"/>
  <c r="BE63" i="8"/>
  <c r="BS62" i="8"/>
  <c r="CZ62" i="8"/>
  <c r="BU62" i="8"/>
  <c r="CJ61" i="8"/>
  <c r="DO61" i="8"/>
  <c r="AZ62" i="8"/>
  <c r="AZ63" i="8" s="1"/>
  <c r="DF62" i="6"/>
  <c r="CA62" i="6"/>
  <c r="DL62" i="6"/>
  <c r="CG62" i="6"/>
  <c r="BV61" i="6"/>
  <c r="AV62" i="6"/>
  <c r="AX63" i="6" s="1"/>
  <c r="BA62" i="6"/>
  <c r="AR62" i="6"/>
  <c r="BG62" i="6" s="1"/>
  <c r="AS62" i="6"/>
  <c r="DA61" i="6"/>
  <c r="DP61" i="6" s="1"/>
  <c r="DQ61" i="6" s="1"/>
  <c r="AT62" i="6"/>
  <c r="AZ62" i="6"/>
  <c r="DJ61" i="6"/>
  <c r="CE61" i="6"/>
  <c r="BM62" i="6"/>
  <c r="CR62" i="6"/>
  <c r="BT62" i="6"/>
  <c r="CY62" i="6"/>
  <c r="DC61" i="6"/>
  <c r="BX61" i="6"/>
  <c r="DB61" i="6"/>
  <c r="BW61" i="6"/>
  <c r="CK61" i="6" s="1"/>
  <c r="CL61" i="6" s="1"/>
  <c r="BN62" i="6"/>
  <c r="CS62" i="6"/>
  <c r="AL63" i="6"/>
  <c r="AX62" i="6"/>
  <c r="BF63" i="6" s="1"/>
  <c r="CO62" i="6"/>
  <c r="AK63" i="6"/>
  <c r="AU63" i="6"/>
  <c r="AY63" i="6"/>
  <c r="BJ62" i="6"/>
  <c r="AG63" i="6"/>
  <c r="AO63" i="6"/>
  <c r="BR62" i="6"/>
  <c r="CW62" i="6"/>
  <c r="BO62" i="6"/>
  <c r="CT62" i="6"/>
  <c r="BL62" i="6"/>
  <c r="AI63" i="6"/>
  <c r="AW63" i="6"/>
  <c r="CQ62" i="6"/>
  <c r="AJ63" i="6"/>
  <c r="CI62" i="6"/>
  <c r="DN62" i="6"/>
  <c r="CX62" i="6"/>
  <c r="AQ63" i="6"/>
  <c r="BS62" i="6"/>
  <c r="DK61" i="6"/>
  <c r="CF61" i="6"/>
  <c r="BP62" i="6"/>
  <c r="CU62" i="6"/>
  <c r="BD62" i="6"/>
  <c r="CP62" i="6"/>
  <c r="BK62" i="6"/>
  <c r="BF62" i="6"/>
  <c r="DE61" i="6"/>
  <c r="BZ61" i="6"/>
  <c r="DG61" i="6"/>
  <c r="CB61" i="6"/>
  <c r="BB62" i="6"/>
  <c r="AY62" i="6"/>
  <c r="BG61" i="6"/>
  <c r="AD63" i="6"/>
  <c r="BH62" i="6"/>
  <c r="AE63" i="6"/>
  <c r="AF63" i="6"/>
  <c r="AH63" i="6"/>
  <c r="AM63" i="6"/>
  <c r="CM62" i="6"/>
  <c r="CZ62" i="6"/>
  <c r="BU62" i="6"/>
  <c r="CN62" i="6"/>
  <c r="BI62" i="6"/>
  <c r="CV62" i="6"/>
  <c r="AP63" i="6"/>
  <c r="AN63" i="6"/>
  <c r="BQ62" i="6"/>
  <c r="AU62" i="6"/>
  <c r="BY18" i="6"/>
  <c r="CI18" i="6"/>
  <c r="BE19" i="6"/>
  <c r="DN19" i="6" s="1"/>
  <c r="CF18" i="6"/>
  <c r="DM62" i="5"/>
  <c r="CH62" i="5"/>
  <c r="DF62" i="5"/>
  <c r="CA62" i="5"/>
  <c r="DI62" i="5"/>
  <c r="CD62" i="5"/>
  <c r="DC61" i="5"/>
  <c r="BX61" i="5"/>
  <c r="AX62" i="5"/>
  <c r="DL61" i="5"/>
  <c r="CG61" i="5"/>
  <c r="DN61" i="5"/>
  <c r="CI61" i="5"/>
  <c r="AV62" i="5"/>
  <c r="BA62" i="5"/>
  <c r="DA61" i="5"/>
  <c r="DP61" i="5" s="1"/>
  <c r="DQ61" i="5" s="1"/>
  <c r="BV61" i="5"/>
  <c r="AR62" i="5"/>
  <c r="AS62" i="5"/>
  <c r="AT62" i="5"/>
  <c r="DM61" i="5"/>
  <c r="CH61" i="5"/>
  <c r="CY62" i="5"/>
  <c r="BT62" i="5"/>
  <c r="DE61" i="5"/>
  <c r="BZ61" i="5"/>
  <c r="DH61" i="5"/>
  <c r="CC61" i="5"/>
  <c r="DJ61" i="5"/>
  <c r="CE61" i="5"/>
  <c r="CN62" i="5"/>
  <c r="BI62" i="5"/>
  <c r="AU62" i="5"/>
  <c r="CW62" i="5"/>
  <c r="BR62" i="5"/>
  <c r="AD63" i="5"/>
  <c r="AE63" i="5"/>
  <c r="AF63" i="5"/>
  <c r="AH63" i="5"/>
  <c r="AM63" i="5"/>
  <c r="CM62" i="5"/>
  <c r="BH62" i="5"/>
  <c r="CZ62" i="5"/>
  <c r="BU62" i="5"/>
  <c r="BB62" i="5"/>
  <c r="BF62" i="5"/>
  <c r="BE62" i="5"/>
  <c r="CR62" i="5"/>
  <c r="BM62" i="5"/>
  <c r="CX62" i="5"/>
  <c r="BS62" i="5"/>
  <c r="AQ63" i="5"/>
  <c r="BC62" i="5"/>
  <c r="CU62" i="5"/>
  <c r="BP62" i="5"/>
  <c r="BG61" i="5"/>
  <c r="CT62" i="5"/>
  <c r="BO62" i="5"/>
  <c r="CV62" i="5"/>
  <c r="BQ62" i="5"/>
  <c r="AN63" i="5"/>
  <c r="AP63" i="5"/>
  <c r="AY62" i="5"/>
  <c r="DD61" i="5"/>
  <c r="BY61" i="5"/>
  <c r="CS62" i="5"/>
  <c r="BN62" i="5"/>
  <c r="AZ63" i="5"/>
  <c r="AL63" i="5"/>
  <c r="DB61" i="5"/>
  <c r="BW61" i="5"/>
  <c r="CK61" i="5" s="1"/>
  <c r="CL61" i="5" s="1"/>
  <c r="BL62" i="5"/>
  <c r="AW63" i="5"/>
  <c r="AI63" i="5"/>
  <c r="AJ63" i="5"/>
  <c r="CQ62" i="5"/>
  <c r="CP62" i="5"/>
  <c r="BK62" i="5"/>
  <c r="AU63" i="5"/>
  <c r="AG63" i="5"/>
  <c r="AY63" i="5"/>
  <c r="AK63" i="5"/>
  <c r="BC63" i="5"/>
  <c r="AO63" i="5"/>
  <c r="CO62" i="5"/>
  <c r="BJ62" i="5"/>
  <c r="AU19" i="5"/>
  <c r="DD19" i="5" s="1"/>
  <c r="DD62" i="2"/>
  <c r="BY62" i="2"/>
  <c r="CH62" i="2"/>
  <c r="DM62" i="2"/>
  <c r="DG62" i="2"/>
  <c r="CB62" i="2"/>
  <c r="DB61" i="2"/>
  <c r="BW61" i="2"/>
  <c r="CK61" i="2" s="1"/>
  <c r="CL61" i="2" s="1"/>
  <c r="AT62" i="2"/>
  <c r="AV62" i="2"/>
  <c r="BV61" i="2"/>
  <c r="DA61" i="2"/>
  <c r="DP61" i="2" s="1"/>
  <c r="DQ61" i="2" s="1"/>
  <c r="AR62" i="2"/>
  <c r="AS62" i="2"/>
  <c r="BA62" i="2"/>
  <c r="BD63" i="2" s="1"/>
  <c r="AD63" i="2"/>
  <c r="AE63" i="2"/>
  <c r="AF63" i="2"/>
  <c r="AH63" i="2"/>
  <c r="BH62" i="2"/>
  <c r="AM63" i="2"/>
  <c r="CM62" i="2"/>
  <c r="CA61" i="2"/>
  <c r="DF61" i="2"/>
  <c r="CU62" i="2"/>
  <c r="BP62" i="2"/>
  <c r="CZ62" i="2"/>
  <c r="BU62" i="2"/>
  <c r="CR62" i="2"/>
  <c r="BM62" i="2"/>
  <c r="AZ62" i="2"/>
  <c r="AW62" i="2"/>
  <c r="BZ61" i="2"/>
  <c r="DE61" i="2"/>
  <c r="BJ62" i="2"/>
  <c r="AU63" i="2"/>
  <c r="AO63" i="2"/>
  <c r="AK63" i="2"/>
  <c r="AG63" i="2"/>
  <c r="CO62" i="2"/>
  <c r="BI62" i="2"/>
  <c r="CN62" i="2"/>
  <c r="AY62" i="2"/>
  <c r="AZ63" i="2" s="1"/>
  <c r="BE63" i="2"/>
  <c r="BS62" i="2"/>
  <c r="CX62" i="2"/>
  <c r="AQ63" i="2"/>
  <c r="BY61" i="2"/>
  <c r="DD61" i="2"/>
  <c r="CF62" i="2"/>
  <c r="DK62" i="2"/>
  <c r="CJ61" i="2"/>
  <c r="DO61" i="2"/>
  <c r="CQ62" i="2"/>
  <c r="BL62" i="2"/>
  <c r="AI63" i="2"/>
  <c r="AJ63" i="2"/>
  <c r="AW63" i="2"/>
  <c r="CI62" i="2"/>
  <c r="DN62" i="2"/>
  <c r="CI61" i="2"/>
  <c r="DN61" i="2"/>
  <c r="CT62" i="2"/>
  <c r="BO62" i="2"/>
  <c r="AN63" i="2"/>
  <c r="CV62" i="2"/>
  <c r="AP63" i="2"/>
  <c r="BQ62" i="2"/>
  <c r="DC61" i="2"/>
  <c r="BX61" i="2"/>
  <c r="CS62" i="2"/>
  <c r="BN62" i="2"/>
  <c r="AL63" i="2"/>
  <c r="CW62" i="2"/>
  <c r="BR62" i="2"/>
  <c r="DL61" i="2"/>
  <c r="CG61" i="2"/>
  <c r="BC62" i="2"/>
  <c r="BG61" i="2"/>
  <c r="DH61" i="2"/>
  <c r="CC61" i="2"/>
  <c r="BT62" i="2"/>
  <c r="CY62" i="2"/>
  <c r="DK61" i="2"/>
  <c r="CF61" i="2"/>
  <c r="CP62" i="2"/>
  <c r="BK62" i="2"/>
  <c r="DJ61" i="2"/>
  <c r="CE61" i="2"/>
  <c r="BF62" i="2"/>
  <c r="BI17" i="2"/>
  <c r="CN17" i="2"/>
  <c r="CA62" i="4"/>
  <c r="DF62" i="4"/>
  <c r="CD62" i="4"/>
  <c r="DI62" i="4"/>
  <c r="CG62" i="4"/>
  <c r="DL62" i="4"/>
  <c r="DM61" i="4"/>
  <c r="CH61" i="4"/>
  <c r="CP62" i="4"/>
  <c r="BK62" i="4"/>
  <c r="BI62" i="4"/>
  <c r="CN62" i="4"/>
  <c r="AM63" i="4"/>
  <c r="BH62" i="4"/>
  <c r="AD63" i="4"/>
  <c r="AH63" i="4"/>
  <c r="CM62" i="4"/>
  <c r="AE63" i="4"/>
  <c r="AF63" i="4"/>
  <c r="AQ63" i="4"/>
  <c r="CX62" i="4"/>
  <c r="BS62" i="4"/>
  <c r="BY62" i="4"/>
  <c r="DD62" i="4"/>
  <c r="DJ61" i="4"/>
  <c r="CE61" i="4"/>
  <c r="CC61" i="4"/>
  <c r="CK61" i="4" s="1"/>
  <c r="CL61" i="4" s="1"/>
  <c r="DH61" i="4"/>
  <c r="BD62" i="4"/>
  <c r="CY62" i="4"/>
  <c r="BT62" i="4"/>
  <c r="DK61" i="4"/>
  <c r="CF61" i="4"/>
  <c r="BB62" i="4"/>
  <c r="BF62" i="4"/>
  <c r="CV62" i="4"/>
  <c r="BQ62" i="4"/>
  <c r="AP63" i="4"/>
  <c r="BB63" i="4"/>
  <c r="AN63" i="4"/>
  <c r="CU62" i="4"/>
  <c r="BP62" i="4"/>
  <c r="CQ62" i="4"/>
  <c r="AJ63" i="4"/>
  <c r="BL62" i="4"/>
  <c r="AI63" i="4"/>
  <c r="BX61" i="4"/>
  <c r="DC61" i="4"/>
  <c r="CO62" i="4"/>
  <c r="BJ62" i="4"/>
  <c r="AK63" i="4"/>
  <c r="AO63" i="4"/>
  <c r="AG63" i="4"/>
  <c r="CR62" i="4"/>
  <c r="BM62" i="4"/>
  <c r="CW62" i="4"/>
  <c r="BR62" i="4"/>
  <c r="BG61" i="4"/>
  <c r="CT62" i="4"/>
  <c r="BO62" i="4"/>
  <c r="CG61" i="4"/>
  <c r="DL61" i="4"/>
  <c r="AL63" i="4"/>
  <c r="BN62" i="4"/>
  <c r="CS62" i="4"/>
  <c r="AS62" i="4"/>
  <c r="AT62" i="4"/>
  <c r="BC63" i="4" s="1"/>
  <c r="AR62" i="4"/>
  <c r="DA61" i="4"/>
  <c r="DP61" i="4" s="1"/>
  <c r="DQ61" i="4" s="1"/>
  <c r="AV62" i="4"/>
  <c r="BV61" i="4"/>
  <c r="BA62" i="4"/>
  <c r="BU62" i="4"/>
  <c r="CZ62" i="4"/>
  <c r="DI61" i="4"/>
  <c r="CD61" i="4"/>
  <c r="AY62" i="4"/>
  <c r="BZ61" i="4"/>
  <c r="DE61" i="4"/>
  <c r="DB61" i="4"/>
  <c r="BW61" i="4"/>
  <c r="BE62" i="4"/>
  <c r="AX62" i="4"/>
  <c r="AZ63" i="4" s="1"/>
  <c r="CK17" i="4"/>
  <c r="CL17" i="4" s="1"/>
  <c r="BY18" i="3"/>
  <c r="BM18" i="3"/>
  <c r="BL18" i="3"/>
  <c r="BU18" i="3"/>
  <c r="CK17" i="8"/>
  <c r="CL17" i="8" s="1"/>
  <c r="BU18" i="8"/>
  <c r="DO18" i="8"/>
  <c r="CJ18" i="8"/>
  <c r="AN19" i="8"/>
  <c r="CW19" i="8" s="1"/>
  <c r="BB19" i="8"/>
  <c r="DK19" i="8" s="1"/>
  <c r="BD19" i="8"/>
  <c r="DM19" i="8" s="1"/>
  <c r="AP19" i="8"/>
  <c r="CY19" i="8" s="1"/>
  <c r="BQ18" i="8"/>
  <c r="BW18" i="8"/>
  <c r="BT18" i="8"/>
  <c r="BA19" i="8"/>
  <c r="DJ19" i="8" s="1"/>
  <c r="AR19" i="8"/>
  <c r="DA19" i="8" s="1"/>
  <c r="AV19" i="8"/>
  <c r="DE19" i="8" s="1"/>
  <c r="AT19" i="8"/>
  <c r="DC19" i="8" s="1"/>
  <c r="AS19" i="8"/>
  <c r="DB19" i="8" s="1"/>
  <c r="BV18" i="8"/>
  <c r="BZ18" i="8"/>
  <c r="DB17" i="2"/>
  <c r="DP17" i="8"/>
  <c r="DQ17" i="8" s="1"/>
  <c r="CA18" i="8"/>
  <c r="BJ18" i="3"/>
  <c r="CB18" i="8"/>
  <c r="AT19" i="3"/>
  <c r="DC19" i="3" s="1"/>
  <c r="CG18" i="5"/>
  <c r="AJ19" i="8"/>
  <c r="CS19" i="8" s="1"/>
  <c r="AI19" i="8"/>
  <c r="CR19" i="8" s="1"/>
  <c r="AX19" i="8"/>
  <c r="DG19" i="8" s="1"/>
  <c r="AW19" i="8"/>
  <c r="DF19" i="8" s="1"/>
  <c r="BL18" i="8"/>
  <c r="CC18" i="6"/>
  <c r="BP18" i="8"/>
  <c r="BR18" i="8"/>
  <c r="CE18" i="8"/>
  <c r="CD18" i="8"/>
  <c r="CC18" i="8"/>
  <c r="AZ19" i="6"/>
  <c r="DI19" i="6" s="1"/>
  <c r="BM18" i="8"/>
  <c r="AY19" i="8"/>
  <c r="DH19" i="8" s="1"/>
  <c r="AG19" i="8"/>
  <c r="CP19" i="8" s="1"/>
  <c r="AU19" i="8"/>
  <c r="DD19" i="8" s="1"/>
  <c r="BC19" i="8"/>
  <c r="DL19" i="8" s="1"/>
  <c r="AK19" i="8"/>
  <c r="CT19" i="8" s="1"/>
  <c r="AO19" i="8"/>
  <c r="CX19" i="8" s="1"/>
  <c r="BJ18" i="8"/>
  <c r="BO18" i="8"/>
  <c r="BQ18" i="3"/>
  <c r="BI18" i="8"/>
  <c r="BX18" i="8"/>
  <c r="AG19" i="3"/>
  <c r="CP19" i="3" s="1"/>
  <c r="AF19" i="3"/>
  <c r="CO19" i="3" s="1"/>
  <c r="CC18" i="5"/>
  <c r="AZ19" i="8"/>
  <c r="DI19" i="8" s="1"/>
  <c r="AL19" i="8"/>
  <c r="CU19" i="8" s="1"/>
  <c r="BN18" i="8"/>
  <c r="AQ19" i="8"/>
  <c r="CZ19" i="8" s="1"/>
  <c r="BE19" i="8"/>
  <c r="DN19" i="8" s="1"/>
  <c r="BS18" i="8"/>
  <c r="CF18" i="8"/>
  <c r="CH18" i="8"/>
  <c r="AF19" i="8"/>
  <c r="CO19" i="8" s="1"/>
  <c r="AE19" i="8"/>
  <c r="CN19" i="8" s="1"/>
  <c r="AM19" i="8"/>
  <c r="CV19" i="8" s="1"/>
  <c r="AD19" i="8"/>
  <c r="CM19" i="8" s="1"/>
  <c r="BF19" i="8"/>
  <c r="AH19" i="8"/>
  <c r="CQ19" i="8" s="1"/>
  <c r="BG18" i="8"/>
  <c r="BH18" i="8"/>
  <c r="AH19" i="3"/>
  <c r="CQ19" i="3" s="1"/>
  <c r="CC18" i="4"/>
  <c r="BK18" i="8"/>
  <c r="BY18" i="8"/>
  <c r="CG18" i="8"/>
  <c r="BY18" i="5"/>
  <c r="CI18" i="8"/>
  <c r="CD18" i="6"/>
  <c r="CK17" i="6"/>
  <c r="CL17" i="6" s="1"/>
  <c r="BX18" i="6"/>
  <c r="CI19" i="6"/>
  <c r="BP19" i="6"/>
  <c r="BU19" i="6"/>
  <c r="CE18" i="6"/>
  <c r="BR18" i="3"/>
  <c r="AV19" i="6"/>
  <c r="DE19" i="6" s="1"/>
  <c r="BA19" i="6"/>
  <c r="AT19" i="6"/>
  <c r="DC19" i="6" s="1"/>
  <c r="AS19" i="6"/>
  <c r="DB19" i="6" s="1"/>
  <c r="AR19" i="6"/>
  <c r="DA19" i="6" s="1"/>
  <c r="BV18" i="6"/>
  <c r="BM19" i="6"/>
  <c r="BZ18" i="6"/>
  <c r="BK19" i="6"/>
  <c r="AD20" i="6"/>
  <c r="CM20" i="6" s="1"/>
  <c r="AM20" i="6"/>
  <c r="CV20" i="6" s="1"/>
  <c r="AH20" i="6"/>
  <c r="CQ20" i="6" s="1"/>
  <c r="AF20" i="6"/>
  <c r="CO20" i="6" s="1"/>
  <c r="AE20" i="6"/>
  <c r="CN20" i="6" s="1"/>
  <c r="BH19" i="6"/>
  <c r="CH18" i="6"/>
  <c r="BB19" i="6"/>
  <c r="DK19" i="6" s="1"/>
  <c r="CB18" i="6"/>
  <c r="BO19" i="6"/>
  <c r="AI20" i="6"/>
  <c r="CR20" i="6" s="1"/>
  <c r="AJ20" i="6"/>
  <c r="CS20" i="6" s="1"/>
  <c r="BL19" i="6"/>
  <c r="BR19" i="6"/>
  <c r="AU19" i="3"/>
  <c r="DD19" i="3" s="1"/>
  <c r="AQ20" i="6"/>
  <c r="CZ20" i="6" s="1"/>
  <c r="BS19" i="6"/>
  <c r="AP20" i="6"/>
  <c r="CY20" i="6" s="1"/>
  <c r="AN20" i="6"/>
  <c r="CW20" i="6" s="1"/>
  <c r="BQ19" i="6"/>
  <c r="BD19" i="6"/>
  <c r="AY19" i="4"/>
  <c r="DH19" i="4" s="1"/>
  <c r="CI18" i="5"/>
  <c r="BC19" i="6"/>
  <c r="DL19" i="6" s="1"/>
  <c r="BI19" i="6"/>
  <c r="BT19" i="6"/>
  <c r="CG18" i="4"/>
  <c r="BD19" i="4"/>
  <c r="DM19" i="4" s="1"/>
  <c r="BE19" i="5"/>
  <c r="DN19" i="5" s="1"/>
  <c r="AU19" i="6"/>
  <c r="AK20" i="6"/>
  <c r="CT20" i="6" s="1"/>
  <c r="AG20" i="6"/>
  <c r="CP20" i="6" s="1"/>
  <c r="AO20" i="6"/>
  <c r="CX20" i="6" s="1"/>
  <c r="BJ19" i="6"/>
  <c r="AY19" i="6"/>
  <c r="DH19" i="6" s="1"/>
  <c r="BG18" i="6"/>
  <c r="CA18" i="6"/>
  <c r="BF19" i="6"/>
  <c r="AL20" i="6"/>
  <c r="CU20" i="6" s="1"/>
  <c r="BN19" i="6"/>
  <c r="AW19" i="6"/>
  <c r="DF19" i="6" s="1"/>
  <c r="DO18" i="6"/>
  <c r="DP18" i="6" s="1"/>
  <c r="DQ18" i="6" s="1"/>
  <c r="CJ18" i="6"/>
  <c r="AZ19" i="5"/>
  <c r="DI19" i="5" s="1"/>
  <c r="AX19" i="6"/>
  <c r="DG19" i="6" s="1"/>
  <c r="BW18" i="6"/>
  <c r="AW19" i="5"/>
  <c r="DF19" i="5" s="1"/>
  <c r="CK17" i="5"/>
  <c r="CL17" i="5" s="1"/>
  <c r="BF19" i="5"/>
  <c r="CJ19" i="5" s="1"/>
  <c r="AX19" i="5"/>
  <c r="DG19" i="5" s="1"/>
  <c r="DO19" i="5"/>
  <c r="CB19" i="5"/>
  <c r="BG18" i="5"/>
  <c r="BX18" i="5"/>
  <c r="CJ18" i="5"/>
  <c r="DO18" i="5"/>
  <c r="DP18" i="5" s="1"/>
  <c r="DQ18" i="5" s="1"/>
  <c r="BU19" i="5"/>
  <c r="BZ18" i="5"/>
  <c r="BP19" i="5"/>
  <c r="AG20" i="5"/>
  <c r="CP20" i="5" s="1"/>
  <c r="AO20" i="5"/>
  <c r="CX20" i="5" s="1"/>
  <c r="AK20" i="5"/>
  <c r="CT20" i="5" s="1"/>
  <c r="BJ19" i="5"/>
  <c r="CE18" i="5"/>
  <c r="BC19" i="4"/>
  <c r="DL19" i="4" s="1"/>
  <c r="CB18" i="4"/>
  <c r="AL20" i="5"/>
  <c r="CU20" i="5" s="1"/>
  <c r="BN19" i="5"/>
  <c r="BC19" i="5"/>
  <c r="DL19" i="5" s="1"/>
  <c r="BR19" i="5"/>
  <c r="BW18" i="5"/>
  <c r="BG18" i="4"/>
  <c r="BE19" i="4"/>
  <c r="DN19" i="4" s="1"/>
  <c r="CJ18" i="4"/>
  <c r="BM19" i="5"/>
  <c r="BK19" i="5"/>
  <c r="CF18" i="5"/>
  <c r="AN20" i="5"/>
  <c r="CW20" i="5" s="1"/>
  <c r="AP20" i="5"/>
  <c r="CY20" i="5" s="1"/>
  <c r="BQ19" i="5"/>
  <c r="BA19" i="5"/>
  <c r="DJ19" i="5" s="1"/>
  <c r="AT19" i="5"/>
  <c r="DC19" i="5" s="1"/>
  <c r="AV19" i="5"/>
  <c r="DE19" i="5" s="1"/>
  <c r="AS19" i="5"/>
  <c r="DB19" i="5" s="1"/>
  <c r="AR19" i="5"/>
  <c r="DA19" i="5" s="1"/>
  <c r="BV18" i="5"/>
  <c r="CD18" i="4"/>
  <c r="AZ19" i="4"/>
  <c r="DI19" i="4" s="1"/>
  <c r="AY19" i="5"/>
  <c r="DH19" i="5" s="1"/>
  <c r="BD19" i="5"/>
  <c r="DM19" i="5" s="1"/>
  <c r="CB18" i="5"/>
  <c r="AJ20" i="5"/>
  <c r="CS20" i="5" s="1"/>
  <c r="AI20" i="5"/>
  <c r="CR20" i="5" s="1"/>
  <c r="BL19" i="5"/>
  <c r="AX19" i="4"/>
  <c r="DG19" i="4" s="1"/>
  <c r="AF20" i="5"/>
  <c r="CO20" i="5" s="1"/>
  <c r="AD20" i="5"/>
  <c r="CM20" i="5" s="1"/>
  <c r="AH20" i="5"/>
  <c r="CQ20" i="5" s="1"/>
  <c r="AE20" i="5"/>
  <c r="CN20" i="5" s="1"/>
  <c r="AM20" i="5"/>
  <c r="CV20" i="5" s="1"/>
  <c r="BH19" i="5"/>
  <c r="BY19" i="5"/>
  <c r="BF19" i="4"/>
  <c r="DO19" i="4" s="1"/>
  <c r="AQ20" i="5"/>
  <c r="CZ20" i="5" s="1"/>
  <c r="BS19" i="5"/>
  <c r="BX18" i="3"/>
  <c r="CI18" i="4"/>
  <c r="CA18" i="5"/>
  <c r="BO19" i="5"/>
  <c r="BB19" i="5"/>
  <c r="DK19" i="5" s="1"/>
  <c r="CD18" i="5"/>
  <c r="BK18" i="3"/>
  <c r="BT19" i="5"/>
  <c r="BI19" i="5"/>
  <c r="CH18" i="5"/>
  <c r="AN19" i="3"/>
  <c r="CW19" i="3" s="1"/>
  <c r="BT18" i="3"/>
  <c r="CA18" i="3"/>
  <c r="BB19" i="3"/>
  <c r="DK19" i="3" s="1"/>
  <c r="AM19" i="3"/>
  <c r="CV19" i="3" s="1"/>
  <c r="BO18" i="3"/>
  <c r="CT18" i="3"/>
  <c r="AI19" i="3"/>
  <c r="CR19" i="3" s="1"/>
  <c r="CF18" i="3"/>
  <c r="CE18" i="3"/>
  <c r="BZ18" i="3"/>
  <c r="BA19" i="3"/>
  <c r="DJ19" i="3" s="1"/>
  <c r="AW19" i="3"/>
  <c r="DF19" i="3" s="1"/>
  <c r="CG18" i="3"/>
  <c r="DL18" i="3"/>
  <c r="BP18" i="3"/>
  <c r="CU18" i="3"/>
  <c r="AV19" i="3"/>
  <c r="DE19" i="3" s="1"/>
  <c r="CC18" i="3"/>
  <c r="DH18" i="3"/>
  <c r="CI18" i="3"/>
  <c r="DN18" i="3"/>
  <c r="BK19" i="4"/>
  <c r="BW19" i="4"/>
  <c r="BX19" i="4"/>
  <c r="BY19" i="4"/>
  <c r="BB20" i="4"/>
  <c r="DK20" i="4" s="1"/>
  <c r="AN20" i="4"/>
  <c r="CW20" i="4" s="1"/>
  <c r="AP20" i="4"/>
  <c r="CY20" i="4" s="1"/>
  <c r="BQ19" i="4"/>
  <c r="BO19" i="4"/>
  <c r="AQ20" i="4"/>
  <c r="CZ20" i="4" s="1"/>
  <c r="BS19" i="4"/>
  <c r="BI19" i="4"/>
  <c r="CE19" i="4"/>
  <c r="CF19" i="4"/>
  <c r="AK20" i="4"/>
  <c r="CT20" i="4" s="1"/>
  <c r="AG20" i="4"/>
  <c r="CP20" i="4" s="1"/>
  <c r="AU20" i="4"/>
  <c r="DD20" i="4" s="1"/>
  <c r="AO20" i="4"/>
  <c r="CX20" i="4" s="1"/>
  <c r="BJ19" i="4"/>
  <c r="BR19" i="4"/>
  <c r="BZ19" i="4"/>
  <c r="BA20" i="4"/>
  <c r="DJ20" i="4" s="1"/>
  <c r="AV20" i="4"/>
  <c r="DE20" i="4" s="1"/>
  <c r="AT20" i="4"/>
  <c r="DC20" i="4" s="1"/>
  <c r="AS20" i="4"/>
  <c r="DB20" i="4" s="1"/>
  <c r="AR20" i="4"/>
  <c r="DA20" i="4" s="1"/>
  <c r="BV19" i="4"/>
  <c r="AJ20" i="4"/>
  <c r="CS20" i="4" s="1"/>
  <c r="AI20" i="4"/>
  <c r="CR20" i="4" s="1"/>
  <c r="AW20" i="4"/>
  <c r="DF20" i="4" s="1"/>
  <c r="BL19" i="4"/>
  <c r="CA19" i="4"/>
  <c r="CH19" i="4"/>
  <c r="AH20" i="4"/>
  <c r="CQ20" i="4" s="1"/>
  <c r="AF20" i="4"/>
  <c r="CO20" i="4" s="1"/>
  <c r="AE20" i="4"/>
  <c r="CN20" i="4" s="1"/>
  <c r="AM20" i="4"/>
  <c r="CV20" i="4" s="1"/>
  <c r="AD20" i="4"/>
  <c r="CM20" i="4" s="1"/>
  <c r="BH19" i="4"/>
  <c r="CD19" i="4"/>
  <c r="BT19" i="4"/>
  <c r="BU19" i="4"/>
  <c r="BM19" i="4"/>
  <c r="BP19" i="4"/>
  <c r="CJ19" i="4"/>
  <c r="DP18" i="4"/>
  <c r="DQ18" i="4" s="1"/>
  <c r="AL20" i="4"/>
  <c r="CU20" i="4" s="1"/>
  <c r="BN19" i="4"/>
  <c r="AL19" i="3"/>
  <c r="CU19" i="3" s="1"/>
  <c r="CO17" i="2"/>
  <c r="AG18" i="2"/>
  <c r="CP18" i="2" s="1"/>
  <c r="CH18" i="3"/>
  <c r="AZ19" i="3"/>
  <c r="AP19" i="3"/>
  <c r="BS18" i="3"/>
  <c r="AQ19" i="3"/>
  <c r="CZ19" i="3" s="1"/>
  <c r="CK17" i="3"/>
  <c r="CL17" i="3" s="1"/>
  <c r="CD18" i="3"/>
  <c r="AO19" i="3"/>
  <c r="CX19" i="3" s="1"/>
  <c r="AK19" i="3"/>
  <c r="CT19" i="3" s="1"/>
  <c r="BN18" i="3"/>
  <c r="CB18" i="3"/>
  <c r="AJ19" i="3"/>
  <c r="CS19" i="3" s="1"/>
  <c r="DP17" i="3"/>
  <c r="DQ17" i="3" s="1"/>
  <c r="AX19" i="3"/>
  <c r="DG19" i="3" s="1"/>
  <c r="AY19" i="3"/>
  <c r="DH19" i="3" s="1"/>
  <c r="BC19" i="3"/>
  <c r="DL19" i="3" s="1"/>
  <c r="BD19" i="3"/>
  <c r="DM19" i="3" s="1"/>
  <c r="BE19" i="3"/>
  <c r="DN19" i="3" s="1"/>
  <c r="BF19" i="3"/>
  <c r="CJ18" i="3"/>
  <c r="BG18" i="3"/>
  <c r="AS20" i="3"/>
  <c r="DB20" i="3" s="1"/>
  <c r="AR20" i="3"/>
  <c r="DA20" i="3" s="1"/>
  <c r="BV19" i="3"/>
  <c r="BW19" i="3"/>
  <c r="CN18" i="2"/>
  <c r="BI18" i="2"/>
  <c r="CP17" i="2"/>
  <c r="BK17" i="2"/>
  <c r="DB18" i="2"/>
  <c r="BW18" i="2"/>
  <c r="DD17" i="2"/>
  <c r="BY17" i="2"/>
  <c r="DC17" i="2"/>
  <c r="BX17" i="2"/>
  <c r="AF18" i="2"/>
  <c r="BJ18" i="2" s="1"/>
  <c r="BI19" i="3"/>
  <c r="BH19" i="3"/>
  <c r="AE20" i="3"/>
  <c r="CN20" i="3" s="1"/>
  <c r="AD20" i="3"/>
  <c r="CM20" i="3" s="1"/>
  <c r="CM18" i="2"/>
  <c r="AE19" i="2"/>
  <c r="AD19" i="2"/>
  <c r="BH19" i="2" s="1"/>
  <c r="AU18" i="2"/>
  <c r="AT18" i="2"/>
  <c r="DA18" i="2"/>
  <c r="AR19" i="2"/>
  <c r="BV19" i="2" s="1"/>
  <c r="AS19" i="2"/>
  <c r="AH18" i="2"/>
  <c r="BL18" i="2" s="1"/>
  <c r="AI18" i="2"/>
  <c r="BM18" i="2" s="1"/>
  <c r="AM18" i="2"/>
  <c r="BQ18" i="2" s="1"/>
  <c r="AX18" i="2"/>
  <c r="CB18" i="2" s="1"/>
  <c r="AV18" i="2"/>
  <c r="BZ18" i="2" s="1"/>
  <c r="AJ18" i="2"/>
  <c r="BN18" i="2" s="1"/>
  <c r="AW18" i="2"/>
  <c r="CA18" i="2" s="1"/>
  <c r="BF18" i="2"/>
  <c r="AL18" i="2"/>
  <c r="BP18" i="2" s="1"/>
  <c r="AZ18" i="2"/>
  <c r="CD18" i="2" s="1"/>
  <c r="BC18" i="2"/>
  <c r="CG18" i="2" s="1"/>
  <c r="AO18" i="2"/>
  <c r="BS18" i="2" s="1"/>
  <c r="AY18" i="2"/>
  <c r="CC18" i="2" s="1"/>
  <c r="AK18" i="2"/>
  <c r="BA18" i="2"/>
  <c r="CE18" i="2" s="1"/>
  <c r="AQ18" i="2"/>
  <c r="BU18" i="2" s="1"/>
  <c r="BE18" i="2"/>
  <c r="CI18" i="2" s="1"/>
  <c r="AN18" i="2"/>
  <c r="BR18" i="2" s="1"/>
  <c r="AP18" i="2"/>
  <c r="BT18" i="2" s="1"/>
  <c r="BD18" i="2"/>
  <c r="CH18" i="2" s="1"/>
  <c r="BB18" i="2"/>
  <c r="CF18" i="2" s="1"/>
  <c r="CK16" i="2"/>
  <c r="CL16" i="2" s="1"/>
  <c r="DM17" i="2"/>
  <c r="CR17" i="2"/>
  <c r="DJ17" i="2"/>
  <c r="DP16" i="2"/>
  <c r="DQ16" i="2" s="1"/>
  <c r="CS17" i="2"/>
  <c r="DH17" i="2"/>
  <c r="CT17" i="2"/>
  <c r="DL17" i="2"/>
  <c r="DI17" i="2"/>
  <c r="DG17" i="2"/>
  <c r="DF17" i="2"/>
  <c r="CJ17" i="2"/>
  <c r="DO17" i="2"/>
  <c r="DK17" i="2"/>
  <c r="DN17" i="2"/>
  <c r="CQ17" i="2"/>
  <c r="CX17" i="2"/>
  <c r="CU17" i="2"/>
  <c r="CW17" i="2"/>
  <c r="CV17" i="2"/>
  <c r="DE17" i="2"/>
  <c r="CY17" i="2"/>
  <c r="CZ17" i="2"/>
  <c r="BG17" i="2"/>
  <c r="DI63" i="8" l="1"/>
  <c r="CD63" i="8"/>
  <c r="DL63" i="8"/>
  <c r="CG63" i="8"/>
  <c r="DL62" i="8"/>
  <c r="CG62" i="8"/>
  <c r="BP63" i="8"/>
  <c r="CU63" i="8"/>
  <c r="CV63" i="8"/>
  <c r="BQ63" i="8"/>
  <c r="BB64" i="8"/>
  <c r="AP64" i="8"/>
  <c r="AN64" i="8"/>
  <c r="BF63" i="8"/>
  <c r="BS63" i="8"/>
  <c r="AQ64" i="8"/>
  <c r="BE64" i="8"/>
  <c r="CX63" i="8"/>
  <c r="DH62" i="8"/>
  <c r="CC62" i="8"/>
  <c r="BU63" i="8"/>
  <c r="CZ63" i="8"/>
  <c r="CH62" i="8"/>
  <c r="DM62" i="8"/>
  <c r="DJ62" i="8"/>
  <c r="CE62" i="8"/>
  <c r="CH63" i="8"/>
  <c r="DM63" i="8"/>
  <c r="CB62" i="8"/>
  <c r="DG62" i="8"/>
  <c r="DP62" i="8"/>
  <c r="DQ62" i="8" s="1"/>
  <c r="BR63" i="8"/>
  <c r="CW63" i="8"/>
  <c r="BY63" i="8"/>
  <c r="DD63" i="8"/>
  <c r="CD62" i="8"/>
  <c r="DI62" i="8"/>
  <c r="CI63" i="8"/>
  <c r="DN63" i="8"/>
  <c r="AK64" i="8"/>
  <c r="CO63" i="8"/>
  <c r="AG64" i="8"/>
  <c r="BJ63" i="8"/>
  <c r="AO64" i="8"/>
  <c r="AU64" i="8"/>
  <c r="BO63" i="8"/>
  <c r="CT63" i="8"/>
  <c r="DA62" i="8"/>
  <c r="AV63" i="8"/>
  <c r="BV62" i="8"/>
  <c r="BA63" i="8"/>
  <c r="BD64" i="8" s="1"/>
  <c r="AR63" i="8"/>
  <c r="AT63" i="8"/>
  <c r="BC64" i="8" s="1"/>
  <c r="AS63" i="8"/>
  <c r="AZ64" i="8"/>
  <c r="CS63" i="8"/>
  <c r="BN63" i="8"/>
  <c r="AL64" i="8"/>
  <c r="AI64" i="8"/>
  <c r="AJ64" i="8"/>
  <c r="CQ63" i="8"/>
  <c r="BL63" i="8"/>
  <c r="BB63" i="8"/>
  <c r="AY63" i="8"/>
  <c r="DE62" i="8"/>
  <c r="BZ62" i="8"/>
  <c r="BM63" i="8"/>
  <c r="CR63" i="8"/>
  <c r="DO62" i="8"/>
  <c r="CJ62" i="8"/>
  <c r="DB62" i="8"/>
  <c r="BW62" i="8"/>
  <c r="CK62" i="8" s="1"/>
  <c r="CL62" i="8" s="1"/>
  <c r="BG62" i="8"/>
  <c r="AW63" i="8"/>
  <c r="AX63" i="8"/>
  <c r="AM64" i="8"/>
  <c r="BH63" i="8"/>
  <c r="AF64" i="8"/>
  <c r="CM63" i="8"/>
  <c r="AH64" i="8"/>
  <c r="AE64" i="8"/>
  <c r="AD64" i="8"/>
  <c r="CP63" i="8"/>
  <c r="BK63" i="8"/>
  <c r="CY63" i="8"/>
  <c r="BT63" i="8"/>
  <c r="CN63" i="8"/>
  <c r="BI63" i="8"/>
  <c r="DC62" i="8"/>
  <c r="BX62" i="8"/>
  <c r="DO63" i="6"/>
  <c r="CJ63" i="6"/>
  <c r="DG63" i="6"/>
  <c r="CB63" i="6"/>
  <c r="CC63" i="6"/>
  <c r="DH63" i="6"/>
  <c r="CT63" i="6"/>
  <c r="BO63" i="6"/>
  <c r="DF63" i="6"/>
  <c r="CA63" i="6"/>
  <c r="CU63" i="6"/>
  <c r="BP63" i="6"/>
  <c r="BX62" i="6"/>
  <c r="DC62" i="6"/>
  <c r="DP62" i="6" s="1"/>
  <c r="DQ62" i="6" s="1"/>
  <c r="AI64" i="6"/>
  <c r="AW64" i="6"/>
  <c r="AJ64" i="6"/>
  <c r="BL63" i="6"/>
  <c r="CQ63" i="6"/>
  <c r="CH62" i="6"/>
  <c r="DM62" i="6"/>
  <c r="CO63" i="6"/>
  <c r="BJ63" i="6"/>
  <c r="AU64" i="6"/>
  <c r="AG64" i="6"/>
  <c r="AK64" i="6"/>
  <c r="AO64" i="6"/>
  <c r="AZ63" i="6"/>
  <c r="BC64" i="6" s="1"/>
  <c r="BW62" i="6"/>
  <c r="CK62" i="6" s="1"/>
  <c r="CL62" i="6" s="1"/>
  <c r="DB62" i="6"/>
  <c r="BQ63" i="6"/>
  <c r="AP64" i="6"/>
  <c r="CV63" i="6"/>
  <c r="AN64" i="6"/>
  <c r="BM63" i="6"/>
  <c r="CR63" i="6"/>
  <c r="CE62" i="6"/>
  <c r="DJ62" i="6"/>
  <c r="BD63" i="6"/>
  <c r="BZ62" i="6"/>
  <c r="DE62" i="6"/>
  <c r="BB63" i="6"/>
  <c r="AD64" i="6"/>
  <c r="AH64" i="6"/>
  <c r="AM64" i="6"/>
  <c r="CM63" i="6"/>
  <c r="BH63" i="6"/>
  <c r="AE64" i="6"/>
  <c r="AF64" i="6"/>
  <c r="BE63" i="6"/>
  <c r="BN63" i="6"/>
  <c r="AL64" i="6"/>
  <c r="CS63" i="6"/>
  <c r="BI63" i="6"/>
  <c r="CN63" i="6"/>
  <c r="AS63" i="6"/>
  <c r="AT63" i="6"/>
  <c r="AY64" i="6" s="1"/>
  <c r="BA63" i="6"/>
  <c r="BD64" i="6" s="1"/>
  <c r="AR63" i="6"/>
  <c r="BG63" i="6" s="1"/>
  <c r="AV63" i="6"/>
  <c r="BV62" i="6"/>
  <c r="DA62" i="6"/>
  <c r="CW63" i="6"/>
  <c r="BR63" i="6"/>
  <c r="CY63" i="6"/>
  <c r="BT63" i="6"/>
  <c r="CC62" i="6"/>
  <c r="DH62" i="6"/>
  <c r="CZ63" i="6"/>
  <c r="BU63" i="6"/>
  <c r="CP63" i="6"/>
  <c r="BK63" i="6"/>
  <c r="BY63" i="6"/>
  <c r="DD63" i="6"/>
  <c r="DI62" i="6"/>
  <c r="CD62" i="6"/>
  <c r="DD62" i="6"/>
  <c r="BY62" i="6"/>
  <c r="AQ64" i="6"/>
  <c r="BS63" i="6"/>
  <c r="CX63" i="6"/>
  <c r="CF62" i="6"/>
  <c r="DK62" i="6"/>
  <c r="BC63" i="6"/>
  <c r="BE64" i="6" s="1"/>
  <c r="CJ62" i="6"/>
  <c r="DO62" i="6"/>
  <c r="DG62" i="6"/>
  <c r="CB62" i="6"/>
  <c r="AZ20" i="6"/>
  <c r="DI20" i="6" s="1"/>
  <c r="CD19" i="6"/>
  <c r="DE62" i="5"/>
  <c r="BZ62" i="5"/>
  <c r="CX63" i="5"/>
  <c r="BS63" i="5"/>
  <c r="AQ64" i="5"/>
  <c r="CU63" i="5"/>
  <c r="BP63" i="5"/>
  <c r="BF63" i="5"/>
  <c r="DI63" i="5"/>
  <c r="CD63" i="5"/>
  <c r="CT63" i="5"/>
  <c r="BO63" i="5"/>
  <c r="DL62" i="5"/>
  <c r="CG62" i="5"/>
  <c r="DH63" i="5"/>
  <c r="CC63" i="5"/>
  <c r="BG62" i="5"/>
  <c r="CB62" i="5"/>
  <c r="DG62" i="5"/>
  <c r="DF63" i="5"/>
  <c r="CA63" i="5"/>
  <c r="CP63" i="5"/>
  <c r="BK63" i="5"/>
  <c r="CZ63" i="5"/>
  <c r="BU63" i="5"/>
  <c r="CV63" i="5"/>
  <c r="BQ63" i="5"/>
  <c r="AN64" i="5"/>
  <c r="AP64" i="5"/>
  <c r="DD63" i="5"/>
  <c r="BY63" i="5"/>
  <c r="BE63" i="5"/>
  <c r="CQ63" i="5"/>
  <c r="BL63" i="5"/>
  <c r="AI64" i="5"/>
  <c r="AJ64" i="5"/>
  <c r="DK62" i="5"/>
  <c r="CF62" i="5"/>
  <c r="DH62" i="5"/>
  <c r="CC62" i="5"/>
  <c r="BJ63" i="5"/>
  <c r="AG64" i="5"/>
  <c r="AK64" i="5"/>
  <c r="AO64" i="5"/>
  <c r="CO63" i="5"/>
  <c r="DO62" i="5"/>
  <c r="CJ62" i="5"/>
  <c r="CY63" i="5"/>
  <c r="BT63" i="5"/>
  <c r="CN63" i="5"/>
  <c r="BI63" i="5"/>
  <c r="DJ62" i="5"/>
  <c r="CE62" i="5"/>
  <c r="BD63" i="5"/>
  <c r="AD64" i="5"/>
  <c r="AE64" i="5"/>
  <c r="AF64" i="5"/>
  <c r="AH64" i="5"/>
  <c r="AM64" i="5"/>
  <c r="CM63" i="5"/>
  <c r="BH63" i="5"/>
  <c r="DC62" i="5"/>
  <c r="BX62" i="5"/>
  <c r="DL63" i="5"/>
  <c r="CG63" i="5"/>
  <c r="CS63" i="5"/>
  <c r="BN63" i="5"/>
  <c r="AL64" i="5"/>
  <c r="CW63" i="5"/>
  <c r="BR63" i="5"/>
  <c r="DB62" i="5"/>
  <c r="BW62" i="5"/>
  <c r="CR63" i="5"/>
  <c r="BM63" i="5"/>
  <c r="BB63" i="5"/>
  <c r="AT63" i="5"/>
  <c r="BC64" i="5" s="1"/>
  <c r="AV63" i="5"/>
  <c r="BA63" i="5"/>
  <c r="BB64" i="5" s="1"/>
  <c r="DA62" i="5"/>
  <c r="DP62" i="5" s="1"/>
  <c r="DQ62" i="5" s="1"/>
  <c r="BV62" i="5"/>
  <c r="CK62" i="5" s="1"/>
  <c r="CL62" i="5" s="1"/>
  <c r="AR63" i="5"/>
  <c r="AS63" i="5"/>
  <c r="AX63" i="5"/>
  <c r="AZ64" i="5" s="1"/>
  <c r="DN62" i="5"/>
  <c r="CI62" i="5"/>
  <c r="DD62" i="5"/>
  <c r="BY62" i="5"/>
  <c r="CI19" i="5"/>
  <c r="DI63" i="2"/>
  <c r="CD63" i="2"/>
  <c r="CH63" i="2"/>
  <c r="DM63" i="2"/>
  <c r="AR63" i="2"/>
  <c r="AS63" i="2"/>
  <c r="AT63" i="2"/>
  <c r="AU64" i="2" s="1"/>
  <c r="AV63" i="2"/>
  <c r="AW64" i="2" s="1"/>
  <c r="BA63" i="2"/>
  <c r="DA62" i="2"/>
  <c r="BV62" i="2"/>
  <c r="BC63" i="2"/>
  <c r="CP63" i="2"/>
  <c r="BK63" i="2"/>
  <c r="BZ62" i="2"/>
  <c r="CK62" i="2" s="1"/>
  <c r="CL62" i="2" s="1"/>
  <c r="DE62" i="2"/>
  <c r="DP62" i="2" s="1"/>
  <c r="DQ62" i="2" s="1"/>
  <c r="CI63" i="2"/>
  <c r="DN63" i="2"/>
  <c r="DB62" i="2"/>
  <c r="BW62" i="2"/>
  <c r="CY63" i="2"/>
  <c r="BT63" i="2"/>
  <c r="BR63" i="2"/>
  <c r="CW63" i="2"/>
  <c r="AY63" i="2"/>
  <c r="DC62" i="2"/>
  <c r="BX62" i="2"/>
  <c r="DJ62" i="2"/>
  <c r="CE62" i="2"/>
  <c r="BO63" i="2"/>
  <c r="CT63" i="2"/>
  <c r="DD63" i="2"/>
  <c r="BY63" i="2"/>
  <c r="BG62" i="2"/>
  <c r="CJ62" i="2"/>
  <c r="DO62" i="2"/>
  <c r="BF63" i="2"/>
  <c r="AX63" i="2"/>
  <c r="BN63" i="2"/>
  <c r="AZ64" i="2"/>
  <c r="AL64" i="2"/>
  <c r="CS63" i="2"/>
  <c r="CG62" i="2"/>
  <c r="DL62" i="2"/>
  <c r="AP64" i="2"/>
  <c r="BB64" i="2"/>
  <c r="CV63" i="2"/>
  <c r="AN64" i="2"/>
  <c r="BQ63" i="2"/>
  <c r="BU63" i="2"/>
  <c r="CZ63" i="2"/>
  <c r="CQ63" i="2"/>
  <c r="BL63" i="2"/>
  <c r="AI64" i="2"/>
  <c r="AJ64" i="2"/>
  <c r="BH63" i="2"/>
  <c r="BF64" i="2"/>
  <c r="AD64" i="2"/>
  <c r="AH64" i="2"/>
  <c r="BG63" i="2"/>
  <c r="AE64" i="2"/>
  <c r="AF64" i="2"/>
  <c r="AM64" i="2"/>
  <c r="CM63" i="2"/>
  <c r="CR63" i="2"/>
  <c r="BM63" i="2"/>
  <c r="BB63" i="2"/>
  <c r="BP63" i="2"/>
  <c r="CU63" i="2"/>
  <c r="DF62" i="2"/>
  <c r="CA62" i="2"/>
  <c r="CO63" i="2"/>
  <c r="BJ63" i="2"/>
  <c r="AY64" i="2"/>
  <c r="AG64" i="2"/>
  <c r="AK64" i="2"/>
  <c r="AO64" i="2"/>
  <c r="DH62" i="2"/>
  <c r="CC62" i="2"/>
  <c r="AQ64" i="2"/>
  <c r="BS63" i="2"/>
  <c r="CX63" i="2"/>
  <c r="DF63" i="2"/>
  <c r="CA63" i="2"/>
  <c r="DI62" i="2"/>
  <c r="CD62" i="2"/>
  <c r="CN63" i="2"/>
  <c r="BI63" i="2"/>
  <c r="DI63" i="4"/>
  <c r="CD63" i="4"/>
  <c r="DL63" i="4"/>
  <c r="CG63" i="4"/>
  <c r="DE62" i="4"/>
  <c r="BZ62" i="4"/>
  <c r="AQ64" i="4"/>
  <c r="CX63" i="4"/>
  <c r="BS63" i="4"/>
  <c r="BW62" i="4"/>
  <c r="DB62" i="4"/>
  <c r="AY63" i="4"/>
  <c r="CW63" i="4"/>
  <c r="BR63" i="4"/>
  <c r="AU63" i="4"/>
  <c r="DK63" i="4"/>
  <c r="CF63" i="4"/>
  <c r="BO63" i="4"/>
  <c r="CT63" i="4"/>
  <c r="BT63" i="4"/>
  <c r="CY63" i="4"/>
  <c r="BF63" i="4"/>
  <c r="DN62" i="4"/>
  <c r="CI62" i="4"/>
  <c r="BX62" i="4"/>
  <c r="DC62" i="4"/>
  <c r="DO62" i="4"/>
  <c r="CJ62" i="4"/>
  <c r="BU63" i="4"/>
  <c r="CZ63" i="4"/>
  <c r="CF62" i="4"/>
  <c r="DK62" i="4"/>
  <c r="AO64" i="4"/>
  <c r="AG64" i="4"/>
  <c r="AK64" i="4"/>
  <c r="BJ63" i="4"/>
  <c r="CO63" i="4"/>
  <c r="DM62" i="4"/>
  <c r="CH62" i="4"/>
  <c r="AS63" i="4"/>
  <c r="AR63" i="4"/>
  <c r="BG63" i="4" s="1"/>
  <c r="BA63" i="4"/>
  <c r="BD64" i="4" s="1"/>
  <c r="BV62" i="4"/>
  <c r="CK62" i="4" s="1"/>
  <c r="CL62" i="4" s="1"/>
  <c r="AV63" i="4"/>
  <c r="AT63" i="4"/>
  <c r="AU64" i="4" s="1"/>
  <c r="DA62" i="4"/>
  <c r="DP62" i="4" s="1"/>
  <c r="DQ62" i="4" s="1"/>
  <c r="BG62" i="4"/>
  <c r="BP63" i="4"/>
  <c r="CU63" i="4"/>
  <c r="BE63" i="4"/>
  <c r="CR63" i="4"/>
  <c r="BM63" i="4"/>
  <c r="BI63" i="4"/>
  <c r="CN63" i="4"/>
  <c r="CE62" i="4"/>
  <c r="DJ62" i="4"/>
  <c r="AX63" i="4"/>
  <c r="CQ63" i="4"/>
  <c r="AW64" i="4"/>
  <c r="BL63" i="4"/>
  <c r="AJ64" i="4"/>
  <c r="AI64" i="4"/>
  <c r="CS63" i="4"/>
  <c r="AL64" i="4"/>
  <c r="BN63" i="4"/>
  <c r="DG62" i="4"/>
  <c r="CB62" i="4"/>
  <c r="CP63" i="4"/>
  <c r="BK63" i="4"/>
  <c r="AP64" i="4"/>
  <c r="CV63" i="4"/>
  <c r="AN64" i="4"/>
  <c r="BQ63" i="4"/>
  <c r="CC62" i="4"/>
  <c r="DH62" i="4"/>
  <c r="BD63" i="4"/>
  <c r="AW63" i="4"/>
  <c r="CM63" i="4"/>
  <c r="BH63" i="4"/>
  <c r="AD64" i="4"/>
  <c r="AE64" i="4"/>
  <c r="AF64" i="4"/>
  <c r="AM64" i="4"/>
  <c r="AH64" i="4"/>
  <c r="AF20" i="3"/>
  <c r="CO20" i="3" s="1"/>
  <c r="CF19" i="3"/>
  <c r="BJ19" i="3"/>
  <c r="AG20" i="3"/>
  <c r="CP20" i="3" s="1"/>
  <c r="BQ19" i="3"/>
  <c r="CE19" i="8"/>
  <c r="BP19" i="8"/>
  <c r="BO19" i="8"/>
  <c r="BT19" i="8"/>
  <c r="BX19" i="3"/>
  <c r="CG19" i="8"/>
  <c r="BI19" i="8"/>
  <c r="CA19" i="8"/>
  <c r="BW19" i="8"/>
  <c r="CK18" i="8"/>
  <c r="CL18" i="8" s="1"/>
  <c r="BU19" i="8"/>
  <c r="DP18" i="8"/>
  <c r="DQ18" i="8" s="1"/>
  <c r="CJ19" i="8"/>
  <c r="DO19" i="8"/>
  <c r="CF19" i="8"/>
  <c r="BY19" i="3"/>
  <c r="AE20" i="8"/>
  <c r="CN20" i="8" s="1"/>
  <c r="AD20" i="8"/>
  <c r="CM20" i="8" s="1"/>
  <c r="BF20" i="8"/>
  <c r="AF20" i="8"/>
  <c r="CO20" i="8" s="1"/>
  <c r="BG19" i="8"/>
  <c r="AM20" i="8"/>
  <c r="CV20" i="8" s="1"/>
  <c r="AH20" i="8"/>
  <c r="CQ20" i="8" s="1"/>
  <c r="BH19" i="8"/>
  <c r="CC19" i="8"/>
  <c r="BL19" i="3"/>
  <c r="BK19" i="3"/>
  <c r="AU20" i="8"/>
  <c r="DD20" i="8" s="1"/>
  <c r="AK20" i="8"/>
  <c r="CT20" i="8" s="1"/>
  <c r="BC20" i="8"/>
  <c r="DL20" i="8" s="1"/>
  <c r="AG20" i="8"/>
  <c r="CP20" i="8" s="1"/>
  <c r="AY20" i="8"/>
  <c r="DH20" i="8" s="1"/>
  <c r="AO20" i="8"/>
  <c r="CX20" i="8" s="1"/>
  <c r="BJ19" i="8"/>
  <c r="CB19" i="8"/>
  <c r="BX19" i="8"/>
  <c r="AT20" i="8"/>
  <c r="DC20" i="8" s="1"/>
  <c r="AR20" i="8"/>
  <c r="DA20" i="8" s="1"/>
  <c r="BA20" i="8"/>
  <c r="DJ20" i="8" s="1"/>
  <c r="AV20" i="8"/>
  <c r="DE20" i="8" s="1"/>
  <c r="AS20" i="8"/>
  <c r="DB20" i="8" s="1"/>
  <c r="BV19" i="8"/>
  <c r="AU20" i="3"/>
  <c r="DD20" i="3" s="1"/>
  <c r="CI19" i="8"/>
  <c r="AT20" i="3"/>
  <c r="DC20" i="3" s="1"/>
  <c r="AX20" i="8"/>
  <c r="DG20" i="8" s="1"/>
  <c r="AW20" i="8"/>
  <c r="DF20" i="8" s="1"/>
  <c r="AJ20" i="8"/>
  <c r="CS20" i="8" s="1"/>
  <c r="AI20" i="8"/>
  <c r="CR20" i="8" s="1"/>
  <c r="BL19" i="8"/>
  <c r="CD19" i="8"/>
  <c r="BM19" i="8"/>
  <c r="AQ20" i="8"/>
  <c r="CZ20" i="8" s="1"/>
  <c r="BE20" i="8"/>
  <c r="DN20" i="8" s="1"/>
  <c r="BS19" i="8"/>
  <c r="CH19" i="8"/>
  <c r="BY19" i="8"/>
  <c r="BK19" i="8"/>
  <c r="BR19" i="8"/>
  <c r="AP20" i="8"/>
  <c r="CY20" i="8" s="1"/>
  <c r="AN20" i="8"/>
  <c r="CW20" i="8" s="1"/>
  <c r="BD20" i="8"/>
  <c r="DM20" i="8" s="1"/>
  <c r="BB20" i="8"/>
  <c r="DK20" i="8" s="1"/>
  <c r="BQ19" i="8"/>
  <c r="CK18" i="5"/>
  <c r="CL18" i="5" s="1"/>
  <c r="AZ20" i="8"/>
  <c r="DI20" i="8" s="1"/>
  <c r="AL20" i="8"/>
  <c r="CU20" i="8" s="1"/>
  <c r="BN19" i="8"/>
  <c r="BZ19" i="8"/>
  <c r="BB20" i="6"/>
  <c r="DK20" i="6" s="1"/>
  <c r="DJ19" i="6"/>
  <c r="BG19" i="6"/>
  <c r="DD19" i="6"/>
  <c r="BE20" i="6"/>
  <c r="DN20" i="6" s="1"/>
  <c r="DM19" i="6"/>
  <c r="CK18" i="6"/>
  <c r="CL18" i="6" s="1"/>
  <c r="AY20" i="6"/>
  <c r="DH20" i="6" s="1"/>
  <c r="BZ19" i="6"/>
  <c r="AU20" i="6"/>
  <c r="DD20" i="6" s="1"/>
  <c r="AH21" i="6"/>
  <c r="CQ21" i="6" s="1"/>
  <c r="AF21" i="6"/>
  <c r="CO21" i="6" s="1"/>
  <c r="AD21" i="6"/>
  <c r="CM21" i="6" s="1"/>
  <c r="AM21" i="6"/>
  <c r="CV21" i="6" s="1"/>
  <c r="AE21" i="6"/>
  <c r="CN21" i="6" s="1"/>
  <c r="BH20" i="6"/>
  <c r="AQ21" i="6"/>
  <c r="CZ21" i="6" s="1"/>
  <c r="BS20" i="6"/>
  <c r="CC19" i="4"/>
  <c r="CA19" i="6"/>
  <c r="BK20" i="6"/>
  <c r="BD20" i="6"/>
  <c r="DM20" i="6" s="1"/>
  <c r="AW20" i="6"/>
  <c r="DF20" i="6" s="1"/>
  <c r="BM20" i="6"/>
  <c r="DP19" i="6"/>
  <c r="DQ19" i="6" s="1"/>
  <c r="AN21" i="6"/>
  <c r="CW21" i="6" s="1"/>
  <c r="AP21" i="6"/>
  <c r="CY21" i="6" s="1"/>
  <c r="BQ20" i="6"/>
  <c r="CK18" i="4"/>
  <c r="CL18" i="4" s="1"/>
  <c r="CD19" i="5"/>
  <c r="BO20" i="6"/>
  <c r="BR20" i="6"/>
  <c r="CD20" i="6"/>
  <c r="BY19" i="6"/>
  <c r="BT20" i="6"/>
  <c r="BP20" i="6"/>
  <c r="CJ19" i="6"/>
  <c r="DO19" i="6"/>
  <c r="CE19" i="6"/>
  <c r="CF19" i="6"/>
  <c r="CH19" i="6"/>
  <c r="BU20" i="6"/>
  <c r="AL21" i="6"/>
  <c r="CU21" i="6" s="1"/>
  <c r="BN20" i="6"/>
  <c r="BF20" i="6"/>
  <c r="CC19" i="6"/>
  <c r="BI20" i="6"/>
  <c r="BA20" i="6"/>
  <c r="DJ20" i="6" s="1"/>
  <c r="AT20" i="6"/>
  <c r="DC20" i="6" s="1"/>
  <c r="AV20" i="6"/>
  <c r="DE20" i="6" s="1"/>
  <c r="AS20" i="6"/>
  <c r="DB20" i="6" s="1"/>
  <c r="AR20" i="6"/>
  <c r="DA20" i="6" s="1"/>
  <c r="BV19" i="6"/>
  <c r="CA19" i="5"/>
  <c r="CG19" i="6"/>
  <c r="AG21" i="6"/>
  <c r="CP21" i="6" s="1"/>
  <c r="AO21" i="6"/>
  <c r="CX21" i="6" s="1"/>
  <c r="AK21" i="6"/>
  <c r="CT21" i="6" s="1"/>
  <c r="AU21" i="6"/>
  <c r="DD21" i="6" s="1"/>
  <c r="BJ20" i="6"/>
  <c r="BW19" i="6"/>
  <c r="AX20" i="6"/>
  <c r="DG20" i="6" s="1"/>
  <c r="CB19" i="6"/>
  <c r="BC20" i="6"/>
  <c r="AJ21" i="6"/>
  <c r="CS21" i="6" s="1"/>
  <c r="AI21" i="6"/>
  <c r="CR21" i="6" s="1"/>
  <c r="BL20" i="6"/>
  <c r="BX19" i="6"/>
  <c r="BF20" i="5"/>
  <c r="CJ20" i="5" s="1"/>
  <c r="BE20" i="5"/>
  <c r="DN20" i="5" s="1"/>
  <c r="BW19" i="5"/>
  <c r="BZ19" i="5"/>
  <c r="BX19" i="5"/>
  <c r="BC20" i="4"/>
  <c r="DL20" i="4" s="1"/>
  <c r="CE19" i="5"/>
  <c r="AY20" i="5"/>
  <c r="DH20" i="5" s="1"/>
  <c r="AH21" i="5"/>
  <c r="CQ21" i="5" s="1"/>
  <c r="AE21" i="5"/>
  <c r="CN21" i="5" s="1"/>
  <c r="AD21" i="5"/>
  <c r="CM21" i="5" s="1"/>
  <c r="AM21" i="5"/>
  <c r="CV21" i="5" s="1"/>
  <c r="AF21" i="5"/>
  <c r="CO21" i="5" s="1"/>
  <c r="BH20" i="5"/>
  <c r="BM20" i="5"/>
  <c r="BO20" i="5"/>
  <c r="AL21" i="5"/>
  <c r="CU21" i="5" s="1"/>
  <c r="BN20" i="5"/>
  <c r="BT20" i="5"/>
  <c r="BC20" i="5"/>
  <c r="DL20" i="5" s="1"/>
  <c r="BI20" i="5"/>
  <c r="CH19" i="5"/>
  <c r="CG19" i="5"/>
  <c r="BK20" i="5"/>
  <c r="CF19" i="5"/>
  <c r="CC19" i="5"/>
  <c r="AO21" i="5"/>
  <c r="CX21" i="5" s="1"/>
  <c r="AK21" i="5"/>
  <c r="CT21" i="5" s="1"/>
  <c r="AG21" i="5"/>
  <c r="CP21" i="5" s="1"/>
  <c r="BJ20" i="5"/>
  <c r="CI19" i="4"/>
  <c r="BU20" i="5"/>
  <c r="AX20" i="5"/>
  <c r="DG20" i="5" s="1"/>
  <c r="AX20" i="4"/>
  <c r="DG20" i="4" s="1"/>
  <c r="BR20" i="5"/>
  <c r="AP21" i="5"/>
  <c r="CY21" i="5" s="1"/>
  <c r="AN21" i="5"/>
  <c r="CW21" i="5" s="1"/>
  <c r="BQ20" i="5"/>
  <c r="BD20" i="5"/>
  <c r="DM20" i="5" s="1"/>
  <c r="AN20" i="3"/>
  <c r="CW20" i="3" s="1"/>
  <c r="BP20" i="5"/>
  <c r="CG19" i="4"/>
  <c r="BG19" i="4"/>
  <c r="AY20" i="4"/>
  <c r="DH20" i="4" s="1"/>
  <c r="BB20" i="5"/>
  <c r="DK20" i="5" s="1"/>
  <c r="AU20" i="5"/>
  <c r="DD20" i="5" s="1"/>
  <c r="BF20" i="4"/>
  <c r="DO20" i="4" s="1"/>
  <c r="BE20" i="4"/>
  <c r="DN20" i="4" s="1"/>
  <c r="AJ21" i="5"/>
  <c r="CS21" i="5" s="1"/>
  <c r="AI21" i="5"/>
  <c r="CR21" i="5" s="1"/>
  <c r="BL20" i="5"/>
  <c r="AZ20" i="5"/>
  <c r="DI20" i="5" s="1"/>
  <c r="AV20" i="5"/>
  <c r="DE20" i="5" s="1"/>
  <c r="AT20" i="5"/>
  <c r="DC20" i="5" s="1"/>
  <c r="AS20" i="5"/>
  <c r="DB20" i="5" s="1"/>
  <c r="AR20" i="5"/>
  <c r="DA20" i="5" s="1"/>
  <c r="BA20" i="5"/>
  <c r="DJ20" i="5" s="1"/>
  <c r="DP19" i="5"/>
  <c r="DQ19" i="5" s="1"/>
  <c r="BV19" i="5"/>
  <c r="BD20" i="4"/>
  <c r="DM20" i="4" s="1"/>
  <c r="AW20" i="5"/>
  <c r="DF20" i="5" s="1"/>
  <c r="BR19" i="3"/>
  <c r="CB19" i="4"/>
  <c r="AQ21" i="5"/>
  <c r="CZ21" i="5" s="1"/>
  <c r="BS20" i="5"/>
  <c r="AZ20" i="4"/>
  <c r="DI20" i="4" s="1"/>
  <c r="BG19" i="5"/>
  <c r="AM20" i="3"/>
  <c r="CV20" i="3" s="1"/>
  <c r="BB20" i="3"/>
  <c r="DK20" i="3" s="1"/>
  <c r="CE19" i="3"/>
  <c r="AH20" i="3"/>
  <c r="CQ20" i="3" s="1"/>
  <c r="AI20" i="3"/>
  <c r="CR20" i="3" s="1"/>
  <c r="BM19" i="3"/>
  <c r="CJ19" i="3"/>
  <c r="DO19" i="3"/>
  <c r="BZ19" i="3"/>
  <c r="BA20" i="3"/>
  <c r="DJ20" i="3" s="1"/>
  <c r="AW20" i="3"/>
  <c r="DF20" i="3" s="1"/>
  <c r="BT19" i="3"/>
  <c r="CY19" i="3"/>
  <c r="CD19" i="3"/>
  <c r="DI19" i="3"/>
  <c r="CA19" i="3"/>
  <c r="AV20" i="3"/>
  <c r="DE20" i="3" s="1"/>
  <c r="AL21" i="4"/>
  <c r="CU21" i="4" s="1"/>
  <c r="BN20" i="4"/>
  <c r="BR20" i="4"/>
  <c r="DP19" i="4"/>
  <c r="DQ19" i="4" s="1"/>
  <c r="BP19" i="3"/>
  <c r="AX20" i="3"/>
  <c r="DG20" i="3" s="1"/>
  <c r="BZ20" i="4"/>
  <c r="CF20" i="4"/>
  <c r="BW20" i="4"/>
  <c r="CE20" i="4"/>
  <c r="BN19" i="3"/>
  <c r="BP20" i="4"/>
  <c r="AG21" i="4"/>
  <c r="CP21" i="4" s="1"/>
  <c r="AU21" i="4"/>
  <c r="DD21" i="4" s="1"/>
  <c r="AO21" i="4"/>
  <c r="CX21" i="4" s="1"/>
  <c r="AK21" i="4"/>
  <c r="CT21" i="4" s="1"/>
  <c r="BJ20" i="4"/>
  <c r="BT20" i="4"/>
  <c r="AW21" i="4"/>
  <c r="DF21" i="4" s="1"/>
  <c r="AI21" i="4"/>
  <c r="CR21" i="4" s="1"/>
  <c r="AJ21" i="4"/>
  <c r="CS21" i="4" s="1"/>
  <c r="BL20" i="4"/>
  <c r="BI20" i="4"/>
  <c r="CC20" i="4"/>
  <c r="BX20" i="4"/>
  <c r="BU20" i="4"/>
  <c r="BK20" i="4"/>
  <c r="BO20" i="4"/>
  <c r="BK18" i="2"/>
  <c r="AF21" i="4"/>
  <c r="CO21" i="4" s="1"/>
  <c r="AE21" i="4"/>
  <c r="CN21" i="4" s="1"/>
  <c r="AD21" i="4"/>
  <c r="CM21" i="4" s="1"/>
  <c r="AH21" i="4"/>
  <c r="CQ21" i="4" s="1"/>
  <c r="AM21" i="4"/>
  <c r="CV21" i="4" s="1"/>
  <c r="BH20" i="4"/>
  <c r="CA20" i="4"/>
  <c r="BY20" i="4"/>
  <c r="AV21" i="4"/>
  <c r="DE21" i="4" s="1"/>
  <c r="AT21" i="4"/>
  <c r="DC21" i="4" s="1"/>
  <c r="AS21" i="4"/>
  <c r="DB21" i="4" s="1"/>
  <c r="AR21" i="4"/>
  <c r="DA21" i="4" s="1"/>
  <c r="BA21" i="4"/>
  <c r="DJ21" i="4" s="1"/>
  <c r="BV20" i="4"/>
  <c r="AT19" i="2"/>
  <c r="BX19" i="2" s="1"/>
  <c r="AP21" i="4"/>
  <c r="CY21" i="4" s="1"/>
  <c r="BB21" i="4"/>
  <c r="DK21" i="4" s="1"/>
  <c r="AN21" i="4"/>
  <c r="CW21" i="4" s="1"/>
  <c r="BQ20" i="4"/>
  <c r="CB20" i="4"/>
  <c r="AQ21" i="4"/>
  <c r="CZ21" i="4" s="1"/>
  <c r="BS20" i="4"/>
  <c r="BM20" i="4"/>
  <c r="BS19" i="3"/>
  <c r="AQ20" i="3"/>
  <c r="CZ20" i="3" s="1"/>
  <c r="DP18" i="3"/>
  <c r="DQ18" i="3" s="1"/>
  <c r="AO20" i="3"/>
  <c r="CX20" i="3" s="1"/>
  <c r="BU19" i="3"/>
  <c r="AK20" i="3"/>
  <c r="CT20" i="3" s="1"/>
  <c r="AP20" i="3"/>
  <c r="CK18" i="3"/>
  <c r="CL18" i="3" s="1"/>
  <c r="CB19" i="3"/>
  <c r="AJ20" i="3"/>
  <c r="CS20" i="3" s="1"/>
  <c r="AL20" i="3"/>
  <c r="CU20" i="3" s="1"/>
  <c r="BD20" i="3"/>
  <c r="AY20" i="3"/>
  <c r="DH20" i="3" s="1"/>
  <c r="BO19" i="3"/>
  <c r="BC20" i="3"/>
  <c r="AZ20" i="3"/>
  <c r="DI20" i="3" s="1"/>
  <c r="CG19" i="3"/>
  <c r="CH19" i="3"/>
  <c r="BE20" i="3"/>
  <c r="CC19" i="3"/>
  <c r="BF20" i="3"/>
  <c r="DO20" i="3" s="1"/>
  <c r="BG19" i="3"/>
  <c r="CI19" i="3"/>
  <c r="CN19" i="2"/>
  <c r="BI19" i="2"/>
  <c r="AF19" i="2"/>
  <c r="BJ19" i="2" s="1"/>
  <c r="DC18" i="2"/>
  <c r="BX18" i="2"/>
  <c r="DD18" i="2"/>
  <c r="BY18" i="2"/>
  <c r="AR21" i="3"/>
  <c r="DA21" i="3" s="1"/>
  <c r="AS21" i="3"/>
  <c r="DB21" i="3" s="1"/>
  <c r="BV20" i="3"/>
  <c r="BW20" i="3"/>
  <c r="AU19" i="2"/>
  <c r="CO18" i="2"/>
  <c r="AF21" i="3"/>
  <c r="CO21" i="3" s="1"/>
  <c r="AE21" i="3"/>
  <c r="CN21" i="3" s="1"/>
  <c r="AD21" i="3"/>
  <c r="CM21" i="3" s="1"/>
  <c r="BH20" i="3"/>
  <c r="DC19" i="2"/>
  <c r="AK19" i="2"/>
  <c r="BO19" i="2" s="1"/>
  <c r="BO18" i="2"/>
  <c r="AG19" i="2"/>
  <c r="BI20" i="3"/>
  <c r="DB19" i="2"/>
  <c r="BW19" i="2"/>
  <c r="BJ20" i="3"/>
  <c r="CM19" i="2"/>
  <c r="AD20" i="2"/>
  <c r="BH20" i="2" s="1"/>
  <c r="AE20" i="2"/>
  <c r="AS20" i="2"/>
  <c r="DA19" i="2"/>
  <c r="AR20" i="2"/>
  <c r="BV20" i="2" s="1"/>
  <c r="AQ19" i="2"/>
  <c r="BU19" i="2" s="1"/>
  <c r="AY19" i="2"/>
  <c r="CC19" i="2" s="1"/>
  <c r="AL19" i="2"/>
  <c r="BP19" i="2" s="1"/>
  <c r="BC19" i="2"/>
  <c r="CG19" i="2" s="1"/>
  <c r="AZ19" i="2"/>
  <c r="CD19" i="2" s="1"/>
  <c r="AO19" i="2"/>
  <c r="BS19" i="2" s="1"/>
  <c r="AW19" i="2"/>
  <c r="CA19" i="2" s="1"/>
  <c r="BE19" i="2"/>
  <c r="CI19" i="2" s="1"/>
  <c r="AN19" i="2"/>
  <c r="BR19" i="2" s="1"/>
  <c r="BD19" i="2"/>
  <c r="CH19" i="2" s="1"/>
  <c r="AP19" i="2"/>
  <c r="BT19" i="2" s="1"/>
  <c r="BB19" i="2"/>
  <c r="CF19" i="2" s="1"/>
  <c r="AH19" i="2"/>
  <c r="BL19" i="2" s="1"/>
  <c r="AI19" i="2"/>
  <c r="BM19" i="2" s="1"/>
  <c r="AV19" i="2"/>
  <c r="BZ19" i="2" s="1"/>
  <c r="BA19" i="2"/>
  <c r="CE19" i="2" s="1"/>
  <c r="AM19" i="2"/>
  <c r="BQ19" i="2" s="1"/>
  <c r="AX19" i="2"/>
  <c r="CB19" i="2" s="1"/>
  <c r="BF19" i="2"/>
  <c r="AJ19" i="2"/>
  <c r="BN19" i="2" s="1"/>
  <c r="CK17" i="2"/>
  <c r="CL17" i="2" s="1"/>
  <c r="CV18" i="2"/>
  <c r="CU18" i="2"/>
  <c r="CY18" i="2"/>
  <c r="DP17" i="2"/>
  <c r="DQ17" i="2" s="1"/>
  <c r="CX18" i="2"/>
  <c r="CQ18" i="2"/>
  <c r="DH18" i="2"/>
  <c r="DL18" i="2"/>
  <c r="CW18" i="2"/>
  <c r="DE18" i="2"/>
  <c r="CJ18" i="2"/>
  <c r="DO18" i="2"/>
  <c r="DI18" i="2"/>
  <c r="CS18" i="2"/>
  <c r="DJ18" i="2"/>
  <c r="CR18" i="2"/>
  <c r="CT18" i="2"/>
  <c r="DF18" i="2"/>
  <c r="DG18" i="2"/>
  <c r="CZ18" i="2"/>
  <c r="DK18" i="2"/>
  <c r="DN18" i="2"/>
  <c r="DM18" i="2"/>
  <c r="BG18" i="2"/>
  <c r="CG64" i="8" l="1"/>
  <c r="DL64" i="8"/>
  <c r="DM64" i="8"/>
  <c r="CH64" i="8"/>
  <c r="CY64" i="8"/>
  <c r="BT64" i="8"/>
  <c r="CF64" i="8"/>
  <c r="DK64" i="8"/>
  <c r="AY64" i="8"/>
  <c r="DO63" i="8"/>
  <c r="CJ63" i="8"/>
  <c r="DI64" i="8"/>
  <c r="CD64" i="8"/>
  <c r="BI64" i="8"/>
  <c r="CN64" i="8"/>
  <c r="DB63" i="8"/>
  <c r="DP63" i="8" s="1"/>
  <c r="DQ63" i="8" s="1"/>
  <c r="BW63" i="8"/>
  <c r="CT64" i="8"/>
  <c r="BO64" i="8"/>
  <c r="BS64" i="8"/>
  <c r="CX64" i="8"/>
  <c r="BE65" i="8"/>
  <c r="AQ65" i="8"/>
  <c r="CW64" i="8"/>
  <c r="BR64" i="8"/>
  <c r="CQ64" i="8"/>
  <c r="BL64" i="8"/>
  <c r="AI65" i="8"/>
  <c r="AJ65" i="8"/>
  <c r="DH63" i="8"/>
  <c r="CC63" i="8"/>
  <c r="DJ63" i="8"/>
  <c r="CE63" i="8"/>
  <c r="BY64" i="8"/>
  <c r="DD64" i="8"/>
  <c r="CM64" i="8"/>
  <c r="AD65" i="8"/>
  <c r="AE65" i="8"/>
  <c r="AF65" i="8"/>
  <c r="AM65" i="8"/>
  <c r="BH64" i="8"/>
  <c r="AH65" i="8"/>
  <c r="CF63" i="8"/>
  <c r="DK63" i="8"/>
  <c r="CU64" i="8"/>
  <c r="BP64" i="8"/>
  <c r="BX63" i="8"/>
  <c r="DC63" i="8"/>
  <c r="CO64" i="8"/>
  <c r="AG65" i="8"/>
  <c r="AU65" i="8"/>
  <c r="BJ64" i="8"/>
  <c r="BC65" i="8"/>
  <c r="AY65" i="8"/>
  <c r="AO65" i="8"/>
  <c r="AK65" i="8"/>
  <c r="BZ63" i="8"/>
  <c r="CK63" i="8" s="1"/>
  <c r="CL63" i="8" s="1"/>
  <c r="DE63" i="8"/>
  <c r="BA64" i="8"/>
  <c r="BB65" i="8" s="1"/>
  <c r="DA63" i="8"/>
  <c r="AS64" i="8"/>
  <c r="BV63" i="8"/>
  <c r="AT64" i="8"/>
  <c r="AR64" i="8"/>
  <c r="AV64" i="8"/>
  <c r="BG64" i="8" s="1"/>
  <c r="AW64" i="8"/>
  <c r="BF65" i="8" s="1"/>
  <c r="DF63" i="8"/>
  <c r="CA63" i="8"/>
  <c r="BM64" i="8"/>
  <c r="CR64" i="8"/>
  <c r="BF64" i="8"/>
  <c r="BQ64" i="8"/>
  <c r="CV64" i="8"/>
  <c r="AN65" i="8"/>
  <c r="AP65" i="8"/>
  <c r="AX64" i="8"/>
  <c r="CI64" i="8"/>
  <c r="DN64" i="8"/>
  <c r="AL65" i="8"/>
  <c r="CS64" i="8"/>
  <c r="BN64" i="8"/>
  <c r="AZ65" i="8"/>
  <c r="CP64" i="8"/>
  <c r="BK64" i="8"/>
  <c r="BG63" i="8"/>
  <c r="DG63" i="8"/>
  <c r="CB63" i="8"/>
  <c r="BU64" i="8"/>
  <c r="CZ64" i="8"/>
  <c r="DL64" i="6"/>
  <c r="CG64" i="6"/>
  <c r="CH64" i="6"/>
  <c r="DM64" i="6"/>
  <c r="CC64" i="6"/>
  <c r="DH64" i="6"/>
  <c r="CI64" i="6"/>
  <c r="DN64" i="6"/>
  <c r="CM64" i="6"/>
  <c r="BH64" i="6"/>
  <c r="AH65" i="6"/>
  <c r="AE65" i="6"/>
  <c r="AD65" i="6"/>
  <c r="AF65" i="6"/>
  <c r="AM65" i="6"/>
  <c r="CR64" i="6"/>
  <c r="BM64" i="6"/>
  <c r="CU64" i="6"/>
  <c r="BP64" i="6"/>
  <c r="BK64" i="6"/>
  <c r="CP64" i="6"/>
  <c r="DD64" i="6"/>
  <c r="BY64" i="6"/>
  <c r="BU64" i="6"/>
  <c r="CZ64" i="6"/>
  <c r="CI63" i="6"/>
  <c r="DN63" i="6"/>
  <c r="AO65" i="6"/>
  <c r="AG65" i="6"/>
  <c r="AU65" i="6"/>
  <c r="CO64" i="6"/>
  <c r="BJ64" i="6"/>
  <c r="AK65" i="6"/>
  <c r="CN64" i="6"/>
  <c r="BI64" i="6"/>
  <c r="DE63" i="6"/>
  <c r="BZ63" i="6"/>
  <c r="DI63" i="6"/>
  <c r="DP63" i="6" s="1"/>
  <c r="DQ63" i="6" s="1"/>
  <c r="CD63" i="6"/>
  <c r="BO64" i="6"/>
  <c r="CT64" i="6"/>
  <c r="AN65" i="6"/>
  <c r="AP65" i="6"/>
  <c r="BQ64" i="6"/>
  <c r="CV64" i="6"/>
  <c r="CE63" i="6"/>
  <c r="DJ63" i="6"/>
  <c r="CY64" i="6"/>
  <c r="BT64" i="6"/>
  <c r="AX64" i="6"/>
  <c r="CA64" i="6"/>
  <c r="DF64" i="6"/>
  <c r="CF63" i="6"/>
  <c r="DK63" i="6"/>
  <c r="AZ64" i="6"/>
  <c r="AZ65" i="6" s="1"/>
  <c r="AR64" i="6"/>
  <c r="BG64" i="6" s="1"/>
  <c r="DA63" i="6"/>
  <c r="AS64" i="6"/>
  <c r="AV64" i="6"/>
  <c r="AT64" i="6"/>
  <c r="BA64" i="6"/>
  <c r="BV63" i="6"/>
  <c r="DC63" i="6"/>
  <c r="BX63" i="6"/>
  <c r="CK63" i="6" s="1"/>
  <c r="CL63" i="6" s="1"/>
  <c r="BF64" i="6"/>
  <c r="CG63" i="6"/>
  <c r="DL63" i="6"/>
  <c r="BE65" i="6"/>
  <c r="CX64" i="6"/>
  <c r="AQ65" i="6"/>
  <c r="BS64" i="6"/>
  <c r="DM63" i="6"/>
  <c r="CH63" i="6"/>
  <c r="BR64" i="6"/>
  <c r="CW64" i="6"/>
  <c r="BB64" i="6"/>
  <c r="BD65" i="6" s="1"/>
  <c r="BW63" i="6"/>
  <c r="DB63" i="6"/>
  <c r="AW65" i="6"/>
  <c r="BL64" i="6"/>
  <c r="AI65" i="6"/>
  <c r="CQ64" i="6"/>
  <c r="AJ65" i="6"/>
  <c r="BN64" i="6"/>
  <c r="AL65" i="6"/>
  <c r="CS64" i="6"/>
  <c r="CC20" i="6"/>
  <c r="CI20" i="6"/>
  <c r="CF20" i="6"/>
  <c r="DK64" i="5"/>
  <c r="CF64" i="5"/>
  <c r="DL64" i="5"/>
  <c r="CG64" i="5"/>
  <c r="DI64" i="5"/>
  <c r="CD64" i="5"/>
  <c r="CW64" i="5"/>
  <c r="BR64" i="5"/>
  <c r="DB63" i="5"/>
  <c r="BW63" i="5"/>
  <c r="AR64" i="5"/>
  <c r="AS64" i="5"/>
  <c r="AT64" i="5"/>
  <c r="AV64" i="5"/>
  <c r="BA64" i="5"/>
  <c r="DA63" i="5"/>
  <c r="DP63" i="5" s="1"/>
  <c r="DQ63" i="5" s="1"/>
  <c r="BV63" i="5"/>
  <c r="DJ63" i="5"/>
  <c r="CE63" i="5"/>
  <c r="CS64" i="5"/>
  <c r="BN64" i="5"/>
  <c r="AL65" i="5"/>
  <c r="BZ63" i="5"/>
  <c r="DE63" i="5"/>
  <c r="CR64" i="5"/>
  <c r="BM64" i="5"/>
  <c r="DO63" i="5"/>
  <c r="CJ63" i="5"/>
  <c r="DK63" i="5"/>
  <c r="CF63" i="5"/>
  <c r="CK63" i="5"/>
  <c r="CL63" i="5" s="1"/>
  <c r="AW64" i="5"/>
  <c r="AX64" i="5"/>
  <c r="BF64" i="5"/>
  <c r="BG63" i="5"/>
  <c r="AQ65" i="5"/>
  <c r="CX64" i="5"/>
  <c r="BS64" i="5"/>
  <c r="CZ64" i="5"/>
  <c r="BU64" i="5"/>
  <c r="DM63" i="5"/>
  <c r="CH63" i="5"/>
  <c r="AP65" i="5"/>
  <c r="CV64" i="5"/>
  <c r="BQ64" i="5"/>
  <c r="AN65" i="5"/>
  <c r="DN63" i="5"/>
  <c r="CI63" i="5"/>
  <c r="BE64" i="5"/>
  <c r="DC63" i="5"/>
  <c r="BX63" i="5"/>
  <c r="CQ64" i="5"/>
  <c r="BL64" i="5"/>
  <c r="AI65" i="5"/>
  <c r="AJ65" i="5"/>
  <c r="CT64" i="5"/>
  <c r="BO64" i="5"/>
  <c r="CO64" i="5"/>
  <c r="BJ64" i="5"/>
  <c r="AG65" i="5"/>
  <c r="AK65" i="5"/>
  <c r="AO65" i="5"/>
  <c r="AY64" i="5"/>
  <c r="DG63" i="5"/>
  <c r="CB63" i="5"/>
  <c r="CN64" i="5"/>
  <c r="BI64" i="5"/>
  <c r="CP64" i="5"/>
  <c r="BK64" i="5"/>
  <c r="CY64" i="5"/>
  <c r="BT64" i="5"/>
  <c r="CU64" i="5"/>
  <c r="BP64" i="5"/>
  <c r="BH64" i="5"/>
  <c r="AD65" i="5"/>
  <c r="AE65" i="5"/>
  <c r="AF65" i="5"/>
  <c r="AH65" i="5"/>
  <c r="AM65" i="5"/>
  <c r="CM64" i="5"/>
  <c r="AU64" i="5"/>
  <c r="BD64" i="5"/>
  <c r="BE65" i="5" s="1"/>
  <c r="DF64" i="2"/>
  <c r="CA64" i="2"/>
  <c r="DD64" i="2"/>
  <c r="BY64" i="2"/>
  <c r="DK64" i="2"/>
  <c r="CF64" i="2"/>
  <c r="CG63" i="2"/>
  <c r="DL63" i="2"/>
  <c r="CS64" i="2"/>
  <c r="AZ65" i="2"/>
  <c r="AL65" i="2"/>
  <c r="BN64" i="2"/>
  <c r="BE64" i="2"/>
  <c r="CR64" i="2"/>
  <c r="BM64" i="2"/>
  <c r="BT64" i="2"/>
  <c r="CY64" i="2"/>
  <c r="AX64" i="2"/>
  <c r="BP64" i="2"/>
  <c r="CU64" i="2"/>
  <c r="DH63" i="2"/>
  <c r="CC63" i="2"/>
  <c r="DJ63" i="2"/>
  <c r="CE63" i="2"/>
  <c r="CP64" i="2"/>
  <c r="BK64" i="2"/>
  <c r="DB63" i="2"/>
  <c r="BW63" i="2"/>
  <c r="CJ63" i="2"/>
  <c r="DO63" i="2"/>
  <c r="AR64" i="2"/>
  <c r="AT64" i="2"/>
  <c r="DA63" i="2"/>
  <c r="AV64" i="2"/>
  <c r="BA64" i="2"/>
  <c r="BV63" i="2"/>
  <c r="CK63" i="2" s="1"/>
  <c r="CL63" i="2" s="1"/>
  <c r="AS64" i="2"/>
  <c r="CJ64" i="2"/>
  <c r="DO64" i="2"/>
  <c r="CF63" i="2"/>
  <c r="DK63" i="2"/>
  <c r="CB63" i="2"/>
  <c r="DG63" i="2"/>
  <c r="AW65" i="2"/>
  <c r="AX65" i="2"/>
  <c r="CQ64" i="2"/>
  <c r="BL64" i="2"/>
  <c r="AI65" i="2"/>
  <c r="AJ65" i="2"/>
  <c r="CM64" i="2"/>
  <c r="BH64" i="2"/>
  <c r="AH65" i="2"/>
  <c r="AD65" i="2"/>
  <c r="AE65" i="2"/>
  <c r="AF65" i="2"/>
  <c r="AM65" i="2"/>
  <c r="BU64" i="2"/>
  <c r="CZ64" i="2"/>
  <c r="BE65" i="2"/>
  <c r="BS64" i="2"/>
  <c r="CX64" i="2"/>
  <c r="AQ65" i="2"/>
  <c r="AN65" i="2"/>
  <c r="AP65" i="2"/>
  <c r="BQ64" i="2"/>
  <c r="CV64" i="2"/>
  <c r="BB65" i="2"/>
  <c r="DH64" i="2"/>
  <c r="CC64" i="2"/>
  <c r="DI64" i="2"/>
  <c r="CD64" i="2"/>
  <c r="BX63" i="2"/>
  <c r="DC63" i="2"/>
  <c r="DP63" i="2" s="1"/>
  <c r="DQ63" i="2" s="1"/>
  <c r="CT64" i="2"/>
  <c r="BO64" i="2"/>
  <c r="AO65" i="2"/>
  <c r="BJ64" i="2"/>
  <c r="AU65" i="2"/>
  <c r="CO64" i="2"/>
  <c r="AY65" i="2"/>
  <c r="AG65" i="2"/>
  <c r="AK65" i="2"/>
  <c r="BC65" i="2"/>
  <c r="BD64" i="2"/>
  <c r="DE63" i="2"/>
  <c r="BZ63" i="2"/>
  <c r="BC64" i="2"/>
  <c r="BD65" i="2" s="1"/>
  <c r="CN64" i="2"/>
  <c r="BI64" i="2"/>
  <c r="BR64" i="2"/>
  <c r="CW64" i="2"/>
  <c r="DD64" i="4"/>
  <c r="BY64" i="4"/>
  <c r="CH64" i="4"/>
  <c r="DM64" i="4"/>
  <c r="AI65" i="4"/>
  <c r="AJ65" i="4"/>
  <c r="BL64" i="4"/>
  <c r="CQ64" i="4"/>
  <c r="DD63" i="4"/>
  <c r="BY63" i="4"/>
  <c r="CK63" i="4" s="1"/>
  <c r="CL63" i="4" s="1"/>
  <c r="DO63" i="4"/>
  <c r="CJ63" i="4"/>
  <c r="BP64" i="4"/>
  <c r="CU64" i="4"/>
  <c r="BO64" i="4"/>
  <c r="CT64" i="4"/>
  <c r="CW64" i="4"/>
  <c r="BR64" i="4"/>
  <c r="BB64" i="4"/>
  <c r="CN64" i="4"/>
  <c r="BI64" i="4"/>
  <c r="BW63" i="4"/>
  <c r="DB63" i="4"/>
  <c r="CI63" i="4"/>
  <c r="DN63" i="4"/>
  <c r="BE64" i="4"/>
  <c r="CH63" i="4"/>
  <c r="DM63" i="4"/>
  <c r="CB63" i="4"/>
  <c r="DG63" i="4"/>
  <c r="AM65" i="4"/>
  <c r="BH64" i="4"/>
  <c r="AD65" i="4"/>
  <c r="AE65" i="4"/>
  <c r="AF65" i="4"/>
  <c r="AH65" i="4"/>
  <c r="CM64" i="4"/>
  <c r="AZ64" i="4"/>
  <c r="CR64" i="4"/>
  <c r="BM64" i="4"/>
  <c r="AY64" i="4"/>
  <c r="DF64" i="4"/>
  <c r="CA64" i="4"/>
  <c r="AN65" i="4"/>
  <c r="AP65" i="4"/>
  <c r="BQ64" i="4"/>
  <c r="CV64" i="4"/>
  <c r="BV63" i="4"/>
  <c r="AV64" i="4"/>
  <c r="AW65" i="4" s="1"/>
  <c r="AT64" i="4"/>
  <c r="AY65" i="4" s="1"/>
  <c r="AR64" i="4"/>
  <c r="BG64" i="4" s="1"/>
  <c r="AS64" i="4"/>
  <c r="DA63" i="4"/>
  <c r="DP63" i="4" s="1"/>
  <c r="DQ63" i="4" s="1"/>
  <c r="BA64" i="4"/>
  <c r="DH63" i="4"/>
  <c r="CC63" i="4"/>
  <c r="BC64" i="4"/>
  <c r="BU64" i="4"/>
  <c r="CZ64" i="4"/>
  <c r="CP64" i="4"/>
  <c r="BK64" i="4"/>
  <c r="DC63" i="4"/>
  <c r="BX63" i="4"/>
  <c r="CX64" i="4"/>
  <c r="AQ65" i="4"/>
  <c r="BS64" i="4"/>
  <c r="DJ63" i="4"/>
  <c r="CE63" i="4"/>
  <c r="AO65" i="4"/>
  <c r="AG65" i="4"/>
  <c r="CO64" i="4"/>
  <c r="BJ64" i="4"/>
  <c r="AK65" i="4"/>
  <c r="CY64" i="4"/>
  <c r="BT64" i="4"/>
  <c r="BF64" i="4"/>
  <c r="CA63" i="4"/>
  <c r="DF63" i="4"/>
  <c r="BN64" i="4"/>
  <c r="AL65" i="4"/>
  <c r="CS64" i="4"/>
  <c r="AX64" i="4"/>
  <c r="BZ63" i="4"/>
  <c r="DE63" i="4"/>
  <c r="AG21" i="3"/>
  <c r="CP21" i="3" s="1"/>
  <c r="BK20" i="3"/>
  <c r="CE20" i="3"/>
  <c r="AN21" i="3"/>
  <c r="CW21" i="3" s="1"/>
  <c r="BY20" i="3"/>
  <c r="CA20" i="8"/>
  <c r="CB20" i="8"/>
  <c r="CG20" i="8"/>
  <c r="AU21" i="3"/>
  <c r="DD21" i="3" s="1"/>
  <c r="BY20" i="8"/>
  <c r="CE20" i="8"/>
  <c r="BT20" i="8"/>
  <c r="BA21" i="8"/>
  <c r="DJ21" i="8" s="1"/>
  <c r="AV21" i="8"/>
  <c r="DE21" i="8" s="1"/>
  <c r="AT21" i="8"/>
  <c r="DC21" i="8" s="1"/>
  <c r="AS21" i="8"/>
  <c r="DB21" i="8" s="1"/>
  <c r="AR21" i="8"/>
  <c r="DA21" i="8" s="1"/>
  <c r="BV20" i="8"/>
  <c r="AO21" i="8"/>
  <c r="CX21" i="8" s="1"/>
  <c r="BC21" i="8"/>
  <c r="DL21" i="8" s="1"/>
  <c r="AK21" i="8"/>
  <c r="CT21" i="8" s="1"/>
  <c r="AG21" i="8"/>
  <c r="CP21" i="8" s="1"/>
  <c r="AY21" i="8"/>
  <c r="DH21" i="8" s="1"/>
  <c r="AU21" i="8"/>
  <c r="DD21" i="8" s="1"/>
  <c r="BJ20" i="8"/>
  <c r="DO20" i="8"/>
  <c r="CJ20" i="8"/>
  <c r="CD20" i="8"/>
  <c r="CI20" i="8"/>
  <c r="CF20" i="8"/>
  <c r="BW20" i="8"/>
  <c r="BZ20" i="8"/>
  <c r="BR20" i="8"/>
  <c r="CK19" i="8"/>
  <c r="CL19" i="8" s="1"/>
  <c r="AH21" i="3"/>
  <c r="CQ21" i="3" s="1"/>
  <c r="BE21" i="8"/>
  <c r="DN21" i="8" s="1"/>
  <c r="AQ21" i="8"/>
  <c r="CZ21" i="8" s="1"/>
  <c r="BS20" i="8"/>
  <c r="BF21" i="8"/>
  <c r="AF21" i="8"/>
  <c r="CO21" i="8" s="1"/>
  <c r="AE21" i="8"/>
  <c r="CN21" i="8" s="1"/>
  <c r="AH21" i="8"/>
  <c r="CQ21" i="8" s="1"/>
  <c r="AD21" i="8"/>
  <c r="CM21" i="8" s="1"/>
  <c r="BG20" i="8"/>
  <c r="AM21" i="8"/>
  <c r="CV21" i="8" s="1"/>
  <c r="BH20" i="8"/>
  <c r="BI20" i="8"/>
  <c r="CI20" i="5"/>
  <c r="BO20" i="8"/>
  <c r="AT21" i="3"/>
  <c r="DC21" i="3" s="1"/>
  <c r="BX20" i="8"/>
  <c r="BX20" i="3"/>
  <c r="CG20" i="4"/>
  <c r="BM20" i="8"/>
  <c r="AJ21" i="8"/>
  <c r="CS21" i="8" s="1"/>
  <c r="AI21" i="8"/>
  <c r="CR21" i="8" s="1"/>
  <c r="AX21" i="8"/>
  <c r="DG21" i="8" s="1"/>
  <c r="AW21" i="8"/>
  <c r="DF21" i="8" s="1"/>
  <c r="BL20" i="8"/>
  <c r="BP20" i="8"/>
  <c r="DP19" i="8"/>
  <c r="DQ19" i="8" s="1"/>
  <c r="CC20" i="8"/>
  <c r="BK20" i="8"/>
  <c r="BU20" i="8"/>
  <c r="CH20" i="8"/>
  <c r="AL21" i="8"/>
  <c r="CU21" i="8" s="1"/>
  <c r="AZ21" i="8"/>
  <c r="DI21" i="8" s="1"/>
  <c r="BN20" i="8"/>
  <c r="AP21" i="8"/>
  <c r="CY21" i="8" s="1"/>
  <c r="BB21" i="8"/>
  <c r="DK21" i="8" s="1"/>
  <c r="BD21" i="8"/>
  <c r="DM21" i="8" s="1"/>
  <c r="AN21" i="8"/>
  <c r="CW21" i="8" s="1"/>
  <c r="BQ20" i="8"/>
  <c r="CK19" i="6"/>
  <c r="CL19" i="6" s="1"/>
  <c r="BF21" i="6"/>
  <c r="CJ21" i="6" s="1"/>
  <c r="DL20" i="6"/>
  <c r="BI21" i="6"/>
  <c r="CB20" i="6"/>
  <c r="AV21" i="6"/>
  <c r="DE21" i="6" s="1"/>
  <c r="AT21" i="6"/>
  <c r="DC21" i="6" s="1"/>
  <c r="AR21" i="6"/>
  <c r="DA21" i="6" s="1"/>
  <c r="BA21" i="6"/>
  <c r="DJ21" i="6" s="1"/>
  <c r="AS21" i="6"/>
  <c r="DB21" i="6" s="1"/>
  <c r="BV20" i="6"/>
  <c r="AP22" i="6"/>
  <c r="CY22" i="6" s="1"/>
  <c r="AN22" i="6"/>
  <c r="CW22" i="6" s="1"/>
  <c r="BQ21" i="6"/>
  <c r="BW20" i="6"/>
  <c r="BG20" i="6"/>
  <c r="BO20" i="3"/>
  <c r="BZ20" i="6"/>
  <c r="CA20" i="6"/>
  <c r="BX20" i="6"/>
  <c r="CH20" i="6"/>
  <c r="AM22" i="6"/>
  <c r="CV22" i="6" s="1"/>
  <c r="AF22" i="6"/>
  <c r="CO22" i="6" s="1"/>
  <c r="AH22" i="6"/>
  <c r="CQ22" i="6" s="1"/>
  <c r="AE22" i="6"/>
  <c r="CN22" i="6" s="1"/>
  <c r="AD22" i="6"/>
  <c r="CM22" i="6" s="1"/>
  <c r="BH21" i="6"/>
  <c r="BY21" i="6"/>
  <c r="CE20" i="6"/>
  <c r="AO22" i="6"/>
  <c r="CX22" i="6" s="1"/>
  <c r="AG22" i="6"/>
  <c r="CP22" i="6" s="1"/>
  <c r="AK22" i="6"/>
  <c r="CT22" i="6" s="1"/>
  <c r="BJ21" i="6"/>
  <c r="CK19" i="4"/>
  <c r="CL19" i="4" s="1"/>
  <c r="AY21" i="6"/>
  <c r="DH21" i="6" s="1"/>
  <c r="AJ22" i="6"/>
  <c r="CS22" i="6" s="1"/>
  <c r="AI22" i="6"/>
  <c r="CR22" i="6" s="1"/>
  <c r="BL21" i="6"/>
  <c r="BC21" i="6"/>
  <c r="DL21" i="6" s="1"/>
  <c r="BY20" i="6"/>
  <c r="BO21" i="6"/>
  <c r="CG20" i="6"/>
  <c r="CF20" i="3"/>
  <c r="BC21" i="5"/>
  <c r="DL21" i="5" s="1"/>
  <c r="BT21" i="6"/>
  <c r="BP21" i="6"/>
  <c r="BM21" i="6"/>
  <c r="AQ22" i="6"/>
  <c r="CZ22" i="6" s="1"/>
  <c r="BS21" i="6"/>
  <c r="AL22" i="6"/>
  <c r="CU22" i="6" s="1"/>
  <c r="BN21" i="6"/>
  <c r="BK21" i="6"/>
  <c r="DO20" i="6"/>
  <c r="CJ20" i="6"/>
  <c r="BB21" i="6"/>
  <c r="BU21" i="6"/>
  <c r="AW21" i="6"/>
  <c r="DF21" i="6" s="1"/>
  <c r="BR21" i="6"/>
  <c r="BE21" i="6"/>
  <c r="BQ20" i="3"/>
  <c r="AX21" i="6"/>
  <c r="DG21" i="6" s="1"/>
  <c r="AZ21" i="6"/>
  <c r="DI21" i="6" s="1"/>
  <c r="BD21" i="6"/>
  <c r="DM21" i="6" s="1"/>
  <c r="BB21" i="5"/>
  <c r="DK21" i="5" s="1"/>
  <c r="AZ21" i="5"/>
  <c r="DI21" i="5" s="1"/>
  <c r="DO20" i="5"/>
  <c r="BF21" i="5"/>
  <c r="DO21" i="5" s="1"/>
  <c r="BD21" i="5"/>
  <c r="DM21" i="5" s="1"/>
  <c r="CK19" i="5"/>
  <c r="CL19" i="5" s="1"/>
  <c r="CD21" i="5"/>
  <c r="CH21" i="5"/>
  <c r="BI21" i="5"/>
  <c r="CH20" i="4"/>
  <c r="CF20" i="5"/>
  <c r="BP21" i="5"/>
  <c r="BC21" i="4"/>
  <c r="DL21" i="4" s="1"/>
  <c r="AR21" i="5"/>
  <c r="DA21" i="5" s="1"/>
  <c r="DP20" i="5"/>
  <c r="DQ20" i="5" s="1"/>
  <c r="AV21" i="5"/>
  <c r="DE21" i="5" s="1"/>
  <c r="BA21" i="5"/>
  <c r="DJ21" i="5" s="1"/>
  <c r="AT21" i="5"/>
  <c r="DC21" i="5" s="1"/>
  <c r="AS21" i="5"/>
  <c r="DB21" i="5" s="1"/>
  <c r="BV20" i="5"/>
  <c r="AY21" i="4"/>
  <c r="DH21" i="4" s="1"/>
  <c r="AZ21" i="4"/>
  <c r="DI21" i="4" s="1"/>
  <c r="BW20" i="5"/>
  <c r="CB20" i="5"/>
  <c r="BT21" i="5"/>
  <c r="AM22" i="5"/>
  <c r="CV22" i="5" s="1"/>
  <c r="AE22" i="5"/>
  <c r="CN22" i="5" s="1"/>
  <c r="AH22" i="5"/>
  <c r="CQ22" i="5" s="1"/>
  <c r="AF22" i="5"/>
  <c r="CO22" i="5" s="1"/>
  <c r="AD22" i="5"/>
  <c r="CM22" i="5" s="1"/>
  <c r="BH21" i="5"/>
  <c r="CG21" i="5"/>
  <c r="AM21" i="3"/>
  <c r="CV21" i="3" s="1"/>
  <c r="CE20" i="5"/>
  <c r="CC20" i="5"/>
  <c r="CJ20" i="4"/>
  <c r="BX20" i="5"/>
  <c r="CA20" i="5"/>
  <c r="AJ22" i="5"/>
  <c r="CS22" i="5" s="1"/>
  <c r="AI22" i="5"/>
  <c r="CR22" i="5" s="1"/>
  <c r="BL21" i="5"/>
  <c r="BK21" i="5"/>
  <c r="BO21" i="5"/>
  <c r="BZ20" i="5"/>
  <c r="CH20" i="5"/>
  <c r="BR20" i="3"/>
  <c r="AI21" i="3"/>
  <c r="CR21" i="3" s="1"/>
  <c r="BG20" i="4"/>
  <c r="BU21" i="5"/>
  <c r="AX21" i="5"/>
  <c r="DG21" i="5" s="1"/>
  <c r="AU21" i="5"/>
  <c r="DD21" i="5" s="1"/>
  <c r="AP22" i="5"/>
  <c r="CY22" i="5" s="1"/>
  <c r="AN22" i="5"/>
  <c r="CW22" i="5" s="1"/>
  <c r="BQ21" i="5"/>
  <c r="CG20" i="5"/>
  <c r="BE21" i="4"/>
  <c r="DN21" i="4" s="1"/>
  <c r="CD20" i="4"/>
  <c r="BM20" i="3"/>
  <c r="CI20" i="4"/>
  <c r="CK20" i="4" s="1"/>
  <c r="CL20" i="4" s="1"/>
  <c r="BL20" i="3"/>
  <c r="BE21" i="5"/>
  <c r="DN21" i="5" s="1"/>
  <c r="AO22" i="5"/>
  <c r="CX22" i="5" s="1"/>
  <c r="AK22" i="5"/>
  <c r="CT22" i="5" s="1"/>
  <c r="AG22" i="5"/>
  <c r="CP22" i="5" s="1"/>
  <c r="BJ21" i="5"/>
  <c r="AX21" i="4"/>
  <c r="DG21" i="4" s="1"/>
  <c r="BM21" i="5"/>
  <c r="BR21" i="5"/>
  <c r="AY21" i="5"/>
  <c r="DH21" i="5" s="1"/>
  <c r="BG20" i="5"/>
  <c r="BY20" i="5"/>
  <c r="AQ22" i="5"/>
  <c r="CZ22" i="5" s="1"/>
  <c r="BS21" i="5"/>
  <c r="CD20" i="5"/>
  <c r="BA21" i="3"/>
  <c r="DJ21" i="3" s="1"/>
  <c r="AW21" i="5"/>
  <c r="DF21" i="5" s="1"/>
  <c r="BD21" i="4"/>
  <c r="DM21" i="4" s="1"/>
  <c r="BF21" i="4"/>
  <c r="DO21" i="4" s="1"/>
  <c r="AL22" i="5"/>
  <c r="CU22" i="5" s="1"/>
  <c r="BN21" i="5"/>
  <c r="CB20" i="3"/>
  <c r="AV21" i="3"/>
  <c r="DE21" i="3" s="1"/>
  <c r="CA20" i="3"/>
  <c r="BB21" i="3"/>
  <c r="DK21" i="3" s="1"/>
  <c r="CI20" i="3"/>
  <c r="DN20" i="3"/>
  <c r="CH20" i="3"/>
  <c r="DM20" i="3"/>
  <c r="BU20" i="3"/>
  <c r="CG20" i="3"/>
  <c r="DL20" i="3"/>
  <c r="AW21" i="3"/>
  <c r="DF21" i="3" s="1"/>
  <c r="AJ21" i="3"/>
  <c r="CS21" i="3" s="1"/>
  <c r="AQ21" i="3"/>
  <c r="CZ21" i="3" s="1"/>
  <c r="CY20" i="3"/>
  <c r="BZ20" i="3"/>
  <c r="DP20" i="4"/>
  <c r="DQ20" i="4" s="1"/>
  <c r="AQ22" i="4"/>
  <c r="CZ22" i="4" s="1"/>
  <c r="BS21" i="4"/>
  <c r="BT20" i="3"/>
  <c r="AJ22" i="4"/>
  <c r="CS22" i="4" s="1"/>
  <c r="AI22" i="4"/>
  <c r="CR22" i="4" s="1"/>
  <c r="AW22" i="4"/>
  <c r="DF22" i="4" s="1"/>
  <c r="BL21" i="4"/>
  <c r="AP22" i="4"/>
  <c r="CY22" i="4" s="1"/>
  <c r="BB22" i="4"/>
  <c r="DK22" i="4" s="1"/>
  <c r="AN22" i="4"/>
  <c r="CW22" i="4" s="1"/>
  <c r="BQ21" i="4"/>
  <c r="BT21" i="4"/>
  <c r="BO21" i="4"/>
  <c r="CC20" i="3"/>
  <c r="CE21" i="4"/>
  <c r="AV22" i="4"/>
  <c r="DE22" i="4" s="1"/>
  <c r="BA22" i="4"/>
  <c r="DJ22" i="4" s="1"/>
  <c r="AT22" i="4"/>
  <c r="DC22" i="4" s="1"/>
  <c r="AS22" i="4"/>
  <c r="DB22" i="4" s="1"/>
  <c r="AR22" i="4"/>
  <c r="DA22" i="4" s="1"/>
  <c r="BV21" i="4"/>
  <c r="AG22" i="4"/>
  <c r="CP22" i="4" s="1"/>
  <c r="AU22" i="4"/>
  <c r="DD22" i="4" s="1"/>
  <c r="AK22" i="4"/>
  <c r="CT22" i="4" s="1"/>
  <c r="AO22" i="4"/>
  <c r="CX22" i="4" s="1"/>
  <c r="BJ21" i="4"/>
  <c r="BK21" i="4"/>
  <c r="BW21" i="4"/>
  <c r="AH22" i="4"/>
  <c r="CQ22" i="4" s="1"/>
  <c r="AF22" i="4"/>
  <c r="CO22" i="4" s="1"/>
  <c r="AE22" i="4"/>
  <c r="CN22" i="4" s="1"/>
  <c r="AD22" i="4"/>
  <c r="CM22" i="4" s="1"/>
  <c r="AM22" i="4"/>
  <c r="CV22" i="4" s="1"/>
  <c r="BH21" i="4"/>
  <c r="BY21" i="4"/>
  <c r="AP21" i="3"/>
  <c r="BT21" i="3" s="1"/>
  <c r="BX21" i="4"/>
  <c r="AL22" i="4"/>
  <c r="CU22" i="4" s="1"/>
  <c r="BN21" i="4"/>
  <c r="CC21" i="4"/>
  <c r="BZ21" i="4"/>
  <c r="BU21" i="4"/>
  <c r="BR21" i="4"/>
  <c r="BM21" i="4"/>
  <c r="BP21" i="4"/>
  <c r="BI21" i="4"/>
  <c r="CF21" i="4"/>
  <c r="AF20" i="2"/>
  <c r="BJ20" i="2" s="1"/>
  <c r="CA21" i="4"/>
  <c r="BS20" i="3"/>
  <c r="AL21" i="3"/>
  <c r="CU21" i="3" s="1"/>
  <c r="AK21" i="3"/>
  <c r="CT21" i="3" s="1"/>
  <c r="AO21" i="3"/>
  <c r="CX21" i="3" s="1"/>
  <c r="BN20" i="3"/>
  <c r="BP20" i="3"/>
  <c r="AU20" i="2"/>
  <c r="DD20" i="2" s="1"/>
  <c r="AZ21" i="3"/>
  <c r="DI21" i="3" s="1"/>
  <c r="AX21" i="3"/>
  <c r="DG21" i="3" s="1"/>
  <c r="BC21" i="3"/>
  <c r="DL21" i="3" s="1"/>
  <c r="CD20" i="3"/>
  <c r="AY21" i="3"/>
  <c r="DH21" i="3" s="1"/>
  <c r="BG20" i="3"/>
  <c r="BF21" i="3"/>
  <c r="CK19" i="3"/>
  <c r="CL19" i="3" s="1"/>
  <c r="BE21" i="3"/>
  <c r="DN21" i="3" s="1"/>
  <c r="DP19" i="3"/>
  <c r="DQ19" i="3" s="1"/>
  <c r="BD21" i="3"/>
  <c r="DM21" i="3" s="1"/>
  <c r="CJ20" i="3"/>
  <c r="DB20" i="2"/>
  <c r="BW20" i="2"/>
  <c r="DD19" i="2"/>
  <c r="BY19" i="2"/>
  <c r="AG20" i="2"/>
  <c r="CO19" i="2"/>
  <c r="BI21" i="3"/>
  <c r="BJ21" i="3"/>
  <c r="AR22" i="3"/>
  <c r="DA22" i="3" s="1"/>
  <c r="AS22" i="3"/>
  <c r="DB22" i="3" s="1"/>
  <c r="BV21" i="3"/>
  <c r="AE22" i="3"/>
  <c r="CN22" i="3" s="1"/>
  <c r="AD22" i="3"/>
  <c r="CM22" i="3" s="1"/>
  <c r="BH21" i="3"/>
  <c r="CN20" i="2"/>
  <c r="BI20" i="2"/>
  <c r="BW21" i="3"/>
  <c r="CP19" i="2"/>
  <c r="BK19" i="2"/>
  <c r="BR21" i="3"/>
  <c r="AT20" i="2"/>
  <c r="DA20" i="2"/>
  <c r="AR21" i="2"/>
  <c r="BV21" i="2" s="1"/>
  <c r="AS21" i="2"/>
  <c r="CM20" i="2"/>
  <c r="AE21" i="2"/>
  <c r="AD21" i="2"/>
  <c r="BH21" i="2" s="1"/>
  <c r="BE20" i="2"/>
  <c r="CI20" i="2" s="1"/>
  <c r="AI20" i="2"/>
  <c r="BM20" i="2" s="1"/>
  <c r="AW20" i="2"/>
  <c r="CA20" i="2" s="1"/>
  <c r="AX20" i="2"/>
  <c r="CB20" i="2" s="1"/>
  <c r="AH20" i="2"/>
  <c r="BL20" i="2" s="1"/>
  <c r="AM20" i="2"/>
  <c r="BQ20" i="2" s="1"/>
  <c r="BA20" i="2"/>
  <c r="CE20" i="2" s="1"/>
  <c r="AV20" i="2"/>
  <c r="BZ20" i="2" s="1"/>
  <c r="BF20" i="2"/>
  <c r="AJ20" i="2"/>
  <c r="BN20" i="2" s="1"/>
  <c r="AQ20" i="2"/>
  <c r="BU20" i="2" s="1"/>
  <c r="AY20" i="2"/>
  <c r="CC20" i="2" s="1"/>
  <c r="AO20" i="2"/>
  <c r="BS20" i="2" s="1"/>
  <c r="AZ20" i="2"/>
  <c r="CD20" i="2" s="1"/>
  <c r="BC20" i="2"/>
  <c r="CG20" i="2" s="1"/>
  <c r="AL20" i="2"/>
  <c r="BP20" i="2" s="1"/>
  <c r="AK20" i="2"/>
  <c r="BO20" i="2" s="1"/>
  <c r="BD20" i="2"/>
  <c r="CH20" i="2" s="1"/>
  <c r="AP20" i="2"/>
  <c r="BT20" i="2" s="1"/>
  <c r="BB20" i="2"/>
  <c r="CF20" i="2" s="1"/>
  <c r="AN20" i="2"/>
  <c r="BR20" i="2" s="1"/>
  <c r="CU19" i="2"/>
  <c r="CT19" i="2"/>
  <c r="CZ19" i="2"/>
  <c r="DM19" i="2"/>
  <c r="DL19" i="2"/>
  <c r="DH19" i="2"/>
  <c r="CS19" i="2"/>
  <c r="CR19" i="2"/>
  <c r="CY19" i="2"/>
  <c r="DK19" i="2"/>
  <c r="CW19" i="2"/>
  <c r="DF19" i="2"/>
  <c r="DP18" i="2"/>
  <c r="DQ18" i="2" s="1"/>
  <c r="CX19" i="2"/>
  <c r="DG19" i="2"/>
  <c r="CQ19" i="2"/>
  <c r="CV19" i="2"/>
  <c r="DN19" i="2"/>
  <c r="DJ19" i="2"/>
  <c r="DE19" i="2"/>
  <c r="DI19" i="2"/>
  <c r="CJ19" i="2"/>
  <c r="DO19" i="2"/>
  <c r="CK18" i="2"/>
  <c r="CL18" i="2" s="1"/>
  <c r="BG19" i="2"/>
  <c r="CF65" i="8" l="1"/>
  <c r="DK65" i="8"/>
  <c r="DO65" i="8"/>
  <c r="CJ65" i="8"/>
  <c r="CJ64" i="8"/>
  <c r="DO64" i="8"/>
  <c r="AX65" i="8"/>
  <c r="AZ66" i="8" s="1"/>
  <c r="CC65" i="8"/>
  <c r="DH65" i="8"/>
  <c r="AW65" i="8"/>
  <c r="BM65" i="8"/>
  <c r="CR65" i="8"/>
  <c r="CT65" i="8"/>
  <c r="BO65" i="8"/>
  <c r="DI65" i="8"/>
  <c r="CD65" i="8"/>
  <c r="CG65" i="8"/>
  <c r="DL65" i="8"/>
  <c r="CV65" i="8"/>
  <c r="BQ65" i="8"/>
  <c r="AN66" i="8"/>
  <c r="AP66" i="8"/>
  <c r="CS65" i="8"/>
  <c r="BN65" i="8"/>
  <c r="AL66" i="8"/>
  <c r="CQ65" i="8"/>
  <c r="BL65" i="8"/>
  <c r="AJ66" i="8"/>
  <c r="AI66" i="8"/>
  <c r="CX65" i="8"/>
  <c r="BS65" i="8"/>
  <c r="AQ66" i="8"/>
  <c r="BJ65" i="8"/>
  <c r="AU66" i="8"/>
  <c r="AK66" i="8"/>
  <c r="AG66" i="8"/>
  <c r="BC66" i="8"/>
  <c r="CO65" i="8"/>
  <c r="AO66" i="8"/>
  <c r="DH64" i="8"/>
  <c r="CC64" i="8"/>
  <c r="DJ64" i="8"/>
  <c r="CE64" i="8"/>
  <c r="CN65" i="8"/>
  <c r="BI65" i="8"/>
  <c r="CP65" i="8"/>
  <c r="BK65" i="8"/>
  <c r="DE64" i="8"/>
  <c r="BZ64" i="8"/>
  <c r="DG64" i="8"/>
  <c r="CB64" i="8"/>
  <c r="BX64" i="8"/>
  <c r="CK64" i="8" s="1"/>
  <c r="CL64" i="8" s="1"/>
  <c r="DC64" i="8"/>
  <c r="BY65" i="8"/>
  <c r="DD65" i="8"/>
  <c r="BU65" i="8"/>
  <c r="CZ65" i="8"/>
  <c r="CY65" i="8"/>
  <c r="BT65" i="8"/>
  <c r="CU65" i="8"/>
  <c r="BP65" i="8"/>
  <c r="AE66" i="8"/>
  <c r="AD66" i="8"/>
  <c r="AH66" i="8"/>
  <c r="AF66" i="8"/>
  <c r="BH65" i="8"/>
  <c r="CM65" i="8"/>
  <c r="AM66" i="8"/>
  <c r="DN65" i="8"/>
  <c r="CI65" i="8"/>
  <c r="AT65" i="8"/>
  <c r="BV64" i="8"/>
  <c r="AV65" i="8"/>
  <c r="AR65" i="8"/>
  <c r="BA65" i="8"/>
  <c r="AS65" i="8"/>
  <c r="BF66" i="8" s="1"/>
  <c r="DA64" i="8"/>
  <c r="DP64" i="8" s="1"/>
  <c r="DQ64" i="8" s="1"/>
  <c r="BR65" i="8"/>
  <c r="CW65" i="8"/>
  <c r="BW64" i="8"/>
  <c r="DB64" i="8"/>
  <c r="CA64" i="8"/>
  <c r="DF64" i="8"/>
  <c r="BD65" i="8"/>
  <c r="DM65" i="6"/>
  <c r="CH65" i="6"/>
  <c r="CD65" i="6"/>
  <c r="DI65" i="6"/>
  <c r="BY65" i="6"/>
  <c r="DD65" i="6"/>
  <c r="CP65" i="6"/>
  <c r="BK65" i="6"/>
  <c r="BF65" i="6"/>
  <c r="AX65" i="6"/>
  <c r="CB64" i="6"/>
  <c r="DG64" i="6"/>
  <c r="BM65" i="6"/>
  <c r="CR65" i="6"/>
  <c r="CJ64" i="6"/>
  <c r="DO64" i="6"/>
  <c r="AS65" i="6"/>
  <c r="AT65" i="6"/>
  <c r="BV64" i="6"/>
  <c r="CK64" i="6" s="1"/>
  <c r="CL64" i="6" s="1"/>
  <c r="AR65" i="6"/>
  <c r="AV65" i="6"/>
  <c r="BF66" i="6" s="1"/>
  <c r="BA65" i="6"/>
  <c r="DA64" i="6"/>
  <c r="CU65" i="6"/>
  <c r="BP65" i="6"/>
  <c r="CN65" i="6"/>
  <c r="BI65" i="6"/>
  <c r="CI65" i="6"/>
  <c r="DN65" i="6"/>
  <c r="DF65" i="6"/>
  <c r="CA65" i="6"/>
  <c r="CE64" i="6"/>
  <c r="DJ64" i="6"/>
  <c r="CT65" i="6"/>
  <c r="BO65" i="6"/>
  <c r="BR65" i="6"/>
  <c r="CW65" i="6"/>
  <c r="AQ66" i="6"/>
  <c r="CX65" i="6"/>
  <c r="BS65" i="6"/>
  <c r="BB65" i="6"/>
  <c r="DE64" i="6"/>
  <c r="BZ64" i="6"/>
  <c r="CD64" i="6"/>
  <c r="DI64" i="6"/>
  <c r="AM66" i="6"/>
  <c r="AD66" i="6"/>
  <c r="BH65" i="6"/>
  <c r="AE66" i="6"/>
  <c r="AH66" i="6"/>
  <c r="AF66" i="6"/>
  <c r="CM65" i="6"/>
  <c r="BN65" i="6"/>
  <c r="AL66" i="6"/>
  <c r="CS65" i="6"/>
  <c r="DC64" i="6"/>
  <c r="DP64" i="6" s="1"/>
  <c r="DQ64" i="6" s="1"/>
  <c r="BX64" i="6"/>
  <c r="BW64" i="6"/>
  <c r="DB64" i="6"/>
  <c r="AY65" i="6"/>
  <c r="AU66" i="6"/>
  <c r="AO66" i="6"/>
  <c r="BJ65" i="6"/>
  <c r="CO65" i="6"/>
  <c r="AG66" i="6"/>
  <c r="AK66" i="6"/>
  <c r="BU65" i="6"/>
  <c r="CZ65" i="6"/>
  <c r="CQ65" i="6"/>
  <c r="BL65" i="6"/>
  <c r="AI66" i="6"/>
  <c r="AJ66" i="6"/>
  <c r="DK64" i="6"/>
  <c r="CF64" i="6"/>
  <c r="BC65" i="6"/>
  <c r="BE66" i="6" s="1"/>
  <c r="CY65" i="6"/>
  <c r="BT65" i="6"/>
  <c r="BQ65" i="6"/>
  <c r="AN66" i="6"/>
  <c r="AP66" i="6"/>
  <c r="CV65" i="6"/>
  <c r="BD66" i="6"/>
  <c r="DP20" i="6"/>
  <c r="DQ20" i="6" s="1"/>
  <c r="DN65" i="5"/>
  <c r="CI65" i="5"/>
  <c r="CS65" i="5"/>
  <c r="BN65" i="5"/>
  <c r="AL66" i="5"/>
  <c r="CY65" i="5"/>
  <c r="BT65" i="5"/>
  <c r="DE64" i="5"/>
  <c r="BZ64" i="5"/>
  <c r="DD64" i="5"/>
  <c r="BY64" i="5"/>
  <c r="BX64" i="5"/>
  <c r="DC64" i="5"/>
  <c r="DP64" i="5" s="1"/>
  <c r="DQ64" i="5" s="1"/>
  <c r="AX65" i="5"/>
  <c r="BG65" i="5" s="1"/>
  <c r="DB64" i="5"/>
  <c r="BW64" i="5"/>
  <c r="BG64" i="5"/>
  <c r="AW65" i="5"/>
  <c r="AR65" i="5"/>
  <c r="AS65" i="5"/>
  <c r="AT65" i="5"/>
  <c r="AV65" i="5"/>
  <c r="BA65" i="5"/>
  <c r="DA64" i="5"/>
  <c r="BV64" i="5"/>
  <c r="CK64" i="5" s="1"/>
  <c r="CL64" i="5" s="1"/>
  <c r="AN66" i="5"/>
  <c r="AP66" i="5"/>
  <c r="CV65" i="5"/>
  <c r="BQ65" i="5"/>
  <c r="CR65" i="5"/>
  <c r="BM65" i="5"/>
  <c r="CQ65" i="5"/>
  <c r="BL65" i="5"/>
  <c r="AW66" i="5"/>
  <c r="AI66" i="5"/>
  <c r="AJ66" i="5"/>
  <c r="DH64" i="5"/>
  <c r="CC64" i="5"/>
  <c r="DJ64" i="5"/>
  <c r="CE64" i="5"/>
  <c r="AO66" i="5"/>
  <c r="CO65" i="5"/>
  <c r="BJ65" i="5"/>
  <c r="AG66" i="5"/>
  <c r="AK66" i="5"/>
  <c r="AQ66" i="5"/>
  <c r="CX65" i="5"/>
  <c r="BS65" i="5"/>
  <c r="CN65" i="5"/>
  <c r="BI65" i="5"/>
  <c r="BC65" i="5"/>
  <c r="CU65" i="5"/>
  <c r="BP65" i="5"/>
  <c r="CM65" i="5"/>
  <c r="BH65" i="5"/>
  <c r="AD66" i="5"/>
  <c r="AE66" i="5"/>
  <c r="AF66" i="5"/>
  <c r="AH66" i="5"/>
  <c r="AM66" i="5"/>
  <c r="CT65" i="5"/>
  <c r="BO65" i="5"/>
  <c r="DN64" i="5"/>
  <c r="CI64" i="5"/>
  <c r="CZ65" i="5"/>
  <c r="BU65" i="5"/>
  <c r="AZ65" i="5"/>
  <c r="BF65" i="5"/>
  <c r="AY65" i="5"/>
  <c r="DO64" i="5"/>
  <c r="CJ64" i="5"/>
  <c r="AU65" i="5"/>
  <c r="BD65" i="5"/>
  <c r="CW65" i="5"/>
  <c r="BR65" i="5"/>
  <c r="DG64" i="5"/>
  <c r="CB64" i="5"/>
  <c r="DM64" i="5"/>
  <c r="CH64" i="5"/>
  <c r="CP65" i="5"/>
  <c r="BK65" i="5"/>
  <c r="BB65" i="5"/>
  <c r="DF64" i="5"/>
  <c r="CA64" i="5"/>
  <c r="DM65" i="2"/>
  <c r="CH65" i="2"/>
  <c r="BV64" i="2"/>
  <c r="AV65" i="2"/>
  <c r="BA65" i="2"/>
  <c r="DA64" i="2"/>
  <c r="AT65" i="2"/>
  <c r="BC66" i="2" s="1"/>
  <c r="AR65" i="2"/>
  <c r="AS65" i="2"/>
  <c r="BF65" i="2"/>
  <c r="CV65" i="2"/>
  <c r="BQ65" i="2"/>
  <c r="BB66" i="2"/>
  <c r="AP66" i="2"/>
  <c r="BD66" i="2"/>
  <c r="AN66" i="2"/>
  <c r="AG66" i="2"/>
  <c r="AK66" i="2"/>
  <c r="CO65" i="2"/>
  <c r="AO66" i="2"/>
  <c r="BJ65" i="2"/>
  <c r="DI65" i="2"/>
  <c r="CD65" i="2"/>
  <c r="DF65" i="2"/>
  <c r="CA65" i="2"/>
  <c r="CU65" i="2"/>
  <c r="BP65" i="2"/>
  <c r="CH64" i="2"/>
  <c r="DM64" i="2"/>
  <c r="CN65" i="2"/>
  <c r="BI65" i="2"/>
  <c r="DN65" i="2"/>
  <c r="CI65" i="2"/>
  <c r="DL65" i="2"/>
  <c r="CG65" i="2"/>
  <c r="CC65" i="2"/>
  <c r="DH65" i="2"/>
  <c r="BT65" i="2"/>
  <c r="CY65" i="2"/>
  <c r="CB65" i="2"/>
  <c r="DG65" i="2"/>
  <c r="BO65" i="2"/>
  <c r="CT65" i="2"/>
  <c r="CK64" i="2"/>
  <c r="CL64" i="2" s="1"/>
  <c r="BG64" i="2"/>
  <c r="DJ64" i="2"/>
  <c r="CE64" i="2"/>
  <c r="AW66" i="2"/>
  <c r="AX66" i="2"/>
  <c r="AI66" i="2"/>
  <c r="AJ66" i="2"/>
  <c r="BL65" i="2"/>
  <c r="CQ65" i="2"/>
  <c r="DB64" i="2"/>
  <c r="BW64" i="2"/>
  <c r="BY65" i="2"/>
  <c r="DD65" i="2"/>
  <c r="CW65" i="2"/>
  <c r="BR65" i="2"/>
  <c r="BN65" i="2"/>
  <c r="AZ66" i="2"/>
  <c r="AL66" i="2"/>
  <c r="CS65" i="2"/>
  <c r="BZ64" i="2"/>
  <c r="DE64" i="2"/>
  <c r="DG64" i="2"/>
  <c r="DP64" i="2" s="1"/>
  <c r="DQ64" i="2" s="1"/>
  <c r="CB64" i="2"/>
  <c r="CI64" i="2"/>
  <c r="DN64" i="2"/>
  <c r="DK65" i="2"/>
  <c r="CF65" i="2"/>
  <c r="BU65" i="2"/>
  <c r="CZ65" i="2"/>
  <c r="BM65" i="2"/>
  <c r="CR65" i="2"/>
  <c r="DL64" i="2"/>
  <c r="CG64" i="2"/>
  <c r="AH66" i="2"/>
  <c r="AM66" i="2"/>
  <c r="BH65" i="2"/>
  <c r="CM65" i="2"/>
  <c r="AD66" i="2"/>
  <c r="AE66" i="2"/>
  <c r="AF66" i="2"/>
  <c r="CP65" i="2"/>
  <c r="BK65" i="2"/>
  <c r="BS65" i="2"/>
  <c r="CX65" i="2"/>
  <c r="AQ66" i="2"/>
  <c r="BE66" i="2"/>
  <c r="DC64" i="2"/>
  <c r="BX64" i="2"/>
  <c r="DH65" i="4"/>
  <c r="CC65" i="4"/>
  <c r="CA65" i="4"/>
  <c r="DF65" i="4"/>
  <c r="CP65" i="4"/>
  <c r="BK65" i="4"/>
  <c r="CB64" i="4"/>
  <c r="DG64" i="4"/>
  <c r="DH64" i="4"/>
  <c r="CC64" i="4"/>
  <c r="AZ65" i="4"/>
  <c r="BC65" i="4"/>
  <c r="CI64" i="4"/>
  <c r="DN64" i="4"/>
  <c r="CD64" i="4"/>
  <c r="DI64" i="4"/>
  <c r="BE65" i="4"/>
  <c r="DO64" i="4"/>
  <c r="CJ64" i="4"/>
  <c r="AK66" i="4"/>
  <c r="AG66" i="4"/>
  <c r="BJ65" i="4"/>
  <c r="CO65" i="4"/>
  <c r="AO66" i="4"/>
  <c r="BI65" i="4"/>
  <c r="CN65" i="4"/>
  <c r="AL66" i="4"/>
  <c r="AZ66" i="4"/>
  <c r="CS65" i="4"/>
  <c r="BN65" i="4"/>
  <c r="BH65" i="4"/>
  <c r="AH66" i="4"/>
  <c r="CM65" i="4"/>
  <c r="AD66" i="4"/>
  <c r="AE66" i="4"/>
  <c r="AF66" i="4"/>
  <c r="AM66" i="4"/>
  <c r="CF64" i="4"/>
  <c r="DK64" i="4"/>
  <c r="CT65" i="4"/>
  <c r="BO65" i="4"/>
  <c r="BB66" i="4"/>
  <c r="CV65" i="4"/>
  <c r="AN66" i="4"/>
  <c r="BQ65" i="4"/>
  <c r="AP66" i="4"/>
  <c r="BR65" i="4"/>
  <c r="CW65" i="4"/>
  <c r="BS65" i="4"/>
  <c r="AQ66" i="4"/>
  <c r="CX65" i="4"/>
  <c r="CE64" i="4"/>
  <c r="DJ64" i="4"/>
  <c r="CU65" i="4"/>
  <c r="BP65" i="4"/>
  <c r="DB64" i="4"/>
  <c r="DP64" i="4" s="1"/>
  <c r="DQ64" i="4" s="1"/>
  <c r="BW64" i="4"/>
  <c r="DA64" i="4"/>
  <c r="BV64" i="4"/>
  <c r="AR65" i="4"/>
  <c r="BF66" i="4" s="1"/>
  <c r="AS65" i="4"/>
  <c r="AV65" i="4"/>
  <c r="AT65" i="4"/>
  <c r="AU66" i="4" s="1"/>
  <c r="BA65" i="4"/>
  <c r="DC64" i="4"/>
  <c r="BX64" i="4"/>
  <c r="CZ65" i="4"/>
  <c r="BU65" i="4"/>
  <c r="BZ64" i="4"/>
  <c r="DE64" i="4"/>
  <c r="CQ65" i="4"/>
  <c r="AI66" i="4"/>
  <c r="AJ66" i="4"/>
  <c r="BL65" i="4"/>
  <c r="AX65" i="4"/>
  <c r="BB65" i="4"/>
  <c r="BF65" i="4"/>
  <c r="CR65" i="4"/>
  <c r="BM65" i="4"/>
  <c r="CY65" i="4"/>
  <c r="BT65" i="4"/>
  <c r="AU65" i="4"/>
  <c r="BD65" i="4"/>
  <c r="CG64" i="4"/>
  <c r="CK64" i="4" s="1"/>
  <c r="CL64" i="4" s="1"/>
  <c r="DL64" i="4"/>
  <c r="AX22" i="4"/>
  <c r="DG22" i="4" s="1"/>
  <c r="CB21" i="4"/>
  <c r="BC22" i="4"/>
  <c r="DL22" i="4" s="1"/>
  <c r="AF22" i="3"/>
  <c r="CO22" i="3" s="1"/>
  <c r="AG22" i="3"/>
  <c r="CP22" i="3" s="1"/>
  <c r="BK21" i="3"/>
  <c r="BQ21" i="3"/>
  <c r="BY21" i="3"/>
  <c r="BM21" i="3"/>
  <c r="AM22" i="3"/>
  <c r="CV22" i="3" s="1"/>
  <c r="BL21" i="3"/>
  <c r="CF21" i="3"/>
  <c r="BU21" i="8"/>
  <c r="BT21" i="8"/>
  <c r="CA21" i="8"/>
  <c r="CK20" i="8"/>
  <c r="CL20" i="8" s="1"/>
  <c r="AT22" i="3"/>
  <c r="DC22" i="3" s="1"/>
  <c r="BM21" i="8"/>
  <c r="AW22" i="5"/>
  <c r="DF22" i="5" s="1"/>
  <c r="AZ22" i="8"/>
  <c r="DI22" i="8" s="1"/>
  <c r="AL22" i="8"/>
  <c r="CU22" i="8" s="1"/>
  <c r="BN21" i="8"/>
  <c r="BO21" i="8"/>
  <c r="CG21" i="8"/>
  <c r="BZ21" i="3"/>
  <c r="AU22" i="3"/>
  <c r="DD22" i="3" s="1"/>
  <c r="AD22" i="8"/>
  <c r="CM22" i="8" s="1"/>
  <c r="AM22" i="8"/>
  <c r="CV22" i="8" s="1"/>
  <c r="BF22" i="8"/>
  <c r="BG21" i="8"/>
  <c r="AH22" i="8"/>
  <c r="CQ22" i="8" s="1"/>
  <c r="AF22" i="8"/>
  <c r="CO22" i="8" s="1"/>
  <c r="AE22" i="8"/>
  <c r="CN22" i="8" s="1"/>
  <c r="BH21" i="8"/>
  <c r="AQ22" i="8"/>
  <c r="CZ22" i="8" s="1"/>
  <c r="BE22" i="8"/>
  <c r="DN22" i="8" s="1"/>
  <c r="BS21" i="8"/>
  <c r="BR21" i="8"/>
  <c r="AH22" i="3"/>
  <c r="CQ22" i="3" s="1"/>
  <c r="CF21" i="8"/>
  <c r="AI22" i="3"/>
  <c r="CR22" i="3" s="1"/>
  <c r="CD21" i="8"/>
  <c r="BK21" i="8"/>
  <c r="CH21" i="4"/>
  <c r="BB22" i="5"/>
  <c r="DK22" i="5" s="1"/>
  <c r="BI21" i="8"/>
  <c r="BA22" i="8"/>
  <c r="DJ22" i="8" s="1"/>
  <c r="AV22" i="8"/>
  <c r="DE22" i="8" s="1"/>
  <c r="AT22" i="8"/>
  <c r="DC22" i="8" s="1"/>
  <c r="AR22" i="8"/>
  <c r="DA22" i="8" s="1"/>
  <c r="AS22" i="8"/>
  <c r="DB22" i="8" s="1"/>
  <c r="BV21" i="8"/>
  <c r="BZ21" i="8"/>
  <c r="AN22" i="3"/>
  <c r="CW22" i="3" s="1"/>
  <c r="CE21" i="8"/>
  <c r="BY21" i="8"/>
  <c r="BX21" i="3"/>
  <c r="CC21" i="8"/>
  <c r="BP21" i="8"/>
  <c r="AJ22" i="8"/>
  <c r="CS22" i="8" s="1"/>
  <c r="AW22" i="8"/>
  <c r="DF22" i="8" s="1"/>
  <c r="AX22" i="8"/>
  <c r="DG22" i="8" s="1"/>
  <c r="AI22" i="8"/>
  <c r="CR22" i="8" s="1"/>
  <c r="BL21" i="8"/>
  <c r="AK22" i="8"/>
  <c r="CT22" i="8" s="1"/>
  <c r="AU22" i="8"/>
  <c r="DD22" i="8" s="1"/>
  <c r="AG22" i="8"/>
  <c r="CP22" i="8" s="1"/>
  <c r="AY22" i="8"/>
  <c r="DH22" i="8" s="1"/>
  <c r="AO22" i="8"/>
  <c r="CX22" i="8" s="1"/>
  <c r="BC22" i="8"/>
  <c r="DL22" i="8" s="1"/>
  <c r="BJ21" i="8"/>
  <c r="BW21" i="8"/>
  <c r="CH21" i="8"/>
  <c r="CI21" i="8"/>
  <c r="CF21" i="5"/>
  <c r="CB21" i="8"/>
  <c r="DP20" i="8"/>
  <c r="DQ20" i="8" s="1"/>
  <c r="BD22" i="8"/>
  <c r="DM22" i="8" s="1"/>
  <c r="AP22" i="8"/>
  <c r="CY22" i="8" s="1"/>
  <c r="AN22" i="8"/>
  <c r="CW22" i="8" s="1"/>
  <c r="BB22" i="8"/>
  <c r="DK22" i="8" s="1"/>
  <c r="BQ21" i="8"/>
  <c r="CJ21" i="8"/>
  <c r="DO21" i="8"/>
  <c r="BX21" i="8"/>
  <c r="DO21" i="6"/>
  <c r="BE22" i="6"/>
  <c r="DN22" i="6" s="1"/>
  <c r="DN21" i="6"/>
  <c r="BD22" i="6"/>
  <c r="DM22" i="6" s="1"/>
  <c r="DK21" i="6"/>
  <c r="DP21" i="6" s="1"/>
  <c r="DQ21" i="6" s="1"/>
  <c r="CK20" i="6"/>
  <c r="CL20" i="6" s="1"/>
  <c r="BG21" i="5"/>
  <c r="CG21" i="6"/>
  <c r="AQ23" i="6"/>
  <c r="CZ23" i="6" s="1"/>
  <c r="BS22" i="6"/>
  <c r="BU22" i="6"/>
  <c r="BT22" i="6"/>
  <c r="CA21" i="6"/>
  <c r="AX22" i="6"/>
  <c r="DG22" i="6" s="1"/>
  <c r="BW21" i="6"/>
  <c r="AW22" i="6"/>
  <c r="DF22" i="6" s="1"/>
  <c r="BR22" i="6"/>
  <c r="CF21" i="6"/>
  <c r="BM22" i="6"/>
  <c r="CE21" i="6"/>
  <c r="AL23" i="6"/>
  <c r="CU23" i="6" s="1"/>
  <c r="BN22" i="6"/>
  <c r="AS22" i="6"/>
  <c r="DB22" i="6" s="1"/>
  <c r="AR22" i="6"/>
  <c r="DA22" i="6" s="1"/>
  <c r="AV22" i="6"/>
  <c r="DE22" i="6" s="1"/>
  <c r="AT22" i="6"/>
  <c r="DC22" i="6" s="1"/>
  <c r="BA22" i="6"/>
  <c r="DJ22" i="6" s="1"/>
  <c r="BV21" i="6"/>
  <c r="CC21" i="6"/>
  <c r="BX21" i="6"/>
  <c r="CI21" i="4"/>
  <c r="BG21" i="6"/>
  <c r="BZ21" i="6"/>
  <c r="AM23" i="6"/>
  <c r="CV23" i="6" s="1"/>
  <c r="AH23" i="6"/>
  <c r="CQ23" i="6" s="1"/>
  <c r="AF23" i="6"/>
  <c r="CO23" i="6" s="1"/>
  <c r="AE23" i="6"/>
  <c r="CN23" i="6" s="1"/>
  <c r="AD23" i="6"/>
  <c r="CM23" i="6" s="1"/>
  <c r="BH22" i="6"/>
  <c r="CI21" i="6"/>
  <c r="BO22" i="6"/>
  <c r="BI22" i="6"/>
  <c r="CJ21" i="4"/>
  <c r="CH21" i="6"/>
  <c r="BP22" i="6"/>
  <c r="AU22" i="6"/>
  <c r="AJ23" i="6"/>
  <c r="CS23" i="6" s="1"/>
  <c r="AI23" i="6"/>
  <c r="CR23" i="6" s="1"/>
  <c r="BL22" i="6"/>
  <c r="CD21" i="6"/>
  <c r="AZ22" i="6"/>
  <c r="BK22" i="6"/>
  <c r="AK23" i="6"/>
  <c r="CT23" i="6" s="1"/>
  <c r="AO23" i="6"/>
  <c r="CX23" i="6" s="1"/>
  <c r="AG23" i="6"/>
  <c r="CP23" i="6" s="1"/>
  <c r="BJ22" i="6"/>
  <c r="CB21" i="6"/>
  <c r="AY22" i="6"/>
  <c r="DH22" i="6" s="1"/>
  <c r="AN23" i="6"/>
  <c r="CW23" i="6" s="1"/>
  <c r="AP23" i="6"/>
  <c r="CY23" i="6" s="1"/>
  <c r="BQ22" i="6"/>
  <c r="BB22" i="6"/>
  <c r="DK22" i="6" s="1"/>
  <c r="BC22" i="6"/>
  <c r="BF22" i="6"/>
  <c r="CJ21" i="5"/>
  <c r="CK20" i="5"/>
  <c r="CL20" i="5" s="1"/>
  <c r="BC22" i="5"/>
  <c r="DL22" i="5" s="1"/>
  <c r="BF22" i="5"/>
  <c r="DO22" i="5" s="1"/>
  <c r="BD22" i="5"/>
  <c r="DM22" i="5" s="1"/>
  <c r="AX22" i="5"/>
  <c r="DG22" i="5" s="1"/>
  <c r="CH22" i="5"/>
  <c r="BO22" i="5"/>
  <c r="AQ23" i="5"/>
  <c r="CZ23" i="5" s="1"/>
  <c r="BS22" i="5"/>
  <c r="BR22" i="5"/>
  <c r="BE22" i="5"/>
  <c r="DN22" i="5" s="1"/>
  <c r="AY22" i="5"/>
  <c r="DH22" i="5" s="1"/>
  <c r="BT22" i="5"/>
  <c r="BK22" i="5"/>
  <c r="BE22" i="4"/>
  <c r="DN22" i="4" s="1"/>
  <c r="BU22" i="5"/>
  <c r="AU22" i="5"/>
  <c r="DD22" i="5" s="1"/>
  <c r="AZ22" i="4"/>
  <c r="DI22" i="4" s="1"/>
  <c r="CG21" i="4"/>
  <c r="CI21" i="5"/>
  <c r="BY21" i="5"/>
  <c r="CD21" i="4"/>
  <c r="CB21" i="5"/>
  <c r="AY22" i="4"/>
  <c r="DH22" i="4" s="1"/>
  <c r="BP22" i="5"/>
  <c r="AG23" i="5"/>
  <c r="CP23" i="5" s="1"/>
  <c r="AK23" i="5"/>
  <c r="CT23" i="5" s="1"/>
  <c r="AO23" i="5"/>
  <c r="CX23" i="5" s="1"/>
  <c r="BJ22" i="5"/>
  <c r="BW21" i="5"/>
  <c r="CE21" i="3"/>
  <c r="BM22" i="5"/>
  <c r="CC21" i="5"/>
  <c r="AH23" i="5"/>
  <c r="CQ23" i="5" s="1"/>
  <c r="AE23" i="5"/>
  <c r="CN23" i="5" s="1"/>
  <c r="AF23" i="5"/>
  <c r="CO23" i="5" s="1"/>
  <c r="AM23" i="5"/>
  <c r="CV23" i="5" s="1"/>
  <c r="AD23" i="5"/>
  <c r="CM23" i="5" s="1"/>
  <c r="BH22" i="5"/>
  <c r="BG21" i="4"/>
  <c r="AL23" i="5"/>
  <c r="CU23" i="5" s="1"/>
  <c r="BN22" i="5"/>
  <c r="AJ23" i="5"/>
  <c r="CS23" i="5" s="1"/>
  <c r="AI23" i="5"/>
  <c r="CR23" i="5" s="1"/>
  <c r="BL22" i="5"/>
  <c r="BX21" i="5"/>
  <c r="BB22" i="3"/>
  <c r="DK22" i="3" s="1"/>
  <c r="CE21" i="5"/>
  <c r="DP21" i="5"/>
  <c r="DQ21" i="5" s="1"/>
  <c r="AT22" i="5"/>
  <c r="DC22" i="5" s="1"/>
  <c r="AS22" i="5"/>
  <c r="DB22" i="5" s="1"/>
  <c r="AR22" i="5"/>
  <c r="DA22" i="5" s="1"/>
  <c r="BA22" i="5"/>
  <c r="DJ22" i="5" s="1"/>
  <c r="AV22" i="5"/>
  <c r="DE22" i="5" s="1"/>
  <c r="BV21" i="5"/>
  <c r="AP23" i="5"/>
  <c r="CY23" i="5" s="1"/>
  <c r="AN23" i="5"/>
  <c r="CW23" i="5" s="1"/>
  <c r="BQ22" i="5"/>
  <c r="BD22" i="4"/>
  <c r="DM22" i="4" s="1"/>
  <c r="AZ22" i="5"/>
  <c r="DI22" i="5" s="1"/>
  <c r="BF22" i="4"/>
  <c r="DO22" i="4" s="1"/>
  <c r="CA21" i="5"/>
  <c r="BI22" i="5"/>
  <c r="BZ21" i="5"/>
  <c r="BA22" i="3"/>
  <c r="DJ22" i="3" s="1"/>
  <c r="AW22" i="3"/>
  <c r="DF22" i="3" s="1"/>
  <c r="BO21" i="3"/>
  <c r="CJ21" i="3"/>
  <c r="DO21" i="3"/>
  <c r="AQ22" i="3"/>
  <c r="CZ22" i="3" s="1"/>
  <c r="CY21" i="3"/>
  <c r="BP21" i="3"/>
  <c r="AL22" i="3"/>
  <c r="CU22" i="3" s="1"/>
  <c r="BN21" i="3"/>
  <c r="AV22" i="3"/>
  <c r="DE22" i="3" s="1"/>
  <c r="BU21" i="3"/>
  <c r="CA21" i="3"/>
  <c r="AJ22" i="3"/>
  <c r="CS22" i="3" s="1"/>
  <c r="AO22" i="3"/>
  <c r="CX22" i="3" s="1"/>
  <c r="BT22" i="4"/>
  <c r="BM22" i="4"/>
  <c r="CE22" i="4"/>
  <c r="CO20" i="2"/>
  <c r="AP23" i="4"/>
  <c r="CY23" i="4" s="1"/>
  <c r="BB23" i="4"/>
  <c r="DK23" i="4" s="1"/>
  <c r="AN23" i="4"/>
  <c r="CW23" i="4" s="1"/>
  <c r="BQ22" i="4"/>
  <c r="DP21" i="4"/>
  <c r="DQ21" i="4" s="1"/>
  <c r="BO22" i="4"/>
  <c r="AL23" i="4"/>
  <c r="CU23" i="4" s="1"/>
  <c r="BN22" i="4"/>
  <c r="BZ22" i="4"/>
  <c r="CA22" i="4"/>
  <c r="AE23" i="4"/>
  <c r="CN23" i="4" s="1"/>
  <c r="AD23" i="4"/>
  <c r="CM23" i="4" s="1"/>
  <c r="AH23" i="4"/>
  <c r="CQ23" i="4" s="1"/>
  <c r="AF23" i="4"/>
  <c r="CO23" i="4" s="1"/>
  <c r="AM23" i="4"/>
  <c r="CV23" i="4" s="1"/>
  <c r="BH22" i="4"/>
  <c r="BY22" i="4"/>
  <c r="BK22" i="4"/>
  <c r="BI22" i="4"/>
  <c r="BU22" i="4"/>
  <c r="AQ23" i="4"/>
  <c r="CZ23" i="4" s="1"/>
  <c r="BS22" i="4"/>
  <c r="CB22" i="4"/>
  <c r="AU23" i="4"/>
  <c r="DD23" i="4" s="1"/>
  <c r="AO23" i="4"/>
  <c r="CX23" i="4" s="1"/>
  <c r="AK23" i="4"/>
  <c r="CT23" i="4" s="1"/>
  <c r="AG23" i="4"/>
  <c r="CP23" i="4" s="1"/>
  <c r="BJ22" i="4"/>
  <c r="BX22" i="4"/>
  <c r="CG22" i="4"/>
  <c r="AJ23" i="4"/>
  <c r="CS23" i="4" s="1"/>
  <c r="AI23" i="4"/>
  <c r="CR23" i="4" s="1"/>
  <c r="AW23" i="4"/>
  <c r="DF23" i="4" s="1"/>
  <c r="BL22" i="4"/>
  <c r="AT23" i="4"/>
  <c r="DC23" i="4" s="1"/>
  <c r="AS23" i="4"/>
  <c r="DB23" i="4" s="1"/>
  <c r="AR23" i="4"/>
  <c r="DA23" i="4" s="1"/>
  <c r="BA23" i="4"/>
  <c r="DJ23" i="4" s="1"/>
  <c r="AV23" i="4"/>
  <c r="DE23" i="4" s="1"/>
  <c r="BV22" i="4"/>
  <c r="BR22" i="4"/>
  <c r="BP22" i="4"/>
  <c r="BW22" i="4"/>
  <c r="CF22" i="4"/>
  <c r="AK22" i="3"/>
  <c r="BS21" i="3"/>
  <c r="AP22" i="3"/>
  <c r="CK20" i="3"/>
  <c r="CL20" i="3" s="1"/>
  <c r="CG21" i="3"/>
  <c r="CD21" i="3"/>
  <c r="BD22" i="3"/>
  <c r="DM22" i="3" s="1"/>
  <c r="BY20" i="2"/>
  <c r="AU21" i="2"/>
  <c r="BY21" i="2" s="1"/>
  <c r="BC22" i="3"/>
  <c r="DL22" i="3" s="1"/>
  <c r="AZ22" i="3"/>
  <c r="DI22" i="3" s="1"/>
  <c r="CB21" i="3"/>
  <c r="AY22" i="3"/>
  <c r="CH21" i="3"/>
  <c r="DP20" i="3"/>
  <c r="DQ20" i="3" s="1"/>
  <c r="BE22" i="3"/>
  <c r="DN22" i="3" s="1"/>
  <c r="BG21" i="3"/>
  <c r="BF22" i="3"/>
  <c r="DO22" i="3" s="1"/>
  <c r="AX22" i="3"/>
  <c r="DG22" i="3" s="1"/>
  <c r="CC21" i="3"/>
  <c r="CI21" i="3"/>
  <c r="AF21" i="2"/>
  <c r="BJ21" i="2" s="1"/>
  <c r="BK22" i="3"/>
  <c r="AT21" i="2"/>
  <c r="BW22" i="3"/>
  <c r="BI22" i="3"/>
  <c r="BH22" i="3"/>
  <c r="AF23" i="3"/>
  <c r="CO23" i="3" s="1"/>
  <c r="AE23" i="3"/>
  <c r="CN23" i="3" s="1"/>
  <c r="AD23" i="3"/>
  <c r="CM23" i="3" s="1"/>
  <c r="AR23" i="3"/>
  <c r="DA23" i="3" s="1"/>
  <c r="AS23" i="3"/>
  <c r="DB23" i="3" s="1"/>
  <c r="BV22" i="3"/>
  <c r="CP20" i="2"/>
  <c r="BK20" i="2"/>
  <c r="CN21" i="2"/>
  <c r="BI21" i="2"/>
  <c r="DB21" i="2"/>
  <c r="BW21" i="2"/>
  <c r="AG23" i="3"/>
  <c r="CP23" i="3" s="1"/>
  <c r="BJ22" i="3"/>
  <c r="AG21" i="2"/>
  <c r="DC20" i="2"/>
  <c r="BX20" i="2"/>
  <c r="AJ21" i="2"/>
  <c r="BN21" i="2" s="1"/>
  <c r="AD22" i="2"/>
  <c r="BH22" i="2" s="1"/>
  <c r="AE22" i="2"/>
  <c r="CM21" i="2"/>
  <c r="AR22" i="2"/>
  <c r="BV22" i="2" s="1"/>
  <c r="DA21" i="2"/>
  <c r="AS22" i="2"/>
  <c r="AW21" i="2"/>
  <c r="CA21" i="2" s="1"/>
  <c r="AK21" i="2"/>
  <c r="BO21" i="2" s="1"/>
  <c r="AY21" i="2"/>
  <c r="CC21" i="2" s="1"/>
  <c r="AZ21" i="2"/>
  <c r="CD21" i="2" s="1"/>
  <c r="AL21" i="2"/>
  <c r="BP21" i="2" s="1"/>
  <c r="AO21" i="2"/>
  <c r="BS21" i="2" s="1"/>
  <c r="BC21" i="2"/>
  <c r="CG21" i="2" s="1"/>
  <c r="BB21" i="2"/>
  <c r="CF21" i="2" s="1"/>
  <c r="AN21" i="2"/>
  <c r="BR21" i="2" s="1"/>
  <c r="BD21" i="2"/>
  <c r="CH21" i="2" s="1"/>
  <c r="AP21" i="2"/>
  <c r="BT21" i="2" s="1"/>
  <c r="AI21" i="2"/>
  <c r="AM21" i="2"/>
  <c r="BQ21" i="2" s="1"/>
  <c r="AH21" i="2"/>
  <c r="BL21" i="2" s="1"/>
  <c r="AV21" i="2"/>
  <c r="BZ21" i="2" s="1"/>
  <c r="BA21" i="2"/>
  <c r="CE21" i="2" s="1"/>
  <c r="AX21" i="2"/>
  <c r="CB21" i="2" s="1"/>
  <c r="BF21" i="2"/>
  <c r="BE21" i="2"/>
  <c r="CI21" i="2" s="1"/>
  <c r="AQ21" i="2"/>
  <c r="BU21" i="2" s="1"/>
  <c r="DK20" i="2"/>
  <c r="CZ20" i="2"/>
  <c r="DN20" i="2"/>
  <c r="CU20" i="2"/>
  <c r="CY20" i="2"/>
  <c r="CW20" i="2"/>
  <c r="CQ20" i="2"/>
  <c r="CX20" i="2"/>
  <c r="DL20" i="2"/>
  <c r="DP19" i="2"/>
  <c r="CT20" i="2"/>
  <c r="DH20" i="2"/>
  <c r="DM20" i="2"/>
  <c r="CJ20" i="2"/>
  <c r="DO20" i="2"/>
  <c r="CS20" i="2"/>
  <c r="CR20" i="2"/>
  <c r="DI20" i="2"/>
  <c r="DJ20" i="2"/>
  <c r="CV20" i="2"/>
  <c r="DE20" i="2"/>
  <c r="DG20" i="2"/>
  <c r="CK19" i="2"/>
  <c r="CL19" i="2" s="1"/>
  <c r="DF20" i="2"/>
  <c r="BG20" i="2"/>
  <c r="DI66" i="8" l="1"/>
  <c r="CD66" i="8"/>
  <c r="DO66" i="8"/>
  <c r="CJ66" i="8"/>
  <c r="DL66" i="8"/>
  <c r="CG66" i="8"/>
  <c r="AY66" i="8"/>
  <c r="CO66" i="8"/>
  <c r="BJ66" i="8"/>
  <c r="AG67" i="8"/>
  <c r="BC67" i="8"/>
  <c r="AO67" i="8"/>
  <c r="AK67" i="8"/>
  <c r="AU67" i="8"/>
  <c r="BK66" i="8"/>
  <c r="CP66" i="8"/>
  <c r="DF65" i="8"/>
  <c r="CA65" i="8"/>
  <c r="BP66" i="8"/>
  <c r="CU66" i="8"/>
  <c r="CQ66" i="8"/>
  <c r="AI67" i="8"/>
  <c r="AJ67" i="8"/>
  <c r="BL66" i="8"/>
  <c r="BO66" i="8"/>
  <c r="CT66" i="8"/>
  <c r="DD66" i="8"/>
  <c r="BY66" i="8"/>
  <c r="CY66" i="8"/>
  <c r="BT66" i="8"/>
  <c r="CH65" i="8"/>
  <c r="DM65" i="8"/>
  <c r="CE65" i="8"/>
  <c r="DJ65" i="8"/>
  <c r="BE66" i="8"/>
  <c r="AR66" i="8"/>
  <c r="AS66" i="8"/>
  <c r="AT66" i="8"/>
  <c r="AY67" i="8" s="1"/>
  <c r="BA66" i="8"/>
  <c r="DA65" i="8"/>
  <c r="BV65" i="8"/>
  <c r="CK65" i="8" s="1"/>
  <c r="CL65" i="8" s="1"/>
  <c r="AV66" i="8"/>
  <c r="AW67" i="8" s="1"/>
  <c r="BB66" i="8"/>
  <c r="AP67" i="8"/>
  <c r="CV66" i="8"/>
  <c r="BQ66" i="8"/>
  <c r="AN67" i="8"/>
  <c r="BG65" i="8"/>
  <c r="CW66" i="8"/>
  <c r="BR66" i="8"/>
  <c r="CN66" i="8"/>
  <c r="BI66" i="8"/>
  <c r="BD66" i="8"/>
  <c r="BZ65" i="8"/>
  <c r="DE65" i="8"/>
  <c r="BH66" i="8"/>
  <c r="BF67" i="8"/>
  <c r="AH67" i="8"/>
  <c r="AD67" i="8"/>
  <c r="AF67" i="8"/>
  <c r="AE67" i="8"/>
  <c r="AM67" i="8"/>
  <c r="CM66" i="8"/>
  <c r="DG65" i="8"/>
  <c r="CB65" i="8"/>
  <c r="AW66" i="8"/>
  <c r="AQ67" i="8"/>
  <c r="CX66" i="8"/>
  <c r="BE67" i="8"/>
  <c r="BS66" i="8"/>
  <c r="DP65" i="8"/>
  <c r="DQ65" i="8" s="1"/>
  <c r="CZ66" i="8"/>
  <c r="BU66" i="8"/>
  <c r="BX65" i="8"/>
  <c r="DC65" i="8"/>
  <c r="CR66" i="8"/>
  <c r="BM66" i="8"/>
  <c r="CS66" i="8"/>
  <c r="AL67" i="8"/>
  <c r="BN66" i="8"/>
  <c r="BW65" i="8"/>
  <c r="DB65" i="8"/>
  <c r="AX66" i="8"/>
  <c r="CI66" i="6"/>
  <c r="DN66" i="6"/>
  <c r="DO66" i="6"/>
  <c r="CJ66" i="6"/>
  <c r="BP66" i="6"/>
  <c r="CU66" i="6"/>
  <c r="CY66" i="6"/>
  <c r="BT66" i="6"/>
  <c r="DG65" i="6"/>
  <c r="CB65" i="6"/>
  <c r="CW66" i="6"/>
  <c r="BR66" i="6"/>
  <c r="CT66" i="6"/>
  <c r="BO66" i="6"/>
  <c r="AZ66" i="6"/>
  <c r="CP66" i="6"/>
  <c r="BK66" i="6"/>
  <c r="DO65" i="6"/>
  <c r="CJ65" i="6"/>
  <c r="AL67" i="6"/>
  <c r="CS66" i="6"/>
  <c r="BN66" i="6"/>
  <c r="CH66" i="6"/>
  <c r="DM66" i="6"/>
  <c r="CE65" i="6"/>
  <c r="DJ65" i="6"/>
  <c r="BS66" i="6"/>
  <c r="CX66" i="6"/>
  <c r="BE67" i="6"/>
  <c r="AQ67" i="6"/>
  <c r="DA65" i="6"/>
  <c r="DP65" i="6" s="1"/>
  <c r="DQ65" i="6" s="1"/>
  <c r="AV66" i="6"/>
  <c r="BA66" i="6"/>
  <c r="BV65" i="6"/>
  <c r="AR66" i="6"/>
  <c r="AS66" i="6"/>
  <c r="AT66" i="6"/>
  <c r="AY67" i="6" s="1"/>
  <c r="AY66" i="6"/>
  <c r="BY66" i="6"/>
  <c r="DD66" i="6"/>
  <c r="DC65" i="6"/>
  <c r="BX65" i="6"/>
  <c r="CZ66" i="6"/>
  <c r="BU66" i="6"/>
  <c r="DL65" i="6"/>
  <c r="CG65" i="6"/>
  <c r="BC66" i="6"/>
  <c r="AH67" i="6"/>
  <c r="AM67" i="6"/>
  <c r="AD67" i="6"/>
  <c r="AE67" i="6"/>
  <c r="CM66" i="6"/>
  <c r="AF67" i="6"/>
  <c r="BH66" i="6"/>
  <c r="DB65" i="6"/>
  <c r="BW65" i="6"/>
  <c r="CK65" i="6" s="1"/>
  <c r="CL65" i="6" s="1"/>
  <c r="DK65" i="6"/>
  <c r="CF65" i="6"/>
  <c r="BC67" i="6"/>
  <c r="AO67" i="6"/>
  <c r="BJ66" i="6"/>
  <c r="AG67" i="6"/>
  <c r="AK67" i="6"/>
  <c r="CO66" i="6"/>
  <c r="BZ65" i="6"/>
  <c r="DE65" i="6"/>
  <c r="BI66" i="6"/>
  <c r="CN66" i="6"/>
  <c r="AX66" i="6"/>
  <c r="DH65" i="6"/>
  <c r="CC65" i="6"/>
  <c r="BG65" i="6"/>
  <c r="BM66" i="6"/>
  <c r="CR66" i="6"/>
  <c r="BB66" i="6"/>
  <c r="BL66" i="6"/>
  <c r="CQ66" i="6"/>
  <c r="AI67" i="6"/>
  <c r="AJ67" i="6"/>
  <c r="AW67" i="6"/>
  <c r="AW66" i="6"/>
  <c r="BB67" i="6"/>
  <c r="BQ66" i="6"/>
  <c r="AN67" i="6"/>
  <c r="CV66" i="6"/>
  <c r="BD67" i="6"/>
  <c r="AP67" i="6"/>
  <c r="CI22" i="6"/>
  <c r="CH22" i="6"/>
  <c r="DO65" i="5"/>
  <c r="CJ65" i="5"/>
  <c r="DI65" i="5"/>
  <c r="CD65" i="5"/>
  <c r="AQ67" i="5"/>
  <c r="CX66" i="5"/>
  <c r="BS66" i="5"/>
  <c r="BT66" i="5"/>
  <c r="CY66" i="5"/>
  <c r="DK65" i="5"/>
  <c r="CF65" i="5"/>
  <c r="BD66" i="5"/>
  <c r="DL65" i="5"/>
  <c r="CG65" i="5"/>
  <c r="CW66" i="5"/>
  <c r="BR66" i="5"/>
  <c r="DG65" i="5"/>
  <c r="CB65" i="5"/>
  <c r="DH65" i="5"/>
  <c r="CC65" i="5"/>
  <c r="AL67" i="5"/>
  <c r="CS66" i="5"/>
  <c r="BN66" i="5"/>
  <c r="DJ65" i="5"/>
  <c r="CE65" i="5"/>
  <c r="CR66" i="5"/>
  <c r="BM66" i="5"/>
  <c r="DE65" i="5"/>
  <c r="BZ65" i="5"/>
  <c r="AN67" i="5"/>
  <c r="AP67" i="5"/>
  <c r="CV66" i="5"/>
  <c r="BQ66" i="5"/>
  <c r="CZ66" i="5"/>
  <c r="BU66" i="5"/>
  <c r="AX66" i="5"/>
  <c r="AZ67" i="5" s="1"/>
  <c r="DC65" i="5"/>
  <c r="BX65" i="5"/>
  <c r="CQ66" i="5"/>
  <c r="BL66" i="5"/>
  <c r="AW67" i="5"/>
  <c r="AX67" i="5"/>
  <c r="AI67" i="5"/>
  <c r="AJ67" i="5"/>
  <c r="BE66" i="5"/>
  <c r="DF66" i="5"/>
  <c r="CA66" i="5"/>
  <c r="DB65" i="5"/>
  <c r="BW65" i="5"/>
  <c r="CK65" i="5" s="1"/>
  <c r="CL65" i="5" s="1"/>
  <c r="CU66" i="5"/>
  <c r="BP66" i="5"/>
  <c r="AO67" i="5"/>
  <c r="CO66" i="5"/>
  <c r="BJ66" i="5"/>
  <c r="AU67" i="5"/>
  <c r="AG67" i="5"/>
  <c r="AY67" i="5"/>
  <c r="AK67" i="5"/>
  <c r="BC66" i="5"/>
  <c r="BE67" i="5" s="1"/>
  <c r="BV65" i="5"/>
  <c r="AR66" i="5"/>
  <c r="AS66" i="5"/>
  <c r="AT66" i="5"/>
  <c r="AV66" i="5"/>
  <c r="BF67" i="5" s="1"/>
  <c r="BA66" i="5"/>
  <c r="DA65" i="5"/>
  <c r="DP65" i="5" s="1"/>
  <c r="DQ65" i="5" s="1"/>
  <c r="AZ66" i="5"/>
  <c r="DM65" i="5"/>
  <c r="CH65" i="5"/>
  <c r="CN66" i="5"/>
  <c r="BI66" i="5"/>
  <c r="CT66" i="5"/>
  <c r="BO66" i="5"/>
  <c r="DF65" i="5"/>
  <c r="CA65" i="5"/>
  <c r="DD65" i="5"/>
  <c r="BY65" i="5"/>
  <c r="AM67" i="5"/>
  <c r="CM66" i="5"/>
  <c r="BH66" i="5"/>
  <c r="AD67" i="5"/>
  <c r="AE67" i="5"/>
  <c r="AF67" i="5"/>
  <c r="AH67" i="5"/>
  <c r="AY66" i="5"/>
  <c r="BF66" i="5"/>
  <c r="CP66" i="5"/>
  <c r="BK66" i="5"/>
  <c r="AU66" i="5"/>
  <c r="BB66" i="5"/>
  <c r="DL66" i="2"/>
  <c r="CG66" i="2"/>
  <c r="DK66" i="2"/>
  <c r="CF66" i="2"/>
  <c r="AU67" i="2"/>
  <c r="AG67" i="2"/>
  <c r="AK67" i="2"/>
  <c r="AO67" i="2"/>
  <c r="BJ66" i="2"/>
  <c r="CO66" i="2"/>
  <c r="DO65" i="2"/>
  <c r="CJ65" i="2"/>
  <c r="BU66" i="2"/>
  <c r="CZ66" i="2"/>
  <c r="CN66" i="2"/>
  <c r="BI66" i="2"/>
  <c r="DB65" i="2"/>
  <c r="BW65" i="2"/>
  <c r="CS66" i="2"/>
  <c r="BN66" i="2"/>
  <c r="AL67" i="2"/>
  <c r="AU66" i="2"/>
  <c r="DG66" i="2"/>
  <c r="CB66" i="2"/>
  <c r="CE65" i="2"/>
  <c r="DJ65" i="2"/>
  <c r="CW66" i="2"/>
  <c r="BR66" i="2"/>
  <c r="CY66" i="2"/>
  <c r="BT66" i="2"/>
  <c r="DA65" i="2"/>
  <c r="DP65" i="2" s="1"/>
  <c r="DQ65" i="2" s="1"/>
  <c r="BA66" i="2"/>
  <c r="BB67" i="2" s="1"/>
  <c r="AR66" i="2"/>
  <c r="BG66" i="2" s="1"/>
  <c r="BV65" i="2"/>
  <c r="CK65" i="2" s="1"/>
  <c r="CL65" i="2" s="1"/>
  <c r="AS66" i="2"/>
  <c r="BF67" i="2" s="1"/>
  <c r="AT66" i="2"/>
  <c r="BC67" i="2" s="1"/>
  <c r="AV66" i="2"/>
  <c r="AW67" i="2" s="1"/>
  <c r="BS66" i="2"/>
  <c r="CX66" i="2"/>
  <c r="BE67" i="2"/>
  <c r="AQ67" i="2"/>
  <c r="BG65" i="2"/>
  <c r="CA66" i="2"/>
  <c r="DF66" i="2"/>
  <c r="CT66" i="2"/>
  <c r="BO66" i="2"/>
  <c r="DE65" i="2"/>
  <c r="BZ65" i="2"/>
  <c r="DM66" i="2"/>
  <c r="CH66" i="2"/>
  <c r="AE67" i="2"/>
  <c r="AF67" i="2"/>
  <c r="AH67" i="2"/>
  <c r="CM66" i="2"/>
  <c r="BH66" i="2"/>
  <c r="AD67" i="2"/>
  <c r="AM67" i="2"/>
  <c r="BF66" i="2"/>
  <c r="CV66" i="2"/>
  <c r="BQ66" i="2"/>
  <c r="AP67" i="2"/>
  <c r="BD67" i="2"/>
  <c r="AN67" i="2"/>
  <c r="AY66" i="2"/>
  <c r="AX67" i="2" s="1"/>
  <c r="BM66" i="2"/>
  <c r="CR66" i="2"/>
  <c r="AI67" i="2"/>
  <c r="AJ67" i="2"/>
  <c r="CQ66" i="2"/>
  <c r="BL66" i="2"/>
  <c r="CU66" i="2"/>
  <c r="BP66" i="2"/>
  <c r="CI66" i="2"/>
  <c r="DN66" i="2"/>
  <c r="DC65" i="2"/>
  <c r="BX65" i="2"/>
  <c r="DI66" i="2"/>
  <c r="CD66" i="2"/>
  <c r="CP66" i="2"/>
  <c r="BK66" i="2"/>
  <c r="DO66" i="4"/>
  <c r="CJ66" i="4"/>
  <c r="DD66" i="4"/>
  <c r="BY66" i="4"/>
  <c r="CD66" i="4"/>
  <c r="DI66" i="4"/>
  <c r="DM65" i="4"/>
  <c r="CH65" i="4"/>
  <c r="CU66" i="4"/>
  <c r="BP66" i="4"/>
  <c r="BY65" i="4"/>
  <c r="DD65" i="4"/>
  <c r="DL65" i="4"/>
  <c r="CG65" i="4"/>
  <c r="BE66" i="4"/>
  <c r="BD67" i="4" s="1"/>
  <c r="DI65" i="4"/>
  <c r="CD65" i="4"/>
  <c r="CX66" i="4"/>
  <c r="BS66" i="4"/>
  <c r="AQ67" i="4"/>
  <c r="BU66" i="4"/>
  <c r="CZ66" i="4"/>
  <c r="BQ66" i="4"/>
  <c r="AP67" i="4"/>
  <c r="CV66" i="4"/>
  <c r="AN67" i="4"/>
  <c r="DO65" i="4"/>
  <c r="CJ65" i="4"/>
  <c r="CO66" i="4"/>
  <c r="AO67" i="4"/>
  <c r="BJ66" i="4"/>
  <c r="AG67" i="4"/>
  <c r="AK67" i="4"/>
  <c r="DK66" i="4"/>
  <c r="CF66" i="4"/>
  <c r="DJ65" i="4"/>
  <c r="CE65" i="4"/>
  <c r="DK65" i="4"/>
  <c r="CF65" i="4"/>
  <c r="BX65" i="4"/>
  <c r="DC65" i="4"/>
  <c r="CN66" i="4"/>
  <c r="BI66" i="4"/>
  <c r="BC66" i="4"/>
  <c r="CB65" i="4"/>
  <c r="DG65" i="4"/>
  <c r="BZ65" i="4"/>
  <c r="DE65" i="4"/>
  <c r="CM66" i="4"/>
  <c r="AD67" i="4"/>
  <c r="AE67" i="4"/>
  <c r="BH66" i="4"/>
  <c r="AH67" i="4"/>
  <c r="AM67" i="4"/>
  <c r="AF67" i="4"/>
  <c r="AY66" i="4"/>
  <c r="AW66" i="4"/>
  <c r="DB65" i="4"/>
  <c r="BW65" i="4"/>
  <c r="BT66" i="4"/>
  <c r="CY66" i="4"/>
  <c r="CP66" i="4"/>
  <c r="BK66" i="4"/>
  <c r="AX66" i="4"/>
  <c r="BA66" i="4"/>
  <c r="AR66" i="4"/>
  <c r="DA65" i="4"/>
  <c r="DP65" i="4" s="1"/>
  <c r="DQ65" i="4" s="1"/>
  <c r="AV66" i="4"/>
  <c r="AX67" i="4" s="1"/>
  <c r="AS66" i="4"/>
  <c r="BF67" i="4" s="1"/>
  <c r="AT66" i="4"/>
  <c r="BV65" i="4"/>
  <c r="CK65" i="4" s="1"/>
  <c r="CL65" i="4" s="1"/>
  <c r="AI67" i="4"/>
  <c r="AJ67" i="4"/>
  <c r="CQ66" i="4"/>
  <c r="BL66" i="4"/>
  <c r="CT66" i="4"/>
  <c r="BO66" i="4"/>
  <c r="CW66" i="4"/>
  <c r="BR66" i="4"/>
  <c r="BN66" i="4"/>
  <c r="CS66" i="4"/>
  <c r="AL67" i="4"/>
  <c r="BG65" i="4"/>
  <c r="BM66" i="4"/>
  <c r="CR66" i="4"/>
  <c r="BD66" i="4"/>
  <c r="CI65" i="4"/>
  <c r="DN65" i="4"/>
  <c r="CK21" i="4"/>
  <c r="CL21" i="4" s="1"/>
  <c r="CD22" i="4"/>
  <c r="AU23" i="3"/>
  <c r="DD23" i="3" s="1"/>
  <c r="BY22" i="3"/>
  <c r="BQ22" i="3"/>
  <c r="AH23" i="3"/>
  <c r="CQ23" i="3" s="1"/>
  <c r="BM22" i="3"/>
  <c r="BR22" i="8"/>
  <c r="BK22" i="8"/>
  <c r="CD22" i="8"/>
  <c r="AI23" i="8"/>
  <c r="CR23" i="8" s="1"/>
  <c r="AX23" i="8"/>
  <c r="DG23" i="8" s="1"/>
  <c r="AW23" i="8"/>
  <c r="DF23" i="8" s="1"/>
  <c r="AJ23" i="8"/>
  <c r="CS23" i="8" s="1"/>
  <c r="BL22" i="8"/>
  <c r="BR22" i="3"/>
  <c r="CB22" i="8"/>
  <c r="BP22" i="3"/>
  <c r="BB23" i="5"/>
  <c r="DK23" i="5" s="1"/>
  <c r="BW22" i="8"/>
  <c r="CA22" i="8"/>
  <c r="AV23" i="8"/>
  <c r="DE23" i="8" s="1"/>
  <c r="AT23" i="8"/>
  <c r="DC23" i="8" s="1"/>
  <c r="AS23" i="8"/>
  <c r="DB23" i="8" s="1"/>
  <c r="BA23" i="8"/>
  <c r="DJ23" i="8" s="1"/>
  <c r="AR23" i="8"/>
  <c r="DA23" i="8" s="1"/>
  <c r="BV22" i="8"/>
  <c r="AI23" i="3"/>
  <c r="CR23" i="3" s="1"/>
  <c r="CA22" i="5"/>
  <c r="AZ23" i="8"/>
  <c r="DI23" i="8" s="1"/>
  <c r="AL23" i="8"/>
  <c r="CU23" i="8" s="1"/>
  <c r="BN22" i="8"/>
  <c r="BX22" i="8"/>
  <c r="CF22" i="8"/>
  <c r="BE23" i="8"/>
  <c r="DN23" i="8" s="1"/>
  <c r="AQ23" i="8"/>
  <c r="CZ23" i="8" s="1"/>
  <c r="BS22" i="8"/>
  <c r="CC22" i="8"/>
  <c r="CK21" i="8"/>
  <c r="CL21" i="8" s="1"/>
  <c r="CF22" i="5"/>
  <c r="AN23" i="8"/>
  <c r="CW23" i="8" s="1"/>
  <c r="BB23" i="8"/>
  <c r="DK23" i="8" s="1"/>
  <c r="BD23" i="8"/>
  <c r="DM23" i="8" s="1"/>
  <c r="AP23" i="8"/>
  <c r="CY23" i="8" s="1"/>
  <c r="BQ22" i="8"/>
  <c r="DP21" i="8"/>
  <c r="DQ21" i="8" s="1"/>
  <c r="AT23" i="3"/>
  <c r="DC23" i="3" s="1"/>
  <c r="AF23" i="8"/>
  <c r="CO23" i="8" s="1"/>
  <c r="AE23" i="8"/>
  <c r="CN23" i="8" s="1"/>
  <c r="BF23" i="8"/>
  <c r="AM23" i="8"/>
  <c r="CV23" i="8" s="1"/>
  <c r="AD23" i="8"/>
  <c r="CM23" i="8" s="1"/>
  <c r="BG22" i="8"/>
  <c r="AH23" i="8"/>
  <c r="CQ23" i="8" s="1"/>
  <c r="BH22" i="8"/>
  <c r="BX22" i="3"/>
  <c r="BL22" i="3"/>
  <c r="BD23" i="6"/>
  <c r="DM23" i="6" s="1"/>
  <c r="BZ22" i="8"/>
  <c r="CG22" i="8"/>
  <c r="BU22" i="8"/>
  <c r="BP22" i="8"/>
  <c r="BY22" i="8"/>
  <c r="AU23" i="8"/>
  <c r="DD23" i="8" s="1"/>
  <c r="AO23" i="8"/>
  <c r="CX23" i="8" s="1"/>
  <c r="AY23" i="8"/>
  <c r="DH23" i="8" s="1"/>
  <c r="BC23" i="8"/>
  <c r="DL23" i="8" s="1"/>
  <c r="AG23" i="8"/>
  <c r="CP23" i="8" s="1"/>
  <c r="AK23" i="8"/>
  <c r="CT23" i="8" s="1"/>
  <c r="BJ22" i="8"/>
  <c r="BO22" i="8"/>
  <c r="AN23" i="3"/>
  <c r="CW23" i="3" s="1"/>
  <c r="BM22" i="8"/>
  <c r="CJ22" i="5"/>
  <c r="BT22" i="8"/>
  <c r="BI22" i="8"/>
  <c r="CH22" i="8"/>
  <c r="DO22" i="8"/>
  <c r="CJ22" i="8"/>
  <c r="AM23" i="3"/>
  <c r="CV23" i="3" s="1"/>
  <c r="CH22" i="4"/>
  <c r="CE22" i="8"/>
  <c r="CI22" i="8"/>
  <c r="BE23" i="6"/>
  <c r="DN23" i="6" s="1"/>
  <c r="DL22" i="6"/>
  <c r="AU23" i="6"/>
  <c r="DD23" i="6" s="1"/>
  <c r="AW23" i="6"/>
  <c r="DF23" i="6" s="1"/>
  <c r="AZ23" i="6"/>
  <c r="DI23" i="6" s="1"/>
  <c r="DI22" i="6"/>
  <c r="DP22" i="6" s="1"/>
  <c r="DQ22" i="6" s="1"/>
  <c r="BB23" i="6"/>
  <c r="DK23" i="6" s="1"/>
  <c r="CK21" i="6"/>
  <c r="CL21" i="6" s="1"/>
  <c r="BF23" i="6"/>
  <c r="DO23" i="6" s="1"/>
  <c r="DD22" i="6"/>
  <c r="BR23" i="6"/>
  <c r="BP23" i="6"/>
  <c r="CB22" i="5"/>
  <c r="CC22" i="6"/>
  <c r="CE22" i="3"/>
  <c r="AX23" i="6"/>
  <c r="DG23" i="6" s="1"/>
  <c r="CD22" i="6"/>
  <c r="BK23" i="6"/>
  <c r="BM23" i="6"/>
  <c r="AH24" i="6"/>
  <c r="CQ24" i="6" s="1"/>
  <c r="AF24" i="6"/>
  <c r="CO24" i="6" s="1"/>
  <c r="AE24" i="6"/>
  <c r="CN24" i="6" s="1"/>
  <c r="AD24" i="6"/>
  <c r="CM24" i="6" s="1"/>
  <c r="AM24" i="6"/>
  <c r="CV24" i="6" s="1"/>
  <c r="BH23" i="6"/>
  <c r="AQ24" i="6"/>
  <c r="CZ24" i="6" s="1"/>
  <c r="BS23" i="6"/>
  <c r="AL24" i="6"/>
  <c r="CU24" i="6" s="1"/>
  <c r="BN23" i="6"/>
  <c r="BI23" i="6"/>
  <c r="CE22" i="6"/>
  <c r="BU23" i="6"/>
  <c r="CJ22" i="4"/>
  <c r="BY23" i="6"/>
  <c r="BY22" i="6"/>
  <c r="AG24" i="6"/>
  <c r="CP24" i="6" s="1"/>
  <c r="AO24" i="6"/>
  <c r="CX24" i="6" s="1"/>
  <c r="AK24" i="6"/>
  <c r="CT24" i="6" s="1"/>
  <c r="BJ23" i="6"/>
  <c r="BX22" i="6"/>
  <c r="BB23" i="3"/>
  <c r="DK23" i="3" s="1"/>
  <c r="CJ22" i="6"/>
  <c r="DO22" i="6"/>
  <c r="AY23" i="6"/>
  <c r="DH23" i="6" s="1"/>
  <c r="AI24" i="6"/>
  <c r="CR24" i="6" s="1"/>
  <c r="AJ24" i="6"/>
  <c r="CS24" i="6" s="1"/>
  <c r="BL23" i="6"/>
  <c r="BZ22" i="6"/>
  <c r="CG22" i="6"/>
  <c r="BO23" i="6"/>
  <c r="BG22" i="6"/>
  <c r="CA22" i="6"/>
  <c r="CF22" i="6"/>
  <c r="BC23" i="6"/>
  <c r="DL23" i="6" s="1"/>
  <c r="BA23" i="6"/>
  <c r="DJ23" i="6" s="1"/>
  <c r="AV23" i="6"/>
  <c r="DE23" i="6" s="1"/>
  <c r="AT23" i="6"/>
  <c r="AR23" i="6"/>
  <c r="AS23" i="6"/>
  <c r="DB23" i="6" s="1"/>
  <c r="BV22" i="6"/>
  <c r="AP24" i="6"/>
  <c r="CY24" i="6" s="1"/>
  <c r="AN24" i="6"/>
  <c r="CW24" i="6" s="1"/>
  <c r="BQ23" i="6"/>
  <c r="BW22" i="6"/>
  <c r="BT23" i="6"/>
  <c r="CB22" i="6"/>
  <c r="BF23" i="4"/>
  <c r="DO23" i="4" s="1"/>
  <c r="CG22" i="5"/>
  <c r="CK21" i="5"/>
  <c r="CL21" i="5" s="1"/>
  <c r="AY23" i="5"/>
  <c r="DH23" i="5" s="1"/>
  <c r="AZ23" i="5"/>
  <c r="DI23" i="5" s="1"/>
  <c r="BD23" i="5"/>
  <c r="DM23" i="5" s="1"/>
  <c r="AU23" i="5"/>
  <c r="DD23" i="5" s="1"/>
  <c r="AW23" i="5"/>
  <c r="DF23" i="5" s="1"/>
  <c r="BF23" i="5"/>
  <c r="DO23" i="5" s="1"/>
  <c r="BG22" i="5"/>
  <c r="BC23" i="5"/>
  <c r="DL23" i="5" s="1"/>
  <c r="BE23" i="5"/>
  <c r="DN23" i="5" s="1"/>
  <c r="BR23" i="5"/>
  <c r="AK24" i="5"/>
  <c r="CT24" i="5" s="1"/>
  <c r="AO24" i="5"/>
  <c r="CX24" i="5" s="1"/>
  <c r="AG24" i="5"/>
  <c r="CP24" i="5" s="1"/>
  <c r="BJ23" i="5"/>
  <c r="BE23" i="4"/>
  <c r="DN23" i="4" s="1"/>
  <c r="BM23" i="5"/>
  <c r="AX23" i="4"/>
  <c r="DG23" i="4" s="1"/>
  <c r="BT23" i="5"/>
  <c r="AL24" i="5"/>
  <c r="CU24" i="5" s="1"/>
  <c r="BN23" i="5"/>
  <c r="BI23" i="5"/>
  <c r="BK23" i="5"/>
  <c r="BY22" i="5"/>
  <c r="AJ24" i="5"/>
  <c r="CS24" i="5" s="1"/>
  <c r="AI24" i="5"/>
  <c r="CR24" i="5" s="1"/>
  <c r="BL23" i="5"/>
  <c r="BU22" i="3"/>
  <c r="CC22" i="4"/>
  <c r="AZ23" i="4"/>
  <c r="DI23" i="4" s="1"/>
  <c r="BU23" i="5"/>
  <c r="CE22" i="5"/>
  <c r="BP23" i="5"/>
  <c r="AY23" i="4"/>
  <c r="DH23" i="4" s="1"/>
  <c r="BX22" i="5"/>
  <c r="AQ24" i="5"/>
  <c r="CZ24" i="5" s="1"/>
  <c r="BS23" i="5"/>
  <c r="CF23" i="5"/>
  <c r="CI22" i="4"/>
  <c r="CA22" i="3"/>
  <c r="BC23" i="4"/>
  <c r="DL23" i="4" s="1"/>
  <c r="CD22" i="5"/>
  <c r="CC22" i="5"/>
  <c r="BO23" i="5"/>
  <c r="CF22" i="3"/>
  <c r="BZ22" i="5"/>
  <c r="BD23" i="4"/>
  <c r="DM23" i="4" s="1"/>
  <c r="CI22" i="5"/>
  <c r="AM24" i="5"/>
  <c r="CV24" i="5" s="1"/>
  <c r="AD24" i="5"/>
  <c r="CM24" i="5" s="1"/>
  <c r="AH24" i="5"/>
  <c r="CQ24" i="5" s="1"/>
  <c r="AF24" i="5"/>
  <c r="CO24" i="5" s="1"/>
  <c r="AE24" i="5"/>
  <c r="CN24" i="5" s="1"/>
  <c r="BH23" i="5"/>
  <c r="AP24" i="5"/>
  <c r="CY24" i="5" s="1"/>
  <c r="AN24" i="5"/>
  <c r="CW24" i="5" s="1"/>
  <c r="BQ23" i="5"/>
  <c r="DD21" i="2"/>
  <c r="AX23" i="5"/>
  <c r="DG23" i="5" s="1"/>
  <c r="AV23" i="5"/>
  <c r="DE23" i="5" s="1"/>
  <c r="AS23" i="5"/>
  <c r="DB23" i="5" s="1"/>
  <c r="AR23" i="5"/>
  <c r="DA23" i="5" s="1"/>
  <c r="AT23" i="5"/>
  <c r="DC23" i="5" s="1"/>
  <c r="BA23" i="5"/>
  <c r="DJ23" i="5" s="1"/>
  <c r="BV22" i="5"/>
  <c r="BW22" i="5"/>
  <c r="BG22" i="4"/>
  <c r="DP22" i="5"/>
  <c r="DQ22" i="5" s="1"/>
  <c r="BS22" i="3"/>
  <c r="BZ22" i="3"/>
  <c r="AV23" i="3"/>
  <c r="DE23" i="3" s="1"/>
  <c r="BN22" i="3"/>
  <c r="AQ23" i="3"/>
  <c r="CZ23" i="3" s="1"/>
  <c r="CY22" i="3"/>
  <c r="AJ23" i="3"/>
  <c r="CS23" i="3" s="1"/>
  <c r="CT22" i="3"/>
  <c r="AW23" i="3"/>
  <c r="DF23" i="3" s="1"/>
  <c r="CC22" i="3"/>
  <c r="DH22" i="3"/>
  <c r="BA23" i="3"/>
  <c r="DJ23" i="3" s="1"/>
  <c r="AL23" i="3"/>
  <c r="CU23" i="3" s="1"/>
  <c r="BO23" i="4"/>
  <c r="AP23" i="3"/>
  <c r="CY23" i="3" s="1"/>
  <c r="CB23" i="4"/>
  <c r="AQ24" i="4"/>
  <c r="CZ24" i="4" s="1"/>
  <c r="BS23" i="4"/>
  <c r="BW23" i="4"/>
  <c r="AL24" i="4"/>
  <c r="CU24" i="4" s="1"/>
  <c r="BN23" i="4"/>
  <c r="BP23" i="4"/>
  <c r="BI23" i="4"/>
  <c r="BY23" i="4"/>
  <c r="AK23" i="3"/>
  <c r="CT23" i="3" s="1"/>
  <c r="BX23" i="4"/>
  <c r="BK23" i="4"/>
  <c r="BM23" i="4"/>
  <c r="AP24" i="4"/>
  <c r="CY24" i="4" s="1"/>
  <c r="AN24" i="4"/>
  <c r="CW24" i="4" s="1"/>
  <c r="BB24" i="4"/>
  <c r="DK24" i="4" s="1"/>
  <c r="BQ23" i="4"/>
  <c r="AO23" i="3"/>
  <c r="CX23" i="3" s="1"/>
  <c r="BO22" i="3"/>
  <c r="AO24" i="4"/>
  <c r="CX24" i="4" s="1"/>
  <c r="AK24" i="4"/>
  <c r="CT24" i="4" s="1"/>
  <c r="AG24" i="4"/>
  <c r="CP24" i="4" s="1"/>
  <c r="AU24" i="4"/>
  <c r="DD24" i="4" s="1"/>
  <c r="BJ23" i="4"/>
  <c r="BA24" i="4"/>
  <c r="DJ24" i="4" s="1"/>
  <c r="AV24" i="4"/>
  <c r="DE24" i="4" s="1"/>
  <c r="AT24" i="4"/>
  <c r="DC24" i="4" s="1"/>
  <c r="AS24" i="4"/>
  <c r="DB24" i="4" s="1"/>
  <c r="AR24" i="4"/>
  <c r="DA24" i="4" s="1"/>
  <c r="BV23" i="4"/>
  <c r="BU23" i="4"/>
  <c r="AJ24" i="4"/>
  <c r="CS24" i="4" s="1"/>
  <c r="AI24" i="4"/>
  <c r="CR24" i="4" s="1"/>
  <c r="AW24" i="4"/>
  <c r="DF24" i="4" s="1"/>
  <c r="BL23" i="4"/>
  <c r="AM24" i="4"/>
  <c r="CV24" i="4" s="1"/>
  <c r="AF24" i="4"/>
  <c r="CO24" i="4" s="1"/>
  <c r="AH24" i="4"/>
  <c r="CQ24" i="4" s="1"/>
  <c r="AE24" i="4"/>
  <c r="CN24" i="4" s="1"/>
  <c r="AD24" i="4"/>
  <c r="CM24" i="4" s="1"/>
  <c r="BH23" i="4"/>
  <c r="BT23" i="4"/>
  <c r="CA23" i="4"/>
  <c r="AT22" i="2"/>
  <c r="BZ23" i="4"/>
  <c r="DP22" i="4"/>
  <c r="DQ22" i="4" s="1"/>
  <c r="BR23" i="4"/>
  <c r="CE23" i="4"/>
  <c r="CF23" i="4"/>
  <c r="CH22" i="3"/>
  <c r="BT22" i="3"/>
  <c r="BD23" i="3"/>
  <c r="DM23" i="3" s="1"/>
  <c r="CG22" i="3"/>
  <c r="BE23" i="3"/>
  <c r="DN23" i="3" s="1"/>
  <c r="CD22" i="3"/>
  <c r="DP21" i="3"/>
  <c r="DQ21" i="3" s="1"/>
  <c r="AX23" i="3"/>
  <c r="DG23" i="3" s="1"/>
  <c r="AU22" i="2"/>
  <c r="AG22" i="2"/>
  <c r="CP22" i="2" s="1"/>
  <c r="AF22" i="2"/>
  <c r="BJ22" i="2" s="1"/>
  <c r="CI22" i="3"/>
  <c r="CK21" i="3"/>
  <c r="CL21" i="3" s="1"/>
  <c r="CJ22" i="3"/>
  <c r="BF23" i="3"/>
  <c r="AY23" i="3"/>
  <c r="CB22" i="3"/>
  <c r="BC23" i="3"/>
  <c r="AZ23" i="3"/>
  <c r="DI23" i="3" s="1"/>
  <c r="BG22" i="3"/>
  <c r="BY23" i="3"/>
  <c r="AR24" i="3"/>
  <c r="DA24" i="3" s="1"/>
  <c r="AS24" i="3"/>
  <c r="DB24" i="3" s="1"/>
  <c r="BV23" i="3"/>
  <c r="DB22" i="2"/>
  <c r="BW22" i="2"/>
  <c r="CR21" i="2"/>
  <c r="BM21" i="2"/>
  <c r="DC22" i="2"/>
  <c r="BX22" i="2"/>
  <c r="BW23" i="3"/>
  <c r="CP21" i="2"/>
  <c r="BK21" i="2"/>
  <c r="DC21" i="2"/>
  <c r="BX21" i="2"/>
  <c r="BI23" i="3"/>
  <c r="AG24" i="3"/>
  <c r="CP24" i="3" s="1"/>
  <c r="BJ23" i="3"/>
  <c r="BK23" i="3"/>
  <c r="CN22" i="2"/>
  <c r="BI22" i="2"/>
  <c r="AE24" i="3"/>
  <c r="CN24" i="3" s="1"/>
  <c r="AF24" i="3"/>
  <c r="CO24" i="3" s="1"/>
  <c r="AD24" i="3"/>
  <c r="CM24" i="3" s="1"/>
  <c r="BH23" i="3"/>
  <c r="CV21" i="2"/>
  <c r="CO21" i="2"/>
  <c r="AW22" i="2"/>
  <c r="CA22" i="2" s="1"/>
  <c r="CO22" i="2"/>
  <c r="AY22" i="2"/>
  <c r="CC22" i="2" s="1"/>
  <c r="AS23" i="2"/>
  <c r="DA22" i="2"/>
  <c r="AR23" i="2"/>
  <c r="BV23" i="2" s="1"/>
  <c r="AD23" i="2"/>
  <c r="BH23" i="2" s="1"/>
  <c r="AE23" i="2"/>
  <c r="CM22" i="2"/>
  <c r="BC22" i="2"/>
  <c r="CG22" i="2" s="1"/>
  <c r="AO22" i="2"/>
  <c r="AL22" i="2"/>
  <c r="BP22" i="2" s="1"/>
  <c r="AK22" i="2"/>
  <c r="BO22" i="2" s="1"/>
  <c r="BB22" i="2"/>
  <c r="CF22" i="2" s="1"/>
  <c r="AN22" i="2"/>
  <c r="BR22" i="2" s="1"/>
  <c r="AP22" i="2"/>
  <c r="BT22" i="2" s="1"/>
  <c r="BD22" i="2"/>
  <c r="CH22" i="2" s="1"/>
  <c r="AM22" i="2"/>
  <c r="BQ22" i="2" s="1"/>
  <c r="AH22" i="2"/>
  <c r="AI22" i="2"/>
  <c r="BM22" i="2" s="1"/>
  <c r="AJ22" i="2"/>
  <c r="BN22" i="2" s="1"/>
  <c r="AV22" i="2"/>
  <c r="BZ22" i="2" s="1"/>
  <c r="BA22" i="2"/>
  <c r="AX22" i="2"/>
  <c r="CB22" i="2" s="1"/>
  <c r="BF22" i="2"/>
  <c r="AQ22" i="2"/>
  <c r="BU22" i="2" s="1"/>
  <c r="AZ22" i="2"/>
  <c r="CD22" i="2" s="1"/>
  <c r="BE22" i="2"/>
  <c r="CI22" i="2" s="1"/>
  <c r="DF21" i="2"/>
  <c r="CU21" i="2"/>
  <c r="DN21" i="2"/>
  <c r="DJ21" i="2"/>
  <c r="DM21" i="2"/>
  <c r="CW21" i="2"/>
  <c r="CQ21" i="2"/>
  <c r="DE21" i="2"/>
  <c r="DH21" i="2"/>
  <c r="CT21" i="2"/>
  <c r="CS21" i="2"/>
  <c r="DI21" i="2"/>
  <c r="DK21" i="2"/>
  <c r="CY21" i="2"/>
  <c r="DL21" i="2"/>
  <c r="CK20" i="2"/>
  <c r="CL20" i="2" s="1"/>
  <c r="CX21" i="2"/>
  <c r="DP20" i="2"/>
  <c r="DQ20" i="2" s="1"/>
  <c r="CZ21" i="2"/>
  <c r="CJ21" i="2"/>
  <c r="DO21" i="2"/>
  <c r="DQ19" i="2"/>
  <c r="DG21" i="2"/>
  <c r="BG21" i="2"/>
  <c r="CA67" i="8" l="1"/>
  <c r="DF67" i="8"/>
  <c r="CC67" i="8"/>
  <c r="DH67" i="8"/>
  <c r="CF66" i="8"/>
  <c r="DK66" i="8"/>
  <c r="DN67" i="8"/>
  <c r="CI67" i="8"/>
  <c r="BK67" i="8"/>
  <c r="CP67" i="8"/>
  <c r="DG66" i="8"/>
  <c r="CB66" i="8"/>
  <c r="DM66" i="8"/>
  <c r="CH66" i="8"/>
  <c r="CE66" i="8"/>
  <c r="DJ66" i="8"/>
  <c r="BN67" i="8"/>
  <c r="CS67" i="8"/>
  <c r="CY67" i="8"/>
  <c r="BT67" i="8"/>
  <c r="CG67" i="8"/>
  <c r="DL67" i="8"/>
  <c r="BU67" i="8"/>
  <c r="CZ67" i="8"/>
  <c r="BX66" i="8"/>
  <c r="DC66" i="8"/>
  <c r="CA66" i="8"/>
  <c r="DF66" i="8"/>
  <c r="BW66" i="8"/>
  <c r="DB66" i="8"/>
  <c r="CR67" i="8"/>
  <c r="BM67" i="8"/>
  <c r="BY67" i="8"/>
  <c r="DD67" i="8"/>
  <c r="CX67" i="8"/>
  <c r="BS67" i="8"/>
  <c r="BL67" i="8"/>
  <c r="CQ67" i="8"/>
  <c r="DE66" i="8"/>
  <c r="BZ66" i="8"/>
  <c r="AS67" i="8"/>
  <c r="AR67" i="8"/>
  <c r="BV66" i="8"/>
  <c r="CK66" i="8" s="1"/>
  <c r="CL66" i="8" s="1"/>
  <c r="DA66" i="8"/>
  <c r="DP66" i="8" s="1"/>
  <c r="DQ66" i="8" s="1"/>
  <c r="BA67" i="8"/>
  <c r="AV67" i="8"/>
  <c r="AT67" i="8"/>
  <c r="AZ67" i="8"/>
  <c r="BQ67" i="8"/>
  <c r="CV67" i="8"/>
  <c r="CW67" i="8"/>
  <c r="BR67" i="8"/>
  <c r="CU67" i="8"/>
  <c r="BP67" i="8"/>
  <c r="BI67" i="8"/>
  <c r="CN67" i="8"/>
  <c r="BD67" i="8"/>
  <c r="CT67" i="8"/>
  <c r="BO67" i="8"/>
  <c r="DH66" i="8"/>
  <c r="CC66" i="8"/>
  <c r="CO67" i="8"/>
  <c r="BJ67" i="8"/>
  <c r="BB67" i="8"/>
  <c r="CI66" i="8"/>
  <c r="DN66" i="8"/>
  <c r="CM67" i="8"/>
  <c r="BH67" i="8"/>
  <c r="CJ67" i="8"/>
  <c r="DO67" i="8"/>
  <c r="AX67" i="8"/>
  <c r="BG66" i="8"/>
  <c r="CC67" i="6"/>
  <c r="DH67" i="6"/>
  <c r="CG67" i="6"/>
  <c r="DL67" i="6"/>
  <c r="DN67" i="6"/>
  <c r="CI67" i="6"/>
  <c r="CB66" i="6"/>
  <c r="DG66" i="6"/>
  <c r="CF67" i="6"/>
  <c r="DK67" i="6"/>
  <c r="BF67" i="6"/>
  <c r="CA66" i="6"/>
  <c r="DF66" i="6"/>
  <c r="BJ67" i="6"/>
  <c r="CO67" i="6"/>
  <c r="CY67" i="6"/>
  <c r="BT67" i="6"/>
  <c r="BR67" i="6"/>
  <c r="CW67" i="6"/>
  <c r="CZ67" i="6"/>
  <c r="BU67" i="6"/>
  <c r="CC66" i="6"/>
  <c r="DH66" i="6"/>
  <c r="BN67" i="6"/>
  <c r="CS67" i="6"/>
  <c r="AZ67" i="6"/>
  <c r="CR67" i="6"/>
  <c r="BM67" i="6"/>
  <c r="AU67" i="6"/>
  <c r="BI67" i="6"/>
  <c r="CN67" i="6"/>
  <c r="BW66" i="6"/>
  <c r="DB66" i="6"/>
  <c r="CT67" i="6"/>
  <c r="BO67" i="6"/>
  <c r="BH67" i="6"/>
  <c r="CM67" i="6"/>
  <c r="AR67" i="6"/>
  <c r="BG67" i="6" s="1"/>
  <c r="AV67" i="6"/>
  <c r="BV66" i="6"/>
  <c r="CK66" i="6" s="1"/>
  <c r="CL66" i="6" s="1"/>
  <c r="AS67" i="6"/>
  <c r="AT67" i="6"/>
  <c r="BA67" i="6"/>
  <c r="DA66" i="6"/>
  <c r="DP66" i="6" s="1"/>
  <c r="DQ66" i="6" s="1"/>
  <c r="CU67" i="6"/>
  <c r="BP67" i="6"/>
  <c r="CD66" i="6"/>
  <c r="DI66" i="6"/>
  <c r="CA67" i="6"/>
  <c r="DF67" i="6"/>
  <c r="BG66" i="6"/>
  <c r="BQ67" i="6"/>
  <c r="CV67" i="6"/>
  <c r="CQ67" i="6"/>
  <c r="BL67" i="6"/>
  <c r="DK66" i="6"/>
  <c r="CF66" i="6"/>
  <c r="CG66" i="6"/>
  <c r="DL66" i="6"/>
  <c r="DE66" i="6"/>
  <c r="BZ66" i="6"/>
  <c r="CH67" i="6"/>
  <c r="DM67" i="6"/>
  <c r="BX66" i="6"/>
  <c r="DC66" i="6"/>
  <c r="AX67" i="6"/>
  <c r="BK67" i="6"/>
  <c r="CP67" i="6"/>
  <c r="DJ66" i="6"/>
  <c r="CE66" i="6"/>
  <c r="CX67" i="6"/>
  <c r="BS67" i="6"/>
  <c r="CH23" i="6"/>
  <c r="DN67" i="5"/>
  <c r="CI67" i="5"/>
  <c r="DO67" i="5"/>
  <c r="CJ67" i="5"/>
  <c r="DI67" i="5"/>
  <c r="CD67" i="5"/>
  <c r="CJ66" i="5"/>
  <c r="DO66" i="5"/>
  <c r="CP67" i="5"/>
  <c r="BK67" i="5"/>
  <c r="DF67" i="5"/>
  <c r="CA67" i="5"/>
  <c r="DH66" i="5"/>
  <c r="CC66" i="5"/>
  <c r="DD67" i="5"/>
  <c r="BY67" i="5"/>
  <c r="DM66" i="5"/>
  <c r="CH66" i="5"/>
  <c r="CQ67" i="5"/>
  <c r="BL67" i="5"/>
  <c r="CO67" i="5"/>
  <c r="BJ67" i="5"/>
  <c r="CT67" i="5"/>
  <c r="BO67" i="5"/>
  <c r="CN67" i="5"/>
  <c r="BI67" i="5"/>
  <c r="CX67" i="5"/>
  <c r="BS67" i="5"/>
  <c r="DH67" i="5"/>
  <c r="CC67" i="5"/>
  <c r="BG67" i="5"/>
  <c r="CM67" i="5"/>
  <c r="BH67" i="5"/>
  <c r="DI66" i="5"/>
  <c r="CD66" i="5"/>
  <c r="BC67" i="5"/>
  <c r="DG66" i="5"/>
  <c r="CB66" i="5"/>
  <c r="DG67" i="5"/>
  <c r="CB67" i="5"/>
  <c r="DJ66" i="5"/>
  <c r="CE66" i="5"/>
  <c r="CU67" i="5"/>
  <c r="BP67" i="5"/>
  <c r="DE66" i="5"/>
  <c r="BZ66" i="5"/>
  <c r="CZ67" i="5"/>
  <c r="BU67" i="5"/>
  <c r="BG66" i="5"/>
  <c r="DC66" i="5"/>
  <c r="BX66" i="5"/>
  <c r="CR67" i="5"/>
  <c r="BM67" i="5"/>
  <c r="CV67" i="5"/>
  <c r="BQ67" i="5"/>
  <c r="DB66" i="5"/>
  <c r="BW66" i="5"/>
  <c r="CK66" i="5" s="1"/>
  <c r="CL66" i="5" s="1"/>
  <c r="CY67" i="5"/>
  <c r="BT67" i="5"/>
  <c r="DK66" i="5"/>
  <c r="CF66" i="5"/>
  <c r="DA66" i="5"/>
  <c r="DP66" i="5" s="1"/>
  <c r="DQ66" i="5" s="1"/>
  <c r="BV66" i="5"/>
  <c r="AR67" i="5"/>
  <c r="AS67" i="5"/>
  <c r="AT67" i="5"/>
  <c r="AV67" i="5"/>
  <c r="BA67" i="5"/>
  <c r="BD67" i="5"/>
  <c r="DD66" i="5"/>
  <c r="BY66" i="5"/>
  <c r="DN66" i="5"/>
  <c r="CI66" i="5"/>
  <c r="BR67" i="5"/>
  <c r="CW67" i="5"/>
  <c r="DL66" i="5"/>
  <c r="CG66" i="5"/>
  <c r="CS67" i="5"/>
  <c r="BN67" i="5"/>
  <c r="BB67" i="5"/>
  <c r="CJ23" i="5"/>
  <c r="BB24" i="5"/>
  <c r="DK24" i="5" s="1"/>
  <c r="DG67" i="2"/>
  <c r="CB67" i="2"/>
  <c r="CA67" i="2"/>
  <c r="DF67" i="2"/>
  <c r="DK67" i="2"/>
  <c r="CF67" i="2"/>
  <c r="CG67" i="2"/>
  <c r="DL67" i="2"/>
  <c r="CJ67" i="2"/>
  <c r="DO67" i="2"/>
  <c r="CM67" i="2"/>
  <c r="BH67" i="2"/>
  <c r="BU67" i="2"/>
  <c r="CZ67" i="2"/>
  <c r="CR67" i="2"/>
  <c r="BM67" i="2"/>
  <c r="CS67" i="2"/>
  <c r="BN67" i="2"/>
  <c r="CI67" i="2"/>
  <c r="DN67" i="2"/>
  <c r="CQ67" i="2"/>
  <c r="BL67" i="2"/>
  <c r="BZ66" i="2"/>
  <c r="DE66" i="2"/>
  <c r="CO67" i="2"/>
  <c r="BJ67" i="2"/>
  <c r="DC66" i="2"/>
  <c r="BX66" i="2"/>
  <c r="DD66" i="2"/>
  <c r="BY66" i="2"/>
  <c r="CX67" i="2"/>
  <c r="BS67" i="2"/>
  <c r="CC66" i="2"/>
  <c r="DH66" i="2"/>
  <c r="BW66" i="2"/>
  <c r="DB66" i="2"/>
  <c r="BK67" i="2"/>
  <c r="CP67" i="2"/>
  <c r="CY67" i="2"/>
  <c r="BT67" i="2"/>
  <c r="CT67" i="2"/>
  <c r="BO67" i="2"/>
  <c r="AZ67" i="2"/>
  <c r="AV67" i="2"/>
  <c r="BG67" i="2" s="1"/>
  <c r="BA67" i="2"/>
  <c r="AT67" i="2"/>
  <c r="AS67" i="2"/>
  <c r="DA66" i="2"/>
  <c r="DP66" i="2" s="1"/>
  <c r="DQ66" i="2" s="1"/>
  <c r="AR67" i="2"/>
  <c r="BV66" i="2"/>
  <c r="CK66" i="2" s="1"/>
  <c r="CL66" i="2" s="1"/>
  <c r="DD67" i="2"/>
  <c r="BY67" i="2"/>
  <c r="CU67" i="2"/>
  <c r="BP67" i="2"/>
  <c r="AY67" i="2"/>
  <c r="DJ66" i="2"/>
  <c r="CE66" i="2"/>
  <c r="BQ67" i="2"/>
  <c r="CV67" i="2"/>
  <c r="BI67" i="2"/>
  <c r="CN67" i="2"/>
  <c r="CW67" i="2"/>
  <c r="BR67" i="2"/>
  <c r="DM67" i="2"/>
  <c r="CH67" i="2"/>
  <c r="DO66" i="2"/>
  <c r="CJ66" i="2"/>
  <c r="CH67" i="4"/>
  <c r="DM67" i="4"/>
  <c r="CJ67" i="4"/>
  <c r="DO67" i="4"/>
  <c r="CB67" i="4"/>
  <c r="DG67" i="4"/>
  <c r="DH66" i="4"/>
  <c r="CC66" i="4"/>
  <c r="BJ67" i="4"/>
  <c r="CO67" i="4"/>
  <c r="BL67" i="4"/>
  <c r="CQ67" i="4"/>
  <c r="AZ67" i="4"/>
  <c r="AT67" i="4"/>
  <c r="BV66" i="4"/>
  <c r="CK66" i="4" s="1"/>
  <c r="CL66" i="4" s="1"/>
  <c r="AV67" i="4"/>
  <c r="AS67" i="4"/>
  <c r="BA67" i="4"/>
  <c r="AR67" i="4"/>
  <c r="DA66" i="4"/>
  <c r="DP66" i="4" s="1"/>
  <c r="DQ66" i="4" s="1"/>
  <c r="CE66" i="4"/>
  <c r="DJ66" i="4"/>
  <c r="BG66" i="4"/>
  <c r="BB67" i="4"/>
  <c r="CB66" i="4"/>
  <c r="DG66" i="4"/>
  <c r="CN67" i="4"/>
  <c r="BI67" i="4"/>
  <c r="CY67" i="4"/>
  <c r="BT67" i="4"/>
  <c r="AY67" i="4"/>
  <c r="DC66" i="4"/>
  <c r="BX66" i="4"/>
  <c r="CV67" i="4"/>
  <c r="BQ67" i="4"/>
  <c r="BO67" i="4"/>
  <c r="CT67" i="4"/>
  <c r="BK67" i="4"/>
  <c r="CP67" i="4"/>
  <c r="CZ67" i="4"/>
  <c r="BU67" i="4"/>
  <c r="CU67" i="4"/>
  <c r="BP67" i="4"/>
  <c r="DB66" i="4"/>
  <c r="BW66" i="4"/>
  <c r="BR67" i="4"/>
  <c r="CW67" i="4"/>
  <c r="BC67" i="4"/>
  <c r="CX67" i="4"/>
  <c r="BS67" i="4"/>
  <c r="BN67" i="4"/>
  <c r="CS67" i="4"/>
  <c r="CG66" i="4"/>
  <c r="DL66" i="4"/>
  <c r="DN66" i="4"/>
  <c r="CI66" i="4"/>
  <c r="DE66" i="4"/>
  <c r="BZ66" i="4"/>
  <c r="CM67" i="4"/>
  <c r="BH67" i="4"/>
  <c r="BE67" i="4"/>
  <c r="DM66" i="4"/>
  <c r="CH66" i="4"/>
  <c r="AW67" i="4"/>
  <c r="BM67" i="4"/>
  <c r="CR67" i="4"/>
  <c r="DF66" i="4"/>
  <c r="CA66" i="4"/>
  <c r="AU67" i="4"/>
  <c r="CK22" i="4"/>
  <c r="CL22" i="4" s="1"/>
  <c r="BM23" i="3"/>
  <c r="BR23" i="3"/>
  <c r="BL23" i="3"/>
  <c r="AI24" i="3"/>
  <c r="CR24" i="3" s="1"/>
  <c r="AH24" i="3"/>
  <c r="CQ24" i="3" s="1"/>
  <c r="CF23" i="3"/>
  <c r="AU24" i="3"/>
  <c r="DD24" i="3" s="1"/>
  <c r="AT24" i="3"/>
  <c r="DC24" i="3" s="1"/>
  <c r="AN24" i="3"/>
  <c r="CW24" i="3" s="1"/>
  <c r="BQ23" i="3"/>
  <c r="BX23" i="3"/>
  <c r="CD23" i="8"/>
  <c r="CF23" i="6"/>
  <c r="AP24" i="8"/>
  <c r="CY24" i="8" s="1"/>
  <c r="AN24" i="8"/>
  <c r="CW24" i="8" s="1"/>
  <c r="BD24" i="8"/>
  <c r="DM24" i="8" s="1"/>
  <c r="BB24" i="8"/>
  <c r="DK24" i="8" s="1"/>
  <c r="BQ23" i="8"/>
  <c r="CE23" i="8"/>
  <c r="BM23" i="8"/>
  <c r="CG23" i="4"/>
  <c r="CI23" i="8"/>
  <c r="BZ23" i="8"/>
  <c r="BU23" i="3"/>
  <c r="AX24" i="8"/>
  <c r="DG24" i="8" s="1"/>
  <c r="AW24" i="8"/>
  <c r="DF24" i="8" s="1"/>
  <c r="AI24" i="8"/>
  <c r="CR24" i="8" s="1"/>
  <c r="AJ24" i="8"/>
  <c r="CS24" i="8" s="1"/>
  <c r="BL23" i="8"/>
  <c r="AZ24" i="8"/>
  <c r="DI24" i="8" s="1"/>
  <c r="AL24" i="8"/>
  <c r="CU24" i="8" s="1"/>
  <c r="BN23" i="8"/>
  <c r="CA23" i="8"/>
  <c r="BU23" i="8"/>
  <c r="BW23" i="8"/>
  <c r="AY24" i="8"/>
  <c r="DH24" i="8" s="1"/>
  <c r="AG24" i="8"/>
  <c r="CP24" i="8" s="1"/>
  <c r="AO24" i="8"/>
  <c r="CX24" i="8" s="1"/>
  <c r="AU24" i="8"/>
  <c r="DD24" i="8" s="1"/>
  <c r="BC24" i="8"/>
  <c r="DL24" i="8" s="1"/>
  <c r="AK24" i="8"/>
  <c r="CT24" i="8" s="1"/>
  <c r="BJ23" i="8"/>
  <c r="CD23" i="6"/>
  <c r="BO23" i="8"/>
  <c r="BT23" i="8"/>
  <c r="BR23" i="8"/>
  <c r="CC23" i="8"/>
  <c r="BY23" i="8"/>
  <c r="DO23" i="8"/>
  <c r="CJ23" i="8"/>
  <c r="CB23" i="8"/>
  <c r="BI23" i="8"/>
  <c r="BX23" i="8"/>
  <c r="CI23" i="6"/>
  <c r="BK23" i="8"/>
  <c r="CH23" i="8"/>
  <c r="CG23" i="8"/>
  <c r="CK22" i="8"/>
  <c r="CL22" i="8" s="1"/>
  <c r="AQ24" i="8"/>
  <c r="CZ24" i="8" s="1"/>
  <c r="BE24" i="8"/>
  <c r="DN24" i="8" s="1"/>
  <c r="BS23" i="8"/>
  <c r="DP22" i="8"/>
  <c r="DQ22" i="8" s="1"/>
  <c r="CA23" i="6"/>
  <c r="BF24" i="8"/>
  <c r="AH24" i="8"/>
  <c r="CQ24" i="8" s="1"/>
  <c r="BG23" i="8"/>
  <c r="AF24" i="8"/>
  <c r="CO24" i="8" s="1"/>
  <c r="AM24" i="8"/>
  <c r="CV24" i="8" s="1"/>
  <c r="AD24" i="8"/>
  <c r="CM24" i="8" s="1"/>
  <c r="AE24" i="8"/>
  <c r="CN24" i="8" s="1"/>
  <c r="BH23" i="8"/>
  <c r="AT24" i="8"/>
  <c r="DC24" i="8" s="1"/>
  <c r="BA24" i="8"/>
  <c r="DJ24" i="8" s="1"/>
  <c r="AV24" i="8"/>
  <c r="DE24" i="8" s="1"/>
  <c r="AS24" i="8"/>
  <c r="DB24" i="8" s="1"/>
  <c r="AR24" i="8"/>
  <c r="DA24" i="8" s="1"/>
  <c r="BV23" i="8"/>
  <c r="AM24" i="3"/>
  <c r="CV24" i="3" s="1"/>
  <c r="CF23" i="8"/>
  <c r="BP23" i="8"/>
  <c r="CJ23" i="6"/>
  <c r="CK22" i="6"/>
  <c r="CL22" i="6" s="1"/>
  <c r="AZ24" i="6"/>
  <c r="DI24" i="6" s="1"/>
  <c r="BF24" i="6"/>
  <c r="CJ24" i="6" s="1"/>
  <c r="DA23" i="6"/>
  <c r="BC24" i="6"/>
  <c r="DL24" i="6" s="1"/>
  <c r="DC23" i="6"/>
  <c r="CG24" i="6"/>
  <c r="BC24" i="4"/>
  <c r="DL24" i="4" s="1"/>
  <c r="AD25" i="6"/>
  <c r="CM25" i="6" s="1"/>
  <c r="AM25" i="6"/>
  <c r="CV25" i="6" s="1"/>
  <c r="AH25" i="6"/>
  <c r="CQ25" i="6" s="1"/>
  <c r="AF25" i="6"/>
  <c r="CO25" i="6" s="1"/>
  <c r="AE25" i="6"/>
  <c r="CN25" i="6" s="1"/>
  <c r="BH24" i="6"/>
  <c r="BW23" i="6"/>
  <c r="BO24" i="6"/>
  <c r="BI24" i="6"/>
  <c r="CI23" i="4"/>
  <c r="AV24" i="6"/>
  <c r="DE24" i="6" s="1"/>
  <c r="AT24" i="6"/>
  <c r="DC24" i="6" s="1"/>
  <c r="AS24" i="6"/>
  <c r="AR24" i="6"/>
  <c r="DA24" i="6" s="1"/>
  <c r="DP23" i="6"/>
  <c r="DQ23" i="6" s="1"/>
  <c r="BA24" i="6"/>
  <c r="DJ24" i="6" s="1"/>
  <c r="BV23" i="6"/>
  <c r="AO25" i="6"/>
  <c r="CX25" i="6" s="1"/>
  <c r="AK25" i="6"/>
  <c r="CT25" i="6" s="1"/>
  <c r="AG25" i="6"/>
  <c r="CP25" i="6" s="1"/>
  <c r="BJ24" i="6"/>
  <c r="BX23" i="6"/>
  <c r="AJ25" i="6"/>
  <c r="CS25" i="6" s="1"/>
  <c r="AI25" i="6"/>
  <c r="CR25" i="6" s="1"/>
  <c r="BL24" i="6"/>
  <c r="CC23" i="5"/>
  <c r="BZ23" i="6"/>
  <c r="AQ25" i="6"/>
  <c r="CZ25" i="6" s="1"/>
  <c r="BS24" i="6"/>
  <c r="AP25" i="6"/>
  <c r="CY25" i="6" s="1"/>
  <c r="AN25" i="6"/>
  <c r="CW25" i="6" s="1"/>
  <c r="BQ24" i="6"/>
  <c r="AL25" i="6"/>
  <c r="CU25" i="6" s="1"/>
  <c r="BN24" i="6"/>
  <c r="AU24" i="6"/>
  <c r="BP24" i="6"/>
  <c r="CJ23" i="4"/>
  <c r="BE24" i="4"/>
  <c r="DN24" i="4" s="1"/>
  <c r="CE23" i="6"/>
  <c r="BK24" i="6"/>
  <c r="CD23" i="4"/>
  <c r="AW24" i="6"/>
  <c r="DF24" i="6" s="1"/>
  <c r="AY24" i="6"/>
  <c r="DH24" i="6" s="1"/>
  <c r="BD24" i="4"/>
  <c r="DM24" i="4" s="1"/>
  <c r="CG23" i="6"/>
  <c r="AX24" i="6"/>
  <c r="DG24" i="6" s="1"/>
  <c r="BE24" i="6"/>
  <c r="DN24" i="6" s="1"/>
  <c r="BM24" i="6"/>
  <c r="BU24" i="6"/>
  <c r="BT24" i="6"/>
  <c r="BZ23" i="3"/>
  <c r="CK22" i="5"/>
  <c r="CL22" i="5" s="1"/>
  <c r="CC23" i="6"/>
  <c r="CB23" i="6"/>
  <c r="BB24" i="6"/>
  <c r="DK24" i="6" s="1"/>
  <c r="BY23" i="5"/>
  <c r="BR24" i="6"/>
  <c r="BG23" i="6"/>
  <c r="BD24" i="6"/>
  <c r="DM24" i="6" s="1"/>
  <c r="AX24" i="5"/>
  <c r="DG24" i="5" s="1"/>
  <c r="BD24" i="5"/>
  <c r="DM24" i="5" s="1"/>
  <c r="BC24" i="5"/>
  <c r="DL24" i="5" s="1"/>
  <c r="CI23" i="5"/>
  <c r="BE24" i="5"/>
  <c r="DN24" i="5" s="1"/>
  <c r="AY24" i="5"/>
  <c r="DH24" i="5" s="1"/>
  <c r="AU24" i="5"/>
  <c r="DD24" i="5" s="1"/>
  <c r="CH23" i="5"/>
  <c r="BF24" i="5"/>
  <c r="CJ24" i="5" s="1"/>
  <c r="CA23" i="5"/>
  <c r="CG23" i="5"/>
  <c r="AZ24" i="5"/>
  <c r="DI24" i="5" s="1"/>
  <c r="CD23" i="5"/>
  <c r="BF24" i="4"/>
  <c r="DO24" i="4" s="1"/>
  <c r="BT24" i="5"/>
  <c r="AL25" i="5"/>
  <c r="CU25" i="5" s="1"/>
  <c r="BN24" i="5"/>
  <c r="BP24" i="5"/>
  <c r="AY24" i="4"/>
  <c r="DH24" i="4" s="1"/>
  <c r="CH23" i="4"/>
  <c r="BU24" i="5"/>
  <c r="AW24" i="5"/>
  <c r="DF24" i="5" s="1"/>
  <c r="BO24" i="5"/>
  <c r="BM24" i="5"/>
  <c r="BI24" i="5"/>
  <c r="AX24" i="4"/>
  <c r="DG24" i="4" s="1"/>
  <c r="CE23" i="5"/>
  <c r="AG25" i="5"/>
  <c r="CP25" i="5" s="1"/>
  <c r="AK25" i="5"/>
  <c r="CT25" i="5" s="1"/>
  <c r="AO25" i="5"/>
  <c r="CX25" i="5" s="1"/>
  <c r="BJ24" i="5"/>
  <c r="AQ25" i="5"/>
  <c r="CZ25" i="5" s="1"/>
  <c r="BS24" i="5"/>
  <c r="BG23" i="4"/>
  <c r="BR24" i="5"/>
  <c r="BW23" i="5"/>
  <c r="AZ24" i="4"/>
  <c r="DI24" i="4" s="1"/>
  <c r="AN25" i="5"/>
  <c r="CW25" i="5" s="1"/>
  <c r="AP25" i="5"/>
  <c r="CY25" i="5" s="1"/>
  <c r="BQ24" i="5"/>
  <c r="AI25" i="5"/>
  <c r="CR25" i="5" s="1"/>
  <c r="AJ25" i="5"/>
  <c r="CS25" i="5" s="1"/>
  <c r="BL24" i="5"/>
  <c r="CC23" i="4"/>
  <c r="CB23" i="5"/>
  <c r="CF24" i="5"/>
  <c r="BN23" i="3"/>
  <c r="DP23" i="5"/>
  <c r="DQ23" i="5" s="1"/>
  <c r="BX23" i="5"/>
  <c r="AS24" i="5"/>
  <c r="DB24" i="5" s="1"/>
  <c r="AR24" i="5"/>
  <c r="DA24" i="5" s="1"/>
  <c r="BA24" i="5"/>
  <c r="DJ24" i="5" s="1"/>
  <c r="AV24" i="5"/>
  <c r="DE24" i="5" s="1"/>
  <c r="AT24" i="5"/>
  <c r="DC24" i="5" s="1"/>
  <c r="BV23" i="5"/>
  <c r="AF25" i="5"/>
  <c r="CO25" i="5" s="1"/>
  <c r="AE25" i="5"/>
  <c r="CN25" i="5" s="1"/>
  <c r="AM25" i="5"/>
  <c r="CV25" i="5" s="1"/>
  <c r="AH25" i="5"/>
  <c r="CQ25" i="5" s="1"/>
  <c r="AD25" i="5"/>
  <c r="CM25" i="5" s="1"/>
  <c r="BH24" i="5"/>
  <c r="BZ23" i="5"/>
  <c r="BG23" i="5"/>
  <c r="BK24" i="5"/>
  <c r="AV24" i="3"/>
  <c r="DE24" i="3" s="1"/>
  <c r="CE23" i="3"/>
  <c r="AL24" i="3"/>
  <c r="CU24" i="3" s="1"/>
  <c r="BA24" i="3"/>
  <c r="DJ24" i="3" s="1"/>
  <c r="BO23" i="3"/>
  <c r="AW24" i="3"/>
  <c r="DF24" i="3" s="1"/>
  <c r="BT23" i="3"/>
  <c r="BP23" i="3"/>
  <c r="CA23" i="3"/>
  <c r="AO24" i="3"/>
  <c r="CX24" i="3" s="1"/>
  <c r="BE24" i="3"/>
  <c r="DN24" i="3" s="1"/>
  <c r="DL23" i="3"/>
  <c r="CC23" i="3"/>
  <c r="DH23" i="3"/>
  <c r="BB24" i="3"/>
  <c r="DK24" i="3" s="1"/>
  <c r="CJ23" i="3"/>
  <c r="DO23" i="3"/>
  <c r="CH23" i="3"/>
  <c r="AP24" i="3"/>
  <c r="CY24" i="3" s="1"/>
  <c r="AK24" i="3"/>
  <c r="CT24" i="3" s="1"/>
  <c r="AJ24" i="3"/>
  <c r="CS24" i="3" s="1"/>
  <c r="BK24" i="4"/>
  <c r="AQ25" i="4"/>
  <c r="CZ25" i="4" s="1"/>
  <c r="BS24" i="4"/>
  <c r="BX24" i="4"/>
  <c r="CI24" i="4"/>
  <c r="BP24" i="4"/>
  <c r="BZ24" i="4"/>
  <c r="AH25" i="4"/>
  <c r="CQ25" i="4" s="1"/>
  <c r="AF25" i="4"/>
  <c r="CO25" i="4" s="1"/>
  <c r="AE25" i="4"/>
  <c r="CN25" i="4" s="1"/>
  <c r="AD25" i="4"/>
  <c r="CM25" i="4" s="1"/>
  <c r="AM25" i="4"/>
  <c r="CV25" i="4" s="1"/>
  <c r="BH24" i="4"/>
  <c r="BU24" i="4"/>
  <c r="CI23" i="3"/>
  <c r="BS23" i="3"/>
  <c r="CA24" i="4"/>
  <c r="BI24" i="4"/>
  <c r="DP23" i="4"/>
  <c r="DQ23" i="4" s="1"/>
  <c r="AF23" i="2"/>
  <c r="BJ23" i="2" s="1"/>
  <c r="BW24" i="4"/>
  <c r="AQ24" i="3"/>
  <c r="CZ24" i="3" s="1"/>
  <c r="CB24" i="4"/>
  <c r="CE24" i="4"/>
  <c r="CF24" i="4"/>
  <c r="AK25" i="4"/>
  <c r="CT25" i="4" s="1"/>
  <c r="AG25" i="4"/>
  <c r="CP25" i="4" s="1"/>
  <c r="AU25" i="4"/>
  <c r="DD25" i="4" s="1"/>
  <c r="AO25" i="4"/>
  <c r="CX25" i="4" s="1"/>
  <c r="BJ24" i="4"/>
  <c r="BA25" i="4"/>
  <c r="DJ25" i="4" s="1"/>
  <c r="AV25" i="4"/>
  <c r="DE25" i="4" s="1"/>
  <c r="AT25" i="4"/>
  <c r="DC25" i="4" s="1"/>
  <c r="AS25" i="4"/>
  <c r="DB25" i="4" s="1"/>
  <c r="AR25" i="4"/>
  <c r="DA25" i="4" s="1"/>
  <c r="BV24" i="4"/>
  <c r="BK22" i="2"/>
  <c r="BM24" i="4"/>
  <c r="BR24" i="4"/>
  <c r="AJ25" i="4"/>
  <c r="CS25" i="4" s="1"/>
  <c r="AI25" i="4"/>
  <c r="CR25" i="4" s="1"/>
  <c r="AW25" i="4"/>
  <c r="DF25" i="4" s="1"/>
  <c r="BL24" i="4"/>
  <c r="BD25" i="4"/>
  <c r="DM25" i="4" s="1"/>
  <c r="BB25" i="4"/>
  <c r="DK25" i="4" s="1"/>
  <c r="AP25" i="4"/>
  <c r="CY25" i="4" s="1"/>
  <c r="AN25" i="4"/>
  <c r="CW25" i="4" s="1"/>
  <c r="BQ24" i="4"/>
  <c r="AL25" i="4"/>
  <c r="CU25" i="4" s="1"/>
  <c r="BN24" i="4"/>
  <c r="BY24" i="4"/>
  <c r="BO24" i="4"/>
  <c r="AG23" i="2"/>
  <c r="CP23" i="2" s="1"/>
  <c r="BT24" i="4"/>
  <c r="CB23" i="3"/>
  <c r="CK22" i="3"/>
  <c r="CL22" i="3" s="1"/>
  <c r="DP22" i="3"/>
  <c r="DQ22" i="3" s="1"/>
  <c r="AU23" i="2"/>
  <c r="BY23" i="2" s="1"/>
  <c r="BY22" i="2"/>
  <c r="DD22" i="2"/>
  <c r="AT23" i="2"/>
  <c r="DC23" i="2" s="1"/>
  <c r="BD24" i="3"/>
  <c r="DM24" i="3" s="1"/>
  <c r="BF24" i="3"/>
  <c r="DO24" i="3" s="1"/>
  <c r="CG23" i="3"/>
  <c r="AX24" i="3"/>
  <c r="DG24" i="3" s="1"/>
  <c r="AY24" i="3"/>
  <c r="BG23" i="3"/>
  <c r="BC24" i="3"/>
  <c r="DL24" i="3" s="1"/>
  <c r="AZ24" i="3"/>
  <c r="DI24" i="3" s="1"/>
  <c r="CD23" i="3"/>
  <c r="AR25" i="3"/>
  <c r="DA25" i="3" s="1"/>
  <c r="AS25" i="3"/>
  <c r="DB25" i="3" s="1"/>
  <c r="BV24" i="3"/>
  <c r="BI24" i="3"/>
  <c r="DJ22" i="2"/>
  <c r="CE22" i="2"/>
  <c r="CN23" i="2"/>
  <c r="BI23" i="2"/>
  <c r="AQ23" i="2"/>
  <c r="BU23" i="2" s="1"/>
  <c r="BS22" i="2"/>
  <c r="CQ22" i="2"/>
  <c r="BL22" i="2"/>
  <c r="DB23" i="2"/>
  <c r="BW23" i="2"/>
  <c r="AD25" i="3"/>
  <c r="CM25" i="3" s="1"/>
  <c r="BH24" i="3"/>
  <c r="AH25" i="3"/>
  <c r="CQ25" i="3" s="1"/>
  <c r="AM25" i="3"/>
  <c r="CV25" i="3" s="1"/>
  <c r="AF25" i="3"/>
  <c r="CO25" i="3" s="1"/>
  <c r="AE25" i="3"/>
  <c r="CN25" i="3" s="1"/>
  <c r="BW24" i="3"/>
  <c r="BM24" i="3"/>
  <c r="BL24" i="3"/>
  <c r="AI25" i="3"/>
  <c r="CR25" i="3" s="1"/>
  <c r="BJ24" i="3"/>
  <c r="AG25" i="3"/>
  <c r="CP25" i="3" s="1"/>
  <c r="BK24" i="3"/>
  <c r="CO23" i="2"/>
  <c r="AW23" i="2"/>
  <c r="CA23" i="2" s="1"/>
  <c r="AE24" i="2"/>
  <c r="CM23" i="2"/>
  <c r="AD24" i="2"/>
  <c r="BH24" i="2" s="1"/>
  <c r="AS24" i="2"/>
  <c r="DA23" i="2"/>
  <c r="AR24" i="2"/>
  <c r="BV24" i="2" s="1"/>
  <c r="AJ23" i="2"/>
  <c r="BN23" i="2" s="1"/>
  <c r="BE23" i="2"/>
  <c r="CI23" i="2" s="1"/>
  <c r="BB23" i="2"/>
  <c r="CF23" i="2" s="1"/>
  <c r="AN23" i="2"/>
  <c r="AP23" i="2"/>
  <c r="BT23" i="2" s="1"/>
  <c r="AO23" i="2"/>
  <c r="BS23" i="2" s="1"/>
  <c r="AY23" i="2"/>
  <c r="CC23" i="2" s="1"/>
  <c r="AK23" i="2"/>
  <c r="BO23" i="2" s="1"/>
  <c r="AL23" i="2"/>
  <c r="BP23" i="2" s="1"/>
  <c r="BC23" i="2"/>
  <c r="CG23" i="2" s="1"/>
  <c r="AZ23" i="2"/>
  <c r="CD23" i="2" s="1"/>
  <c r="BD23" i="2"/>
  <c r="CH23" i="2" s="1"/>
  <c r="AM23" i="2"/>
  <c r="BQ23" i="2" s="1"/>
  <c r="AI23" i="2"/>
  <c r="BM23" i="2" s="1"/>
  <c r="AH23" i="2"/>
  <c r="AX23" i="2"/>
  <c r="CB23" i="2" s="1"/>
  <c r="AV23" i="2"/>
  <c r="BZ23" i="2" s="1"/>
  <c r="BA23" i="2"/>
  <c r="CE23" i="2" s="1"/>
  <c r="BF23" i="2"/>
  <c r="DE22" i="2"/>
  <c r="CW22" i="2"/>
  <c r="CS22" i="2"/>
  <c r="DG22" i="2"/>
  <c r="CU22" i="2"/>
  <c r="DF22" i="2"/>
  <c r="CV22" i="2"/>
  <c r="CR22" i="2"/>
  <c r="CJ22" i="2"/>
  <c r="DO22" i="2"/>
  <c r="DM22" i="2"/>
  <c r="DK22" i="2"/>
  <c r="DN22" i="2"/>
  <c r="DH22" i="2"/>
  <c r="DP21" i="2"/>
  <c r="DQ21" i="2" s="1"/>
  <c r="CY22" i="2"/>
  <c r="DI22" i="2"/>
  <c r="CT22" i="2"/>
  <c r="CX22" i="2"/>
  <c r="DL22" i="2"/>
  <c r="CZ22" i="2"/>
  <c r="BG22" i="2"/>
  <c r="CK21" i="2"/>
  <c r="CL21" i="2" s="1"/>
  <c r="DJ67" i="8" l="1"/>
  <c r="CE67" i="8"/>
  <c r="CH67" i="8"/>
  <c r="DM67" i="8"/>
  <c r="BV67" i="8"/>
  <c r="DA67" i="8"/>
  <c r="DP67" i="8" s="1"/>
  <c r="DQ67" i="8" s="1"/>
  <c r="CB67" i="8"/>
  <c r="DG67" i="8"/>
  <c r="DB67" i="8"/>
  <c r="BW67" i="8"/>
  <c r="CK67" i="8" s="1"/>
  <c r="CL67" i="8" s="1"/>
  <c r="DE67" i="8"/>
  <c r="BZ67" i="8"/>
  <c r="BG67" i="8"/>
  <c r="DC67" i="8"/>
  <c r="BX67" i="8"/>
  <c r="CF67" i="8"/>
  <c r="DK67" i="8"/>
  <c r="CD67" i="8"/>
  <c r="DI67" i="8"/>
  <c r="DO67" i="6"/>
  <c r="CJ67" i="6"/>
  <c r="CD67" i="6"/>
  <c r="DI67" i="6"/>
  <c r="BZ67" i="6"/>
  <c r="DE67" i="6"/>
  <c r="DD67" i="6"/>
  <c r="BY67" i="6"/>
  <c r="DB67" i="6"/>
  <c r="DP67" i="6" s="1"/>
  <c r="DQ67" i="6" s="1"/>
  <c r="BW67" i="6"/>
  <c r="CK67" i="6" s="1"/>
  <c r="CL67" i="6" s="1"/>
  <c r="CB67" i="6"/>
  <c r="DG67" i="6"/>
  <c r="DJ67" i="6"/>
  <c r="CE67" i="6"/>
  <c r="DA67" i="6"/>
  <c r="BV67" i="6"/>
  <c r="BX67" i="6"/>
  <c r="DC67" i="6"/>
  <c r="CD24" i="6"/>
  <c r="DO24" i="6"/>
  <c r="CH67" i="5"/>
  <c r="DM67" i="5"/>
  <c r="DJ67" i="5"/>
  <c r="CE67" i="5"/>
  <c r="DE67" i="5"/>
  <c r="BZ67" i="5"/>
  <c r="DC67" i="5"/>
  <c r="BX67" i="5"/>
  <c r="DL67" i="5"/>
  <c r="CG67" i="5"/>
  <c r="DB67" i="5"/>
  <c r="BW67" i="5"/>
  <c r="CK67" i="5" s="1"/>
  <c r="CL67" i="5" s="1"/>
  <c r="DK67" i="5"/>
  <c r="CF67" i="5"/>
  <c r="DA67" i="5"/>
  <c r="DP67" i="5" s="1"/>
  <c r="DQ67" i="5" s="1"/>
  <c r="BV67" i="5"/>
  <c r="DJ67" i="2"/>
  <c r="CE67" i="2"/>
  <c r="DH67" i="2"/>
  <c r="CC67" i="2"/>
  <c r="DE67" i="2"/>
  <c r="BZ67" i="2"/>
  <c r="DA67" i="2"/>
  <c r="DP67" i="2" s="1"/>
  <c r="DQ67" i="2" s="1"/>
  <c r="BV67" i="2"/>
  <c r="DI67" i="2"/>
  <c r="CD67" i="2"/>
  <c r="DB67" i="2"/>
  <c r="BW67" i="2"/>
  <c r="DC67" i="2"/>
  <c r="BX67" i="2"/>
  <c r="CK67" i="2" s="1"/>
  <c r="CL67" i="2" s="1"/>
  <c r="BZ67" i="4"/>
  <c r="DE67" i="4"/>
  <c r="CD67" i="4"/>
  <c r="DI67" i="4"/>
  <c r="DK67" i="4"/>
  <c r="CF67" i="4"/>
  <c r="BX67" i="4"/>
  <c r="DC67" i="4"/>
  <c r="BY67" i="4"/>
  <c r="DD67" i="4"/>
  <c r="CI67" i="4"/>
  <c r="DN67" i="4"/>
  <c r="BG67" i="4"/>
  <c r="DF67" i="4"/>
  <c r="CA67" i="4"/>
  <c r="CK67" i="4" s="1"/>
  <c r="CL67" i="4" s="1"/>
  <c r="DL67" i="4"/>
  <c r="CG67" i="4"/>
  <c r="CE67" i="4"/>
  <c r="DJ67" i="4"/>
  <c r="CC67" i="4"/>
  <c r="DH67" i="4"/>
  <c r="DA67" i="4"/>
  <c r="DP67" i="4" s="1"/>
  <c r="DQ67" i="4" s="1"/>
  <c r="BV67" i="4"/>
  <c r="BW67" i="4"/>
  <c r="DB67" i="4"/>
  <c r="CK23" i="4"/>
  <c r="CL23" i="4" s="1"/>
  <c r="BX24" i="3"/>
  <c r="AU25" i="3"/>
  <c r="DD25" i="3" s="1"/>
  <c r="BY24" i="3"/>
  <c r="BR24" i="3"/>
  <c r="AT25" i="3"/>
  <c r="DC25" i="3" s="1"/>
  <c r="BZ24" i="3"/>
  <c r="CJ24" i="8"/>
  <c r="DO24" i="8"/>
  <c r="BP24" i="8"/>
  <c r="BN24" i="3"/>
  <c r="BA25" i="8"/>
  <c r="DJ25" i="8" s="1"/>
  <c r="AR25" i="8"/>
  <c r="DA25" i="8" s="1"/>
  <c r="AV25" i="8"/>
  <c r="DE25" i="8" s="1"/>
  <c r="AT25" i="8"/>
  <c r="DC25" i="8" s="1"/>
  <c r="AS25" i="8"/>
  <c r="DB25" i="8" s="1"/>
  <c r="BV24" i="8"/>
  <c r="CC24" i="4"/>
  <c r="BW24" i="8"/>
  <c r="BZ24" i="8"/>
  <c r="CE24" i="8"/>
  <c r="AL25" i="8"/>
  <c r="CU25" i="8" s="1"/>
  <c r="AZ25" i="8"/>
  <c r="DI25" i="8" s="1"/>
  <c r="BN24" i="8"/>
  <c r="BX24" i="8"/>
  <c r="BK24" i="8"/>
  <c r="CA24" i="8"/>
  <c r="CH24" i="8"/>
  <c r="CK23" i="8"/>
  <c r="CL23" i="8" s="1"/>
  <c r="CC24" i="8"/>
  <c r="CB24" i="8"/>
  <c r="BR24" i="8"/>
  <c r="BO24" i="8"/>
  <c r="BQ24" i="3"/>
  <c r="CF24" i="8"/>
  <c r="BU24" i="8"/>
  <c r="BT24" i="8"/>
  <c r="CJ24" i="4"/>
  <c r="BG24" i="8"/>
  <c r="AH25" i="8"/>
  <c r="CQ25" i="8" s="1"/>
  <c r="AE25" i="8"/>
  <c r="CN25" i="8" s="1"/>
  <c r="AF25" i="8"/>
  <c r="CO25" i="8" s="1"/>
  <c r="AD25" i="8"/>
  <c r="CM25" i="8" s="1"/>
  <c r="BF25" i="8"/>
  <c r="AM25" i="8"/>
  <c r="CV25" i="8" s="1"/>
  <c r="BH24" i="8"/>
  <c r="AK25" i="8"/>
  <c r="CT25" i="8" s="1"/>
  <c r="AG25" i="8"/>
  <c r="CP25" i="8" s="1"/>
  <c r="AY25" i="8"/>
  <c r="DH25" i="8" s="1"/>
  <c r="AU25" i="8"/>
  <c r="DD25" i="8" s="1"/>
  <c r="AO25" i="8"/>
  <c r="CX25" i="8" s="1"/>
  <c r="BC25" i="8"/>
  <c r="DL25" i="8" s="1"/>
  <c r="BJ24" i="8"/>
  <c r="CG24" i="8"/>
  <c r="BE25" i="5"/>
  <c r="DN25" i="5" s="1"/>
  <c r="BY24" i="8"/>
  <c r="BM24" i="8"/>
  <c r="CG24" i="4"/>
  <c r="BI24" i="8"/>
  <c r="DP23" i="8"/>
  <c r="DQ23" i="8" s="1"/>
  <c r="AJ25" i="8"/>
  <c r="CS25" i="8" s="1"/>
  <c r="AW25" i="8"/>
  <c r="DF25" i="8" s="1"/>
  <c r="AX25" i="8"/>
  <c r="DG25" i="8" s="1"/>
  <c r="AI25" i="8"/>
  <c r="CR25" i="8" s="1"/>
  <c r="BL24" i="8"/>
  <c r="BG24" i="4"/>
  <c r="CD24" i="8"/>
  <c r="CH24" i="5"/>
  <c r="CI24" i="8"/>
  <c r="AN25" i="3"/>
  <c r="CW25" i="3" s="1"/>
  <c r="CH24" i="4"/>
  <c r="AQ25" i="8"/>
  <c r="CZ25" i="8" s="1"/>
  <c r="BE25" i="8"/>
  <c r="DN25" i="8" s="1"/>
  <c r="BS24" i="8"/>
  <c r="BB25" i="8"/>
  <c r="DK25" i="8" s="1"/>
  <c r="AP25" i="8"/>
  <c r="CY25" i="8" s="1"/>
  <c r="BD25" i="8"/>
  <c r="DM25" i="8" s="1"/>
  <c r="AN25" i="8"/>
  <c r="CW25" i="8" s="1"/>
  <c r="BQ24" i="8"/>
  <c r="BC25" i="6"/>
  <c r="DL25" i="6" s="1"/>
  <c r="DD24" i="6"/>
  <c r="AW25" i="6"/>
  <c r="DF25" i="6" s="1"/>
  <c r="CK23" i="6"/>
  <c r="CL23" i="6" s="1"/>
  <c r="BG24" i="6"/>
  <c r="DB24" i="6"/>
  <c r="DP24" i="6" s="1"/>
  <c r="DQ24" i="6" s="1"/>
  <c r="CG25" i="6"/>
  <c r="AX25" i="4"/>
  <c r="DG25" i="4" s="1"/>
  <c r="BF25" i="4"/>
  <c r="DO25" i="4" s="1"/>
  <c r="CB24" i="6"/>
  <c r="BD25" i="5"/>
  <c r="DM25" i="5" s="1"/>
  <c r="AZ25" i="6"/>
  <c r="DI25" i="6" s="1"/>
  <c r="BB25" i="5"/>
  <c r="DK25" i="5" s="1"/>
  <c r="CF24" i="6"/>
  <c r="BP25" i="6"/>
  <c r="AQ26" i="6"/>
  <c r="CZ26" i="6" s="1"/>
  <c r="BS25" i="6"/>
  <c r="BI25" i="6"/>
  <c r="AO26" i="6"/>
  <c r="CX26" i="6" s="1"/>
  <c r="AK26" i="6"/>
  <c r="CT26" i="6" s="1"/>
  <c r="AG26" i="6"/>
  <c r="CP26" i="6" s="1"/>
  <c r="BJ25" i="6"/>
  <c r="BY24" i="6"/>
  <c r="CC24" i="6"/>
  <c r="CE24" i="6"/>
  <c r="AJ26" i="6"/>
  <c r="CS26" i="6" s="1"/>
  <c r="AI26" i="6"/>
  <c r="CR26" i="6" s="1"/>
  <c r="BL25" i="6"/>
  <c r="CA24" i="6"/>
  <c r="AX25" i="6"/>
  <c r="BB25" i="6"/>
  <c r="DK25" i="6" s="1"/>
  <c r="BM25" i="6"/>
  <c r="AT25" i="6"/>
  <c r="DC25" i="6" s="1"/>
  <c r="AS25" i="6"/>
  <c r="DB25" i="6" s="1"/>
  <c r="AR25" i="6"/>
  <c r="DA25" i="6" s="1"/>
  <c r="BA25" i="6"/>
  <c r="AV25" i="6"/>
  <c r="AW26" i="6" s="1"/>
  <c r="DF26" i="6" s="1"/>
  <c r="BV24" i="6"/>
  <c r="CI24" i="6"/>
  <c r="BR25" i="6"/>
  <c r="AL26" i="6"/>
  <c r="CU26" i="6" s="1"/>
  <c r="BN25" i="6"/>
  <c r="BW24" i="6"/>
  <c r="AN26" i="6"/>
  <c r="CW26" i="6" s="1"/>
  <c r="AP26" i="6"/>
  <c r="CY26" i="6" s="1"/>
  <c r="BQ25" i="6"/>
  <c r="BD25" i="6"/>
  <c r="DM25" i="6" s="1"/>
  <c r="BX24" i="6"/>
  <c r="BF25" i="6"/>
  <c r="AF24" i="2"/>
  <c r="BJ24" i="2" s="1"/>
  <c r="BT25" i="6"/>
  <c r="BZ24" i="6"/>
  <c r="AM26" i="6"/>
  <c r="CV26" i="6" s="1"/>
  <c r="AH26" i="6"/>
  <c r="CQ26" i="6" s="1"/>
  <c r="AF26" i="6"/>
  <c r="CO26" i="6" s="1"/>
  <c r="AE26" i="6"/>
  <c r="CN26" i="6" s="1"/>
  <c r="AD26" i="6"/>
  <c r="CM26" i="6" s="1"/>
  <c r="BH25" i="6"/>
  <c r="BO25" i="6"/>
  <c r="CH24" i="6"/>
  <c r="AU25" i="6"/>
  <c r="DD25" i="6" s="1"/>
  <c r="BU25" i="6"/>
  <c r="CB24" i="5"/>
  <c r="BK25" i="6"/>
  <c r="BC25" i="4"/>
  <c r="DL25" i="4" s="1"/>
  <c r="BE25" i="4"/>
  <c r="DN25" i="4" s="1"/>
  <c r="BE25" i="6"/>
  <c r="AY25" i="6"/>
  <c r="DH25" i="6" s="1"/>
  <c r="AW25" i="5"/>
  <c r="DF25" i="5" s="1"/>
  <c r="BC25" i="5"/>
  <c r="DL25" i="5" s="1"/>
  <c r="AU25" i="5"/>
  <c r="DD25" i="5" s="1"/>
  <c r="BF25" i="5"/>
  <c r="CJ25" i="5" s="1"/>
  <c r="CC24" i="5"/>
  <c r="DO24" i="5"/>
  <c r="DP24" i="5" s="1"/>
  <c r="DQ24" i="5" s="1"/>
  <c r="CK23" i="5"/>
  <c r="CL23" i="5" s="1"/>
  <c r="AY25" i="5"/>
  <c r="DH25" i="5" s="1"/>
  <c r="CD24" i="5"/>
  <c r="BY24" i="5"/>
  <c r="AX25" i="5"/>
  <c r="DG25" i="5" s="1"/>
  <c r="AZ25" i="5"/>
  <c r="DI25" i="5" s="1"/>
  <c r="CI24" i="5"/>
  <c r="CG24" i="5"/>
  <c r="BG24" i="5"/>
  <c r="AU24" i="2"/>
  <c r="BY24" i="2" s="1"/>
  <c r="AY25" i="4"/>
  <c r="DH25" i="4" s="1"/>
  <c r="AD26" i="5"/>
  <c r="CM26" i="5" s="1"/>
  <c r="AM26" i="5"/>
  <c r="CV26" i="5" s="1"/>
  <c r="AF26" i="5"/>
  <c r="CO26" i="5" s="1"/>
  <c r="AH26" i="5"/>
  <c r="CQ26" i="5" s="1"/>
  <c r="AE26" i="5"/>
  <c r="CN26" i="5" s="1"/>
  <c r="BH25" i="5"/>
  <c r="BT25" i="5"/>
  <c r="AQ26" i="5"/>
  <c r="CZ26" i="5" s="1"/>
  <c r="BS25" i="5"/>
  <c r="AJ26" i="5"/>
  <c r="CS26" i="5" s="1"/>
  <c r="AI26" i="5"/>
  <c r="CR26" i="5" s="1"/>
  <c r="BL25" i="5"/>
  <c r="CD24" i="4"/>
  <c r="AP26" i="5"/>
  <c r="CY26" i="5" s="1"/>
  <c r="AN26" i="5"/>
  <c r="CW26" i="5" s="1"/>
  <c r="BQ25" i="5"/>
  <c r="DD23" i="2"/>
  <c r="BI25" i="5"/>
  <c r="CA24" i="5"/>
  <c r="BK25" i="5"/>
  <c r="AJ25" i="3"/>
  <c r="CS25" i="3" s="1"/>
  <c r="BK23" i="2"/>
  <c r="AZ25" i="4"/>
  <c r="DI25" i="4" s="1"/>
  <c r="BX24" i="5"/>
  <c r="BU25" i="5"/>
  <c r="BP25" i="5"/>
  <c r="BO25" i="5"/>
  <c r="AL25" i="3"/>
  <c r="CU25" i="3" s="1"/>
  <c r="BZ24" i="5"/>
  <c r="BW24" i="5"/>
  <c r="AT24" i="2"/>
  <c r="BX24" i="2" s="1"/>
  <c r="BR25" i="5"/>
  <c r="BP24" i="3"/>
  <c r="BA25" i="3"/>
  <c r="DJ25" i="3" s="1"/>
  <c r="CE24" i="5"/>
  <c r="BM25" i="5"/>
  <c r="AO26" i="5"/>
  <c r="CX26" i="5" s="1"/>
  <c r="AK26" i="5"/>
  <c r="CT26" i="5" s="1"/>
  <c r="AG26" i="5"/>
  <c r="CP26" i="5" s="1"/>
  <c r="BJ25" i="5"/>
  <c r="CA24" i="3"/>
  <c r="AV25" i="3"/>
  <c r="DE25" i="3" s="1"/>
  <c r="AV25" i="5"/>
  <c r="DE25" i="5" s="1"/>
  <c r="AS25" i="5"/>
  <c r="DB25" i="5" s="1"/>
  <c r="BA25" i="5"/>
  <c r="DJ25" i="5" s="1"/>
  <c r="AT25" i="5"/>
  <c r="DC25" i="5" s="1"/>
  <c r="AR25" i="5"/>
  <c r="DA25" i="5" s="1"/>
  <c r="BV24" i="5"/>
  <c r="AL26" i="5"/>
  <c r="CU26" i="5" s="1"/>
  <c r="BN25" i="5"/>
  <c r="CI24" i="3"/>
  <c r="BB25" i="3"/>
  <c r="DK25" i="3" s="1"/>
  <c r="CE24" i="3"/>
  <c r="AW25" i="3"/>
  <c r="DF25" i="3" s="1"/>
  <c r="BS24" i="3"/>
  <c r="CF24" i="3"/>
  <c r="CC24" i="3"/>
  <c r="DH24" i="3"/>
  <c r="AP25" i="3"/>
  <c r="CY25" i="3" s="1"/>
  <c r="AK25" i="3"/>
  <c r="CT25" i="3" s="1"/>
  <c r="BO24" i="3"/>
  <c r="AO25" i="3"/>
  <c r="CX25" i="3" s="1"/>
  <c r="BT24" i="3"/>
  <c r="BR25" i="4"/>
  <c r="AV26" i="4"/>
  <c r="DE26" i="4" s="1"/>
  <c r="AT26" i="4"/>
  <c r="DC26" i="4" s="1"/>
  <c r="AS26" i="4"/>
  <c r="DB26" i="4" s="1"/>
  <c r="AR26" i="4"/>
  <c r="DA26" i="4" s="1"/>
  <c r="BA26" i="4"/>
  <c r="DJ26" i="4" s="1"/>
  <c r="BV25" i="4"/>
  <c r="CF25" i="4"/>
  <c r="BX25" i="4"/>
  <c r="BZ25" i="4"/>
  <c r="AP26" i="4"/>
  <c r="CY26" i="4" s="1"/>
  <c r="BB26" i="4"/>
  <c r="DK26" i="4" s="1"/>
  <c r="AN26" i="4"/>
  <c r="CW26" i="4" s="1"/>
  <c r="BQ25" i="4"/>
  <c r="BM25" i="4"/>
  <c r="AL26" i="4"/>
  <c r="CU26" i="4" s="1"/>
  <c r="BN25" i="4"/>
  <c r="AF26" i="4"/>
  <c r="CO26" i="4" s="1"/>
  <c r="AE26" i="4"/>
  <c r="CN26" i="4" s="1"/>
  <c r="AD26" i="4"/>
  <c r="CM26" i="4" s="1"/>
  <c r="AH26" i="4"/>
  <c r="CQ26" i="4" s="1"/>
  <c r="AM26" i="4"/>
  <c r="CV26" i="4" s="1"/>
  <c r="BH25" i="4"/>
  <c r="CE25" i="4"/>
  <c r="AQ25" i="3"/>
  <c r="CZ25" i="3" s="1"/>
  <c r="BY25" i="4"/>
  <c r="DP24" i="4"/>
  <c r="DQ24" i="4" s="1"/>
  <c r="CA25" i="4"/>
  <c r="BP25" i="4"/>
  <c r="BK25" i="4"/>
  <c r="BI25" i="4"/>
  <c r="BU25" i="4"/>
  <c r="BT25" i="4"/>
  <c r="BU24" i="3"/>
  <c r="AU26" i="4"/>
  <c r="DD26" i="4" s="1"/>
  <c r="AG26" i="4"/>
  <c r="CP26" i="4" s="1"/>
  <c r="AO26" i="4"/>
  <c r="CX26" i="4" s="1"/>
  <c r="AK26" i="4"/>
  <c r="CT26" i="4" s="1"/>
  <c r="BJ25" i="4"/>
  <c r="BW25" i="4"/>
  <c r="CH25" i="4"/>
  <c r="AG24" i="2"/>
  <c r="BO25" i="4"/>
  <c r="AI26" i="4"/>
  <c r="CR26" i="4" s="1"/>
  <c r="AJ26" i="4"/>
  <c r="CS26" i="4" s="1"/>
  <c r="AW26" i="4"/>
  <c r="DF26" i="4" s="1"/>
  <c r="BL25" i="4"/>
  <c r="AQ26" i="4"/>
  <c r="CZ26" i="4" s="1"/>
  <c r="BE26" i="4"/>
  <c r="DN26" i="4" s="1"/>
  <c r="BS25" i="4"/>
  <c r="CH24" i="3"/>
  <c r="BG24" i="3"/>
  <c r="CJ24" i="3"/>
  <c r="DP23" i="3"/>
  <c r="DQ23" i="3" s="1"/>
  <c r="CK23" i="3"/>
  <c r="CL23" i="3" s="1"/>
  <c r="BX23" i="2"/>
  <c r="CB24" i="3"/>
  <c r="AY25" i="3"/>
  <c r="DH25" i="3" s="1"/>
  <c r="CG24" i="3"/>
  <c r="AX25" i="3"/>
  <c r="BE25" i="3"/>
  <c r="DN25" i="3" s="1"/>
  <c r="BC25" i="3"/>
  <c r="DL25" i="3" s="1"/>
  <c r="BF25" i="3"/>
  <c r="AZ25" i="3"/>
  <c r="BD25" i="3"/>
  <c r="DM25" i="3" s="1"/>
  <c r="CD24" i="3"/>
  <c r="AG26" i="3"/>
  <c r="CP26" i="3" s="1"/>
  <c r="AU26" i="3"/>
  <c r="DD26" i="3" s="1"/>
  <c r="BJ25" i="3"/>
  <c r="CN24" i="2"/>
  <c r="BI24" i="2"/>
  <c r="BY25" i="3"/>
  <c r="BQ25" i="3"/>
  <c r="AI26" i="3"/>
  <c r="CR26" i="3" s="1"/>
  <c r="BL25" i="3"/>
  <c r="CW23" i="2"/>
  <c r="BR23" i="2"/>
  <c r="BM25" i="3"/>
  <c r="BK25" i="3"/>
  <c r="BW25" i="3"/>
  <c r="BR25" i="3"/>
  <c r="DD24" i="2"/>
  <c r="AF26" i="3"/>
  <c r="CO26" i="3" s="1"/>
  <c r="AM26" i="3"/>
  <c r="CV26" i="3" s="1"/>
  <c r="AH26" i="3"/>
  <c r="CQ26" i="3" s="1"/>
  <c r="AE26" i="3"/>
  <c r="CN26" i="3" s="1"/>
  <c r="AD26" i="3"/>
  <c r="CM26" i="3" s="1"/>
  <c r="BH25" i="3"/>
  <c r="BX25" i="3"/>
  <c r="AT26" i="3"/>
  <c r="DC26" i="3" s="1"/>
  <c r="AS26" i="3"/>
  <c r="DB26" i="3" s="1"/>
  <c r="AR26" i="3"/>
  <c r="DA26" i="3" s="1"/>
  <c r="BV25" i="3"/>
  <c r="DB24" i="2"/>
  <c r="BW24" i="2"/>
  <c r="CQ23" i="2"/>
  <c r="BL23" i="2"/>
  <c r="BI25" i="3"/>
  <c r="DA24" i="2"/>
  <c r="AR25" i="2"/>
  <c r="BV25" i="2" s="1"/>
  <c r="AS25" i="2"/>
  <c r="CM24" i="2"/>
  <c r="AD25" i="2"/>
  <c r="BH25" i="2" s="1"/>
  <c r="AE25" i="2"/>
  <c r="CO24" i="2"/>
  <c r="AL24" i="2"/>
  <c r="BP24" i="2" s="1"/>
  <c r="BB24" i="2"/>
  <c r="CF24" i="2" s="1"/>
  <c r="AW24" i="2"/>
  <c r="CA24" i="2" s="1"/>
  <c r="AQ24" i="2"/>
  <c r="BU24" i="2" s="1"/>
  <c r="BE24" i="2"/>
  <c r="CI24" i="2" s="1"/>
  <c r="AK24" i="2"/>
  <c r="BO24" i="2" s="1"/>
  <c r="AJ24" i="2"/>
  <c r="BN24" i="2" s="1"/>
  <c r="AM24" i="2"/>
  <c r="BQ24" i="2" s="1"/>
  <c r="AH24" i="2"/>
  <c r="BL24" i="2" s="1"/>
  <c r="AI24" i="2"/>
  <c r="BM24" i="2" s="1"/>
  <c r="AX24" i="2"/>
  <c r="CB24" i="2" s="1"/>
  <c r="AV24" i="2"/>
  <c r="BZ24" i="2" s="1"/>
  <c r="BA24" i="2"/>
  <c r="CE24" i="2" s="1"/>
  <c r="AZ24" i="2"/>
  <c r="CD24" i="2" s="1"/>
  <c r="AO24" i="2"/>
  <c r="BS24" i="2" s="1"/>
  <c r="AN24" i="2"/>
  <c r="BR24" i="2" s="1"/>
  <c r="AP24" i="2"/>
  <c r="BT24" i="2" s="1"/>
  <c r="BD24" i="2"/>
  <c r="CH24" i="2" s="1"/>
  <c r="AY24" i="2"/>
  <c r="CC24" i="2" s="1"/>
  <c r="BF24" i="2"/>
  <c r="BC24" i="2"/>
  <c r="CG24" i="2" s="1"/>
  <c r="DP22" i="2"/>
  <c r="DQ22" i="2" s="1"/>
  <c r="CS23" i="2"/>
  <c r="DI23" i="2"/>
  <c r="DK23" i="2"/>
  <c r="CZ23" i="2"/>
  <c r="CR23" i="2"/>
  <c r="DN23" i="2"/>
  <c r="CU23" i="2"/>
  <c r="DH23" i="2"/>
  <c r="CT23" i="2"/>
  <c r="DE23" i="2"/>
  <c r="CJ23" i="2"/>
  <c r="DO23" i="2"/>
  <c r="CX23" i="2"/>
  <c r="CY23" i="2"/>
  <c r="DM23" i="2"/>
  <c r="DL23" i="2"/>
  <c r="DG23" i="2"/>
  <c r="CV23" i="2"/>
  <c r="DF23" i="2"/>
  <c r="DJ23" i="2"/>
  <c r="BG23" i="2"/>
  <c r="CK22" i="2"/>
  <c r="CL22" i="2" s="1"/>
  <c r="CI25" i="5" l="1"/>
  <c r="CK24" i="4"/>
  <c r="CL24" i="4" s="1"/>
  <c r="CE25" i="3"/>
  <c r="BT25" i="8"/>
  <c r="BY25" i="5"/>
  <c r="BW25" i="8"/>
  <c r="AN26" i="3"/>
  <c r="CW26" i="3" s="1"/>
  <c r="CD25" i="4"/>
  <c r="BI25" i="8"/>
  <c r="BP25" i="8"/>
  <c r="CB25" i="8"/>
  <c r="BY25" i="8"/>
  <c r="CJ25" i="4"/>
  <c r="CI25" i="8"/>
  <c r="BF26" i="4"/>
  <c r="DO26" i="4" s="1"/>
  <c r="CK24" i="8"/>
  <c r="CL24" i="8" s="1"/>
  <c r="BP25" i="3"/>
  <c r="AF26" i="8"/>
  <c r="CO26" i="8" s="1"/>
  <c r="BG25" i="8"/>
  <c r="AD26" i="8"/>
  <c r="CM26" i="8" s="1"/>
  <c r="AM26" i="8"/>
  <c r="CV26" i="8" s="1"/>
  <c r="AH26" i="8"/>
  <c r="CQ26" i="8" s="1"/>
  <c r="AE26" i="8"/>
  <c r="CN26" i="8" s="1"/>
  <c r="BF26" i="8"/>
  <c r="BH25" i="8"/>
  <c r="CG25" i="4"/>
  <c r="AG25" i="2"/>
  <c r="CP25" i="2" s="1"/>
  <c r="BR25" i="8"/>
  <c r="AW26" i="8"/>
  <c r="DF26" i="8" s="1"/>
  <c r="AJ26" i="8"/>
  <c r="CS26" i="8" s="1"/>
  <c r="AI26" i="8"/>
  <c r="CR26" i="8" s="1"/>
  <c r="AX26" i="8"/>
  <c r="DG26" i="8" s="1"/>
  <c r="BL25" i="8"/>
  <c r="CF25" i="8"/>
  <c r="CA25" i="8"/>
  <c r="BT25" i="3"/>
  <c r="CC25" i="8"/>
  <c r="BK25" i="8"/>
  <c r="CC25" i="4"/>
  <c r="BU25" i="8"/>
  <c r="BX25" i="8"/>
  <c r="BZ25" i="8"/>
  <c r="CJ25" i="8"/>
  <c r="DO25" i="8"/>
  <c r="AV26" i="8"/>
  <c r="DE26" i="8" s="1"/>
  <c r="BA26" i="8"/>
  <c r="DJ26" i="8" s="1"/>
  <c r="AS26" i="8"/>
  <c r="DB26" i="8" s="1"/>
  <c r="AR26" i="8"/>
  <c r="DA26" i="8" s="1"/>
  <c r="AT26" i="8"/>
  <c r="DC26" i="8" s="1"/>
  <c r="BV25" i="8"/>
  <c r="CE25" i="8"/>
  <c r="BE26" i="5"/>
  <c r="DN26" i="5" s="1"/>
  <c r="AG26" i="8"/>
  <c r="CP26" i="8" s="1"/>
  <c r="BC26" i="8"/>
  <c r="DL26" i="8" s="1"/>
  <c r="AK26" i="8"/>
  <c r="CT26" i="8" s="1"/>
  <c r="AO26" i="8"/>
  <c r="CX26" i="8" s="1"/>
  <c r="AY26" i="8"/>
  <c r="DH26" i="8" s="1"/>
  <c r="AU26" i="8"/>
  <c r="DD26" i="8" s="1"/>
  <c r="BJ25" i="8"/>
  <c r="CG25" i="8"/>
  <c r="BB26" i="5"/>
  <c r="DK26" i="5" s="1"/>
  <c r="BE26" i="8"/>
  <c r="DN26" i="8" s="1"/>
  <c r="AQ26" i="8"/>
  <c r="CZ26" i="8" s="1"/>
  <c r="BS25" i="8"/>
  <c r="BD26" i="5"/>
  <c r="DM26" i="5" s="1"/>
  <c r="AL26" i="8"/>
  <c r="CU26" i="8" s="1"/>
  <c r="AZ26" i="8"/>
  <c r="DI26" i="8" s="1"/>
  <c r="BN25" i="8"/>
  <c r="BA26" i="3"/>
  <c r="DJ26" i="3" s="1"/>
  <c r="CH25" i="5"/>
  <c r="CA25" i="5"/>
  <c r="BO25" i="8"/>
  <c r="CB25" i="4"/>
  <c r="BB26" i="8"/>
  <c r="DK26" i="8" s="1"/>
  <c r="AP26" i="8"/>
  <c r="CY26" i="8" s="1"/>
  <c r="AN26" i="8"/>
  <c r="CW26" i="8" s="1"/>
  <c r="BD26" i="8"/>
  <c r="DM26" i="8" s="1"/>
  <c r="BQ25" i="8"/>
  <c r="CD25" i="8"/>
  <c r="CF25" i="3"/>
  <c r="CI25" i="4"/>
  <c r="CH25" i="8"/>
  <c r="BM25" i="8"/>
  <c r="DP24" i="8"/>
  <c r="DQ24" i="8" s="1"/>
  <c r="CA25" i="6"/>
  <c r="BB26" i="6"/>
  <c r="DK26" i="6" s="1"/>
  <c r="DJ25" i="6"/>
  <c r="CK24" i="6"/>
  <c r="CL24" i="6" s="1"/>
  <c r="AZ26" i="6"/>
  <c r="DI26" i="6" s="1"/>
  <c r="DG25" i="6"/>
  <c r="BE26" i="6"/>
  <c r="DN26" i="6" s="1"/>
  <c r="DN25" i="6"/>
  <c r="AX26" i="6"/>
  <c r="DG26" i="6" s="1"/>
  <c r="DE25" i="6"/>
  <c r="CD26" i="6"/>
  <c r="CI26" i="6"/>
  <c r="BY25" i="6"/>
  <c r="CF25" i="6"/>
  <c r="BP26" i="6"/>
  <c r="CB25" i="6"/>
  <c r="CJ25" i="6"/>
  <c r="DO25" i="6"/>
  <c r="AU26" i="6"/>
  <c r="DD26" i="6" s="1"/>
  <c r="CC25" i="5"/>
  <c r="BK26" i="6"/>
  <c r="AU26" i="5"/>
  <c r="DD26" i="5" s="1"/>
  <c r="BF26" i="6"/>
  <c r="CH25" i="6"/>
  <c r="AY26" i="6"/>
  <c r="DH26" i="6" s="1"/>
  <c r="CC25" i="6"/>
  <c r="AE27" i="6"/>
  <c r="CN27" i="6" s="1"/>
  <c r="AM27" i="6"/>
  <c r="CV27" i="6" s="1"/>
  <c r="AH27" i="6"/>
  <c r="CQ27" i="6" s="1"/>
  <c r="AF27" i="6"/>
  <c r="CO27" i="6" s="1"/>
  <c r="AD27" i="6"/>
  <c r="CM27" i="6" s="1"/>
  <c r="BH26" i="6"/>
  <c r="CA26" i="6"/>
  <c r="BO26" i="6"/>
  <c r="CD25" i="6"/>
  <c r="DO25" i="5"/>
  <c r="DP25" i="5" s="1"/>
  <c r="DQ25" i="5" s="1"/>
  <c r="CI25" i="6"/>
  <c r="BI26" i="6"/>
  <c r="BT26" i="6"/>
  <c r="BC26" i="6"/>
  <c r="DL26" i="6" s="1"/>
  <c r="AO27" i="6"/>
  <c r="CX27" i="6" s="1"/>
  <c r="AK27" i="6"/>
  <c r="CT27" i="6" s="1"/>
  <c r="AG27" i="6"/>
  <c r="CP27" i="6" s="1"/>
  <c r="BJ26" i="6"/>
  <c r="BZ25" i="6"/>
  <c r="BM26" i="6"/>
  <c r="AJ27" i="6"/>
  <c r="CS27" i="6" s="1"/>
  <c r="AI27" i="6"/>
  <c r="CR27" i="6" s="1"/>
  <c r="BL26" i="6"/>
  <c r="AL27" i="6"/>
  <c r="CU27" i="6" s="1"/>
  <c r="BN26" i="6"/>
  <c r="AQ27" i="6"/>
  <c r="CZ27" i="6" s="1"/>
  <c r="BS26" i="6"/>
  <c r="BG25" i="6"/>
  <c r="BR26" i="6"/>
  <c r="CE25" i="6"/>
  <c r="BD26" i="4"/>
  <c r="DM26" i="4" s="1"/>
  <c r="BD26" i="6"/>
  <c r="DM26" i="6" s="1"/>
  <c r="BA26" i="6"/>
  <c r="DJ26" i="6" s="1"/>
  <c r="AV26" i="6"/>
  <c r="DE26" i="6" s="1"/>
  <c r="AT26" i="6"/>
  <c r="DC26" i="6" s="1"/>
  <c r="AS26" i="6"/>
  <c r="DB26" i="6" s="1"/>
  <c r="AR26" i="6"/>
  <c r="DA26" i="6" s="1"/>
  <c r="BV25" i="6"/>
  <c r="CG25" i="5"/>
  <c r="AN27" i="6"/>
  <c r="CW27" i="6" s="1"/>
  <c r="AP27" i="6"/>
  <c r="CY27" i="6" s="1"/>
  <c r="BQ26" i="6"/>
  <c r="BW25" i="6"/>
  <c r="CF25" i="5"/>
  <c r="BX25" i="6"/>
  <c r="BU26" i="6"/>
  <c r="CK24" i="5"/>
  <c r="CL24" i="5" s="1"/>
  <c r="BF26" i="5"/>
  <c r="CJ26" i="5" s="1"/>
  <c r="CB25" i="5"/>
  <c r="BC26" i="5"/>
  <c r="DL26" i="5" s="1"/>
  <c r="AY26" i="5"/>
  <c r="DH26" i="5" s="1"/>
  <c r="CD25" i="5"/>
  <c r="AX26" i="5"/>
  <c r="DG26" i="5" s="1"/>
  <c r="AZ26" i="5"/>
  <c r="DI26" i="5" s="1"/>
  <c r="CB26" i="5"/>
  <c r="AL27" i="5"/>
  <c r="CU27" i="5" s="1"/>
  <c r="BN26" i="5"/>
  <c r="AN27" i="5"/>
  <c r="CW27" i="5" s="1"/>
  <c r="AP27" i="5"/>
  <c r="CY27" i="5" s="1"/>
  <c r="BQ26" i="5"/>
  <c r="AV26" i="3"/>
  <c r="DE26" i="3" s="1"/>
  <c r="AW26" i="5"/>
  <c r="DF26" i="5" s="1"/>
  <c r="BG25" i="5"/>
  <c r="BZ25" i="3"/>
  <c r="AM27" i="5"/>
  <c r="CV27" i="5" s="1"/>
  <c r="AH27" i="5"/>
  <c r="CQ27" i="5" s="1"/>
  <c r="AF27" i="5"/>
  <c r="CO27" i="5" s="1"/>
  <c r="AE27" i="5"/>
  <c r="CN27" i="5" s="1"/>
  <c r="AD27" i="5"/>
  <c r="CM27" i="5" s="1"/>
  <c r="BH26" i="5"/>
  <c r="BM26" i="5"/>
  <c r="CA25" i="3"/>
  <c r="AZ26" i="4"/>
  <c r="DI26" i="4" s="1"/>
  <c r="BK26" i="5"/>
  <c r="BN25" i="3"/>
  <c r="AO26" i="3"/>
  <c r="CX26" i="3" s="1"/>
  <c r="AY26" i="4"/>
  <c r="DH26" i="4" s="1"/>
  <c r="BO26" i="5"/>
  <c r="BZ25" i="5"/>
  <c r="BR26" i="5"/>
  <c r="BT26" i="5"/>
  <c r="DC24" i="2"/>
  <c r="BX25" i="5"/>
  <c r="BP26" i="5"/>
  <c r="CI26" i="5"/>
  <c r="AW26" i="3"/>
  <c r="DF26" i="3" s="1"/>
  <c r="CE25" i="5"/>
  <c r="AI27" i="5"/>
  <c r="CR27" i="5" s="1"/>
  <c r="AJ27" i="5"/>
  <c r="CS27" i="5" s="1"/>
  <c r="BL26" i="5"/>
  <c r="AK27" i="5"/>
  <c r="CT27" i="5" s="1"/>
  <c r="AG27" i="5"/>
  <c r="CP27" i="5" s="1"/>
  <c r="AO27" i="5"/>
  <c r="CX27" i="5" s="1"/>
  <c r="AU27" i="5"/>
  <c r="DD27" i="5" s="1"/>
  <c r="BJ26" i="5"/>
  <c r="AQ27" i="5"/>
  <c r="CZ27" i="5" s="1"/>
  <c r="BS26" i="5"/>
  <c r="CH26" i="5"/>
  <c r="AR26" i="5"/>
  <c r="DA26" i="5" s="1"/>
  <c r="AV26" i="5"/>
  <c r="DE26" i="5" s="1"/>
  <c r="AT26" i="5"/>
  <c r="DC26" i="5" s="1"/>
  <c r="AS26" i="5"/>
  <c r="DB26" i="5" s="1"/>
  <c r="BA26" i="5"/>
  <c r="DJ26" i="5" s="1"/>
  <c r="BV25" i="5"/>
  <c r="AX26" i="4"/>
  <c r="DG26" i="4" s="1"/>
  <c r="BC26" i="4"/>
  <c r="DL26" i="4" s="1"/>
  <c r="BU26" i="5"/>
  <c r="BB26" i="3"/>
  <c r="DK26" i="3" s="1"/>
  <c r="BG25" i="4"/>
  <c r="BW25" i="5"/>
  <c r="BI26" i="5"/>
  <c r="BS25" i="3"/>
  <c r="AJ26" i="3"/>
  <c r="CS26" i="3" s="1"/>
  <c r="BU25" i="3"/>
  <c r="AL26" i="3"/>
  <c r="CU26" i="3" s="1"/>
  <c r="AK26" i="3"/>
  <c r="CT26" i="3" s="1"/>
  <c r="BO25" i="3"/>
  <c r="AP26" i="3"/>
  <c r="CY26" i="3" s="1"/>
  <c r="AX26" i="3"/>
  <c r="DG26" i="3" s="1"/>
  <c r="DI25" i="3"/>
  <c r="CJ25" i="3"/>
  <c r="DO25" i="3"/>
  <c r="CB25" i="3"/>
  <c r="DG25" i="3"/>
  <c r="CP24" i="2"/>
  <c r="BU26" i="4"/>
  <c r="AN27" i="4"/>
  <c r="CW27" i="4" s="1"/>
  <c r="AP27" i="4"/>
  <c r="CY27" i="4" s="1"/>
  <c r="BB27" i="4"/>
  <c r="DK27" i="4" s="1"/>
  <c r="BQ26" i="4"/>
  <c r="CE26" i="4"/>
  <c r="BK24" i="2"/>
  <c r="BP26" i="4"/>
  <c r="CA26" i="4"/>
  <c r="AL27" i="4"/>
  <c r="CU27" i="4" s="1"/>
  <c r="BN26" i="4"/>
  <c r="AQ27" i="4"/>
  <c r="CZ27" i="4" s="1"/>
  <c r="BS26" i="4"/>
  <c r="AW27" i="4"/>
  <c r="DF27" i="4" s="1"/>
  <c r="AJ27" i="4"/>
  <c r="CS27" i="4" s="1"/>
  <c r="AI27" i="4"/>
  <c r="CR27" i="4" s="1"/>
  <c r="BL26" i="4"/>
  <c r="BR26" i="4"/>
  <c r="AV27" i="4"/>
  <c r="DE27" i="4" s="1"/>
  <c r="AS27" i="4"/>
  <c r="DB27" i="4" s="1"/>
  <c r="AR27" i="4"/>
  <c r="DA27" i="4" s="1"/>
  <c r="BA27" i="4"/>
  <c r="DJ27" i="4" s="1"/>
  <c r="AT27" i="4"/>
  <c r="DC27" i="4" s="1"/>
  <c r="BV26" i="4"/>
  <c r="AU25" i="2"/>
  <c r="BY25" i="2" s="1"/>
  <c r="AQ26" i="3"/>
  <c r="BM26" i="4"/>
  <c r="CH26" i="4"/>
  <c r="BW26" i="4"/>
  <c r="AG27" i="4"/>
  <c r="CP27" i="4" s="1"/>
  <c r="AU27" i="4"/>
  <c r="DD27" i="4" s="1"/>
  <c r="AO27" i="4"/>
  <c r="CX27" i="4" s="1"/>
  <c r="AK27" i="4"/>
  <c r="CT27" i="4" s="1"/>
  <c r="BJ26" i="4"/>
  <c r="BO26" i="4"/>
  <c r="AF25" i="2"/>
  <c r="BJ25" i="2" s="1"/>
  <c r="BK26" i="4"/>
  <c r="DP25" i="4"/>
  <c r="DQ25" i="4" s="1"/>
  <c r="CF26" i="4"/>
  <c r="BX26" i="4"/>
  <c r="CI26" i="4"/>
  <c r="BY26" i="4"/>
  <c r="BT26" i="4"/>
  <c r="BZ26" i="4"/>
  <c r="AT25" i="2"/>
  <c r="DC25" i="2" s="1"/>
  <c r="AH27" i="4"/>
  <c r="CQ27" i="4" s="1"/>
  <c r="AF27" i="4"/>
  <c r="CO27" i="4" s="1"/>
  <c r="AE27" i="4"/>
  <c r="CN27" i="4" s="1"/>
  <c r="AM27" i="4"/>
  <c r="CV27" i="4" s="1"/>
  <c r="AD27" i="4"/>
  <c r="CM27" i="4" s="1"/>
  <c r="BH26" i="4"/>
  <c r="BI26" i="4"/>
  <c r="DP24" i="3"/>
  <c r="DQ24" i="3" s="1"/>
  <c r="CK24" i="3"/>
  <c r="CL24" i="3" s="1"/>
  <c r="CC25" i="3"/>
  <c r="AY26" i="3"/>
  <c r="CD25" i="3"/>
  <c r="AZ26" i="3"/>
  <c r="CI25" i="3"/>
  <c r="BG25" i="3"/>
  <c r="CG25" i="3"/>
  <c r="BD26" i="3"/>
  <c r="DM26" i="3" s="1"/>
  <c r="BE26" i="3"/>
  <c r="BC26" i="3"/>
  <c r="DL26" i="3" s="1"/>
  <c r="BF26" i="3"/>
  <c r="CH25" i="3"/>
  <c r="BV26" i="3"/>
  <c r="AT27" i="3"/>
  <c r="DC27" i="3" s="1"/>
  <c r="AR27" i="3"/>
  <c r="DA27" i="3" s="1"/>
  <c r="AS27" i="3"/>
  <c r="DB27" i="3" s="1"/>
  <c r="AE27" i="3"/>
  <c r="CN27" i="3" s="1"/>
  <c r="AD27" i="3"/>
  <c r="CM27" i="3" s="1"/>
  <c r="AF27" i="3"/>
  <c r="CO27" i="3" s="1"/>
  <c r="AM27" i="3"/>
  <c r="CV27" i="3" s="1"/>
  <c r="AH27" i="3"/>
  <c r="CQ27" i="3" s="1"/>
  <c r="BH26" i="3"/>
  <c r="BI26" i="3"/>
  <c r="DB25" i="2"/>
  <c r="BW25" i="2"/>
  <c r="BW26" i="3"/>
  <c r="BX26" i="3"/>
  <c r="CN25" i="2"/>
  <c r="BI25" i="2"/>
  <c r="BX25" i="2"/>
  <c r="BQ26" i="3"/>
  <c r="BM26" i="3"/>
  <c r="AU27" i="3"/>
  <c r="DD27" i="3" s="1"/>
  <c r="BJ26" i="3"/>
  <c r="AG27" i="3"/>
  <c r="CP27" i="3" s="1"/>
  <c r="AI27" i="3"/>
  <c r="CR27" i="3" s="1"/>
  <c r="BL26" i="3"/>
  <c r="BY26" i="3"/>
  <c r="BK26" i="3"/>
  <c r="BK25" i="2"/>
  <c r="AE26" i="2"/>
  <c r="CM25" i="2"/>
  <c r="AD26" i="2"/>
  <c r="BH26" i="2" s="1"/>
  <c r="AR26" i="2"/>
  <c r="BV26" i="2" s="1"/>
  <c r="DA25" i="2"/>
  <c r="AS26" i="2"/>
  <c r="AW25" i="2"/>
  <c r="AP25" i="2"/>
  <c r="BT25" i="2" s="1"/>
  <c r="AQ25" i="2"/>
  <c r="BU25" i="2" s="1"/>
  <c r="BE25" i="2"/>
  <c r="CI25" i="2" s="1"/>
  <c r="BB25" i="2"/>
  <c r="CF25" i="2" s="1"/>
  <c r="AY25" i="2"/>
  <c r="CC25" i="2" s="1"/>
  <c r="AL25" i="2"/>
  <c r="BP25" i="2" s="1"/>
  <c r="AK25" i="2"/>
  <c r="BC25" i="2"/>
  <c r="CG25" i="2" s="1"/>
  <c r="AO25" i="2"/>
  <c r="BS25" i="2" s="1"/>
  <c r="AZ25" i="2"/>
  <c r="CD25" i="2" s="1"/>
  <c r="AN25" i="2"/>
  <c r="BR25" i="2" s="1"/>
  <c r="BD25" i="2"/>
  <c r="CH25" i="2" s="1"/>
  <c r="AI25" i="2"/>
  <c r="BM25" i="2" s="1"/>
  <c r="AM25" i="2"/>
  <c r="BQ25" i="2" s="1"/>
  <c r="AH25" i="2"/>
  <c r="BL25" i="2" s="1"/>
  <c r="AX25" i="2"/>
  <c r="CB25" i="2" s="1"/>
  <c r="AV25" i="2"/>
  <c r="BZ25" i="2" s="1"/>
  <c r="BA25" i="2"/>
  <c r="BF25" i="2"/>
  <c r="DE24" i="2"/>
  <c r="AJ25" i="2"/>
  <c r="BN25" i="2" s="1"/>
  <c r="DP23" i="2"/>
  <c r="DQ23" i="2" s="1"/>
  <c r="CJ24" i="2"/>
  <c r="DO24" i="2"/>
  <c r="DG24" i="2"/>
  <c r="DM24" i="2"/>
  <c r="DN24" i="2"/>
  <c r="CX24" i="2"/>
  <c r="DK24" i="2"/>
  <c r="CR24" i="2"/>
  <c r="CS24" i="2"/>
  <c r="DJ24" i="2"/>
  <c r="DH24" i="2"/>
  <c r="CZ24" i="2"/>
  <c r="CU24" i="2"/>
  <c r="CT24" i="2"/>
  <c r="DF24" i="2"/>
  <c r="DL24" i="2"/>
  <c r="DI24" i="2"/>
  <c r="CV24" i="2"/>
  <c r="CW24" i="2"/>
  <c r="CY24" i="2"/>
  <c r="CQ24" i="2"/>
  <c r="BG24" i="2"/>
  <c r="CK23" i="2"/>
  <c r="CL23" i="2" s="1"/>
  <c r="DP25" i="6" l="1"/>
  <c r="DQ25" i="6" s="1"/>
  <c r="BY26" i="5"/>
  <c r="CK25" i="4"/>
  <c r="CL25" i="4" s="1"/>
  <c r="CJ26" i="4"/>
  <c r="BS26" i="3"/>
  <c r="CF26" i="3"/>
  <c r="BY26" i="8"/>
  <c r="CC26" i="8"/>
  <c r="CF26" i="6"/>
  <c r="BO26" i="8"/>
  <c r="CG26" i="8"/>
  <c r="BK26" i="8"/>
  <c r="AL27" i="8"/>
  <c r="CU27" i="8" s="1"/>
  <c r="AZ27" i="8"/>
  <c r="DI27" i="8" s="1"/>
  <c r="BN26" i="8"/>
  <c r="BX26" i="8"/>
  <c r="DO26" i="8"/>
  <c r="CJ26" i="8"/>
  <c r="DP25" i="8"/>
  <c r="DQ25" i="8" s="1"/>
  <c r="CF26" i="5"/>
  <c r="BP26" i="8"/>
  <c r="AU27" i="8"/>
  <c r="DD27" i="8" s="1"/>
  <c r="BC27" i="8"/>
  <c r="DL27" i="8" s="1"/>
  <c r="AY27" i="8"/>
  <c r="DH27" i="8" s="1"/>
  <c r="AO27" i="8"/>
  <c r="CX27" i="8" s="1"/>
  <c r="AK27" i="8"/>
  <c r="CT27" i="8" s="1"/>
  <c r="AG27" i="8"/>
  <c r="CP27" i="8" s="1"/>
  <c r="BJ26" i="8"/>
  <c r="AN27" i="3"/>
  <c r="CW27" i="3" s="1"/>
  <c r="CH26" i="8"/>
  <c r="CA26" i="8"/>
  <c r="CK25" i="8"/>
  <c r="CL25" i="8" s="1"/>
  <c r="CE26" i="8"/>
  <c r="BZ26" i="8"/>
  <c r="BD27" i="8"/>
  <c r="DM27" i="8" s="1"/>
  <c r="BB27" i="8"/>
  <c r="DK27" i="8" s="1"/>
  <c r="AP27" i="8"/>
  <c r="CY27" i="8" s="1"/>
  <c r="AN27" i="8"/>
  <c r="CW27" i="8" s="1"/>
  <c r="BQ26" i="8"/>
  <c r="CD26" i="8"/>
  <c r="BR26" i="3"/>
  <c r="AZ27" i="5"/>
  <c r="DI27" i="5" s="1"/>
  <c r="BR26" i="8"/>
  <c r="BU26" i="8"/>
  <c r="CF26" i="8"/>
  <c r="AR27" i="8"/>
  <c r="DA27" i="8" s="1"/>
  <c r="AV27" i="8"/>
  <c r="DE27" i="8" s="1"/>
  <c r="AT27" i="8"/>
  <c r="DC27" i="8" s="1"/>
  <c r="BA27" i="8"/>
  <c r="DJ27" i="8" s="1"/>
  <c r="AS27" i="8"/>
  <c r="DB27" i="8" s="1"/>
  <c r="BV26" i="8"/>
  <c r="BW26" i="8"/>
  <c r="BI26" i="8"/>
  <c r="AI27" i="8"/>
  <c r="CR27" i="8" s="1"/>
  <c r="AX27" i="8"/>
  <c r="DG27" i="8" s="1"/>
  <c r="AW27" i="8"/>
  <c r="DF27" i="8" s="1"/>
  <c r="AJ27" i="8"/>
  <c r="CS27" i="8" s="1"/>
  <c r="BL26" i="8"/>
  <c r="BN26" i="3"/>
  <c r="AQ27" i="8"/>
  <c r="CZ27" i="8" s="1"/>
  <c r="BE27" i="8"/>
  <c r="DN27" i="8" s="1"/>
  <c r="BS26" i="8"/>
  <c r="AD27" i="8"/>
  <c r="CM27" i="8" s="1"/>
  <c r="AH27" i="8"/>
  <c r="CQ27" i="8" s="1"/>
  <c r="BF27" i="8"/>
  <c r="AF27" i="8"/>
  <c r="CO27" i="8" s="1"/>
  <c r="AE27" i="8"/>
  <c r="CN27" i="8" s="1"/>
  <c r="BG26" i="8"/>
  <c r="AM27" i="8"/>
  <c r="CV27" i="8" s="1"/>
  <c r="BH26" i="8"/>
  <c r="CB26" i="8"/>
  <c r="BM26" i="8"/>
  <c r="CE26" i="3"/>
  <c r="BB27" i="3"/>
  <c r="DK27" i="3" s="1"/>
  <c r="BT26" i="8"/>
  <c r="CI26" i="8"/>
  <c r="CB26" i="6"/>
  <c r="CK25" i="6"/>
  <c r="CL25" i="6" s="1"/>
  <c r="AZ27" i="6"/>
  <c r="DI27" i="6" s="1"/>
  <c r="BE27" i="6"/>
  <c r="DN27" i="6" s="1"/>
  <c r="BD27" i="6"/>
  <c r="DM27" i="6" s="1"/>
  <c r="AV27" i="6"/>
  <c r="DE27" i="6" s="1"/>
  <c r="AT27" i="6"/>
  <c r="DC27" i="6" s="1"/>
  <c r="AR27" i="6"/>
  <c r="DA27" i="6" s="1"/>
  <c r="BA27" i="6"/>
  <c r="DJ27" i="6" s="1"/>
  <c r="AS27" i="6"/>
  <c r="DB27" i="6" s="1"/>
  <c r="BV26" i="6"/>
  <c r="BW26" i="6"/>
  <c r="BU27" i="6"/>
  <c r="CC26" i="6"/>
  <c r="BX26" i="6"/>
  <c r="AY27" i="6"/>
  <c r="DH27" i="6" s="1"/>
  <c r="BZ26" i="6"/>
  <c r="BK27" i="6"/>
  <c r="BO27" i="6"/>
  <c r="CJ26" i="6"/>
  <c r="DO26" i="6"/>
  <c r="DP26" i="6" s="1"/>
  <c r="DQ26" i="6" s="1"/>
  <c r="CE26" i="6"/>
  <c r="BP27" i="6"/>
  <c r="AQ28" i="6"/>
  <c r="CZ28" i="6" s="1"/>
  <c r="BS27" i="6"/>
  <c r="CH26" i="6"/>
  <c r="BC27" i="6"/>
  <c r="DL27" i="6" s="1"/>
  <c r="AP28" i="6"/>
  <c r="CY28" i="6" s="1"/>
  <c r="AN28" i="6"/>
  <c r="CW28" i="6" s="1"/>
  <c r="BQ27" i="6"/>
  <c r="DO26" i="5"/>
  <c r="DP26" i="5" s="1"/>
  <c r="DQ26" i="5" s="1"/>
  <c r="AW27" i="6"/>
  <c r="AU27" i="6"/>
  <c r="DD27" i="6" s="1"/>
  <c r="BG26" i="6"/>
  <c r="AW27" i="3"/>
  <c r="DF27" i="3" s="1"/>
  <c r="CO25" i="2"/>
  <c r="AJ27" i="3"/>
  <c r="CS27" i="3" s="1"/>
  <c r="CC26" i="4"/>
  <c r="BE27" i="5"/>
  <c r="DN27" i="5" s="1"/>
  <c r="AX27" i="6"/>
  <c r="CG26" i="6"/>
  <c r="BI27" i="6"/>
  <c r="CK25" i="5"/>
  <c r="CL25" i="5" s="1"/>
  <c r="AG26" i="2"/>
  <c r="CP26" i="2" s="1"/>
  <c r="BT27" i="6"/>
  <c r="BF27" i="6"/>
  <c r="BM27" i="6"/>
  <c r="AM28" i="6"/>
  <c r="CV28" i="6" s="1"/>
  <c r="AH28" i="6"/>
  <c r="CQ28" i="6" s="1"/>
  <c r="AE28" i="6"/>
  <c r="CN28" i="6" s="1"/>
  <c r="AD28" i="6"/>
  <c r="CM28" i="6" s="1"/>
  <c r="AF28" i="6"/>
  <c r="CO28" i="6" s="1"/>
  <c r="BH27" i="6"/>
  <c r="BY26" i="6"/>
  <c r="BP26" i="3"/>
  <c r="CG26" i="5"/>
  <c r="BB27" i="6"/>
  <c r="AL28" i="6"/>
  <c r="CU28" i="6" s="1"/>
  <c r="BN27" i="6"/>
  <c r="AO28" i="6"/>
  <c r="CX28" i="6" s="1"/>
  <c r="AG28" i="6"/>
  <c r="CP28" i="6" s="1"/>
  <c r="AK28" i="6"/>
  <c r="CT28" i="6" s="1"/>
  <c r="BJ27" i="6"/>
  <c r="AF26" i="2"/>
  <c r="BJ26" i="2" s="1"/>
  <c r="BR27" i="6"/>
  <c r="AI28" i="6"/>
  <c r="CR28" i="6" s="1"/>
  <c r="AJ28" i="6"/>
  <c r="CS28" i="6" s="1"/>
  <c r="BL27" i="6"/>
  <c r="BC27" i="5"/>
  <c r="DL27" i="5" s="1"/>
  <c r="AW27" i="5"/>
  <c r="DF27" i="5" s="1"/>
  <c r="BD27" i="5"/>
  <c r="DM27" i="5" s="1"/>
  <c r="CD26" i="5"/>
  <c r="BG26" i="5"/>
  <c r="CC26" i="5"/>
  <c r="BK27" i="5"/>
  <c r="CB26" i="3"/>
  <c r="BT27" i="5"/>
  <c r="CA26" i="3"/>
  <c r="BD27" i="4"/>
  <c r="DM27" i="4" s="1"/>
  <c r="AY27" i="5"/>
  <c r="DH27" i="5" s="1"/>
  <c r="AH28" i="5"/>
  <c r="CQ28" i="5" s="1"/>
  <c r="AF28" i="5"/>
  <c r="CO28" i="5" s="1"/>
  <c r="AD28" i="5"/>
  <c r="CM28" i="5" s="1"/>
  <c r="AM28" i="5"/>
  <c r="CV28" i="5" s="1"/>
  <c r="AE28" i="5"/>
  <c r="CN28" i="5" s="1"/>
  <c r="BH27" i="5"/>
  <c r="BR27" i="5"/>
  <c r="CE26" i="5"/>
  <c r="AL27" i="3"/>
  <c r="CU27" i="3" s="1"/>
  <c r="BO26" i="3"/>
  <c r="CG26" i="4"/>
  <c r="AX27" i="4"/>
  <c r="DG27" i="4" s="1"/>
  <c r="CB26" i="4"/>
  <c r="BW26" i="5"/>
  <c r="BO27" i="5"/>
  <c r="BI27" i="5"/>
  <c r="BB27" i="5"/>
  <c r="DK27" i="5" s="1"/>
  <c r="AQ28" i="5"/>
  <c r="CZ28" i="5" s="1"/>
  <c r="BS27" i="5"/>
  <c r="BF27" i="5"/>
  <c r="BT26" i="3"/>
  <c r="BE27" i="4"/>
  <c r="DN27" i="4" s="1"/>
  <c r="AO27" i="3"/>
  <c r="CX27" i="3" s="1"/>
  <c r="CD27" i="5"/>
  <c r="BF27" i="4"/>
  <c r="DO27" i="4" s="1"/>
  <c r="CD26" i="4"/>
  <c r="BP27" i="5"/>
  <c r="AY27" i="4"/>
  <c r="DH27" i="4" s="1"/>
  <c r="BC27" i="4"/>
  <c r="DL27" i="4" s="1"/>
  <c r="BZ26" i="5"/>
  <c r="AG28" i="5"/>
  <c r="CP28" i="5" s="1"/>
  <c r="AO28" i="5"/>
  <c r="CX28" i="5" s="1"/>
  <c r="AK28" i="5"/>
  <c r="CT28" i="5" s="1"/>
  <c r="BJ27" i="5"/>
  <c r="BA27" i="3"/>
  <c r="DJ27" i="3" s="1"/>
  <c r="BA27" i="5"/>
  <c r="DJ27" i="5" s="1"/>
  <c r="AV27" i="5"/>
  <c r="DE27" i="5" s="1"/>
  <c r="AR27" i="5"/>
  <c r="DA27" i="5" s="1"/>
  <c r="AS27" i="5"/>
  <c r="DB27" i="5" s="1"/>
  <c r="AT27" i="5"/>
  <c r="DC27" i="5" s="1"/>
  <c r="BV26" i="5"/>
  <c r="AK27" i="3"/>
  <c r="CT27" i="3" s="1"/>
  <c r="AZ27" i="4"/>
  <c r="DI27" i="4" s="1"/>
  <c r="AX27" i="5"/>
  <c r="DG27" i="5" s="1"/>
  <c r="CA26" i="5"/>
  <c r="BG26" i="4"/>
  <c r="AL28" i="5"/>
  <c r="CU28" i="5" s="1"/>
  <c r="BN27" i="5"/>
  <c r="AP28" i="5"/>
  <c r="CY28" i="5" s="1"/>
  <c r="AN28" i="5"/>
  <c r="CW28" i="5" s="1"/>
  <c r="BQ27" i="5"/>
  <c r="BX26" i="5"/>
  <c r="AV27" i="3"/>
  <c r="DE27" i="3" s="1"/>
  <c r="BZ26" i="3"/>
  <c r="BU27" i="5"/>
  <c r="BM27" i="5"/>
  <c r="BY27" i="5"/>
  <c r="AJ28" i="5"/>
  <c r="CS28" i="5" s="1"/>
  <c r="AI28" i="5"/>
  <c r="CR28" i="5" s="1"/>
  <c r="BL27" i="5"/>
  <c r="CJ26" i="3"/>
  <c r="DO26" i="3"/>
  <c r="BU26" i="3"/>
  <c r="CZ26" i="3"/>
  <c r="BC27" i="3"/>
  <c r="DL27" i="3" s="1"/>
  <c r="DI26" i="3"/>
  <c r="CI26" i="3"/>
  <c r="DN26" i="3"/>
  <c r="CC26" i="3"/>
  <c r="DH26" i="3"/>
  <c r="AQ28" i="4"/>
  <c r="CZ28" i="4" s="1"/>
  <c r="BS27" i="4"/>
  <c r="BX27" i="4"/>
  <c r="BU27" i="4"/>
  <c r="BR27" i="4"/>
  <c r="CE27" i="4"/>
  <c r="CH27" i="4"/>
  <c r="AP27" i="3"/>
  <c r="CY27" i="3" s="1"/>
  <c r="DP26" i="4"/>
  <c r="BI27" i="4"/>
  <c r="AU28" i="4"/>
  <c r="DD28" i="4" s="1"/>
  <c r="AO28" i="4"/>
  <c r="CX28" i="4" s="1"/>
  <c r="AG28" i="4"/>
  <c r="CP28" i="4" s="1"/>
  <c r="AK28" i="4"/>
  <c r="CT28" i="4" s="1"/>
  <c r="BJ27" i="4"/>
  <c r="BZ27" i="4"/>
  <c r="BP27" i="4"/>
  <c r="BT27" i="4"/>
  <c r="AT26" i="2"/>
  <c r="DD25" i="2"/>
  <c r="AI28" i="4"/>
  <c r="CR28" i="4" s="1"/>
  <c r="AW28" i="4"/>
  <c r="DF28" i="4" s="1"/>
  <c r="AJ28" i="4"/>
  <c r="CS28" i="4" s="1"/>
  <c r="BL27" i="4"/>
  <c r="BY27" i="4"/>
  <c r="AU26" i="2"/>
  <c r="DD26" i="2" s="1"/>
  <c r="AM28" i="4"/>
  <c r="CV28" i="4" s="1"/>
  <c r="AH28" i="4"/>
  <c r="CQ28" i="4" s="1"/>
  <c r="AF28" i="4"/>
  <c r="CO28" i="4" s="1"/>
  <c r="AE28" i="4"/>
  <c r="CN28" i="4" s="1"/>
  <c r="AD28" i="4"/>
  <c r="CM28" i="4" s="1"/>
  <c r="BH27" i="4"/>
  <c r="AQ27" i="3"/>
  <c r="CZ27" i="3" s="1"/>
  <c r="AP28" i="4"/>
  <c r="CY28" i="4" s="1"/>
  <c r="AN28" i="4"/>
  <c r="CW28" i="4" s="1"/>
  <c r="BB28" i="4"/>
  <c r="DK28" i="4" s="1"/>
  <c r="BQ27" i="4"/>
  <c r="CF27" i="4"/>
  <c r="BM27" i="4"/>
  <c r="BO27" i="4"/>
  <c r="AS28" i="4"/>
  <c r="DB28" i="4" s="1"/>
  <c r="AR28" i="4"/>
  <c r="DA28" i="4" s="1"/>
  <c r="AV28" i="4"/>
  <c r="DE28" i="4" s="1"/>
  <c r="AT28" i="4"/>
  <c r="DC28" i="4" s="1"/>
  <c r="BA28" i="4"/>
  <c r="DJ28" i="4" s="1"/>
  <c r="BV27" i="4"/>
  <c r="BW27" i="4"/>
  <c r="AL28" i="4"/>
  <c r="CU28" i="4" s="1"/>
  <c r="BN27" i="4"/>
  <c r="CA27" i="4"/>
  <c r="BK27" i="4"/>
  <c r="DP25" i="3"/>
  <c r="DQ25" i="3" s="1"/>
  <c r="AZ27" i="3"/>
  <c r="DI27" i="3" s="1"/>
  <c r="BD27" i="3"/>
  <c r="DM27" i="3" s="1"/>
  <c r="AY27" i="3"/>
  <c r="DH27" i="3" s="1"/>
  <c r="CG26" i="3"/>
  <c r="AX27" i="3"/>
  <c r="DG27" i="3" s="1"/>
  <c r="CD26" i="3"/>
  <c r="BF27" i="3"/>
  <c r="BE27" i="3"/>
  <c r="DN27" i="3" s="1"/>
  <c r="CK25" i="3"/>
  <c r="CL25" i="3" s="1"/>
  <c r="CH26" i="3"/>
  <c r="BG26" i="3"/>
  <c r="AF28" i="3"/>
  <c r="CO28" i="3" s="1"/>
  <c r="AH28" i="3"/>
  <c r="CQ28" i="3" s="1"/>
  <c r="AE28" i="3"/>
  <c r="CN28" i="3" s="1"/>
  <c r="AD28" i="3"/>
  <c r="CM28" i="3" s="1"/>
  <c r="AM28" i="3"/>
  <c r="CV28" i="3" s="1"/>
  <c r="BH27" i="3"/>
  <c r="BI27" i="3"/>
  <c r="DF25" i="2"/>
  <c r="CA25" i="2"/>
  <c r="DB26" i="2"/>
  <c r="BW26" i="2"/>
  <c r="AI28" i="3"/>
  <c r="CR28" i="3" s="1"/>
  <c r="BL27" i="3"/>
  <c r="BK27" i="3"/>
  <c r="BQ27" i="3"/>
  <c r="AU28" i="3"/>
  <c r="DD28" i="3" s="1"/>
  <c r="AG28" i="3"/>
  <c r="CP28" i="3" s="1"/>
  <c r="BJ27" i="3"/>
  <c r="AT28" i="3"/>
  <c r="DC28" i="3" s="1"/>
  <c r="AR28" i="3"/>
  <c r="DA28" i="3" s="1"/>
  <c r="BV27" i="3"/>
  <c r="AS28" i="3"/>
  <c r="DB28" i="3" s="1"/>
  <c r="BX27" i="3"/>
  <c r="CN26" i="2"/>
  <c r="BI26" i="2"/>
  <c r="BM27" i="3"/>
  <c r="BY27" i="3"/>
  <c r="BO27" i="3"/>
  <c r="BW27" i="3"/>
  <c r="CT25" i="2"/>
  <c r="BO25" i="2"/>
  <c r="DJ25" i="2"/>
  <c r="CE25" i="2"/>
  <c r="DA26" i="2"/>
  <c r="AS27" i="2"/>
  <c r="AR27" i="2"/>
  <c r="BV27" i="2" s="1"/>
  <c r="AD27" i="2"/>
  <c r="BH27" i="2" s="1"/>
  <c r="AE27" i="2"/>
  <c r="CM26" i="2"/>
  <c r="AW26" i="2"/>
  <c r="CA26" i="2" s="1"/>
  <c r="AH26" i="2"/>
  <c r="BL26" i="2" s="1"/>
  <c r="AM26" i="2"/>
  <c r="BQ26" i="2" s="1"/>
  <c r="AI26" i="2"/>
  <c r="BM26" i="2" s="1"/>
  <c r="AX26" i="2"/>
  <c r="CB26" i="2" s="1"/>
  <c r="BA26" i="2"/>
  <c r="CE26" i="2" s="1"/>
  <c r="AV26" i="2"/>
  <c r="BZ26" i="2" s="1"/>
  <c r="AJ26" i="2"/>
  <c r="BN26" i="2" s="1"/>
  <c r="BF26" i="2"/>
  <c r="AN26" i="2"/>
  <c r="AP26" i="2"/>
  <c r="BT26" i="2" s="1"/>
  <c r="BD26" i="2"/>
  <c r="CH26" i="2" s="1"/>
  <c r="AK26" i="2"/>
  <c r="BO26" i="2" s="1"/>
  <c r="AL26" i="2"/>
  <c r="BP26" i="2" s="1"/>
  <c r="AO26" i="2"/>
  <c r="BS26" i="2" s="1"/>
  <c r="AY26" i="2"/>
  <c r="CC26" i="2" s="1"/>
  <c r="BC26" i="2"/>
  <c r="CG26" i="2" s="1"/>
  <c r="AZ26" i="2"/>
  <c r="CD26" i="2" s="1"/>
  <c r="AQ26" i="2"/>
  <c r="BU26" i="2" s="1"/>
  <c r="BE26" i="2"/>
  <c r="CI26" i="2" s="1"/>
  <c r="BB26" i="2"/>
  <c r="CF26" i="2" s="1"/>
  <c r="CZ25" i="2"/>
  <c r="DE25" i="2"/>
  <c r="DL25" i="2"/>
  <c r="DM25" i="2"/>
  <c r="CJ25" i="2"/>
  <c r="DO25" i="2"/>
  <c r="DH25" i="2"/>
  <c r="CW25" i="2"/>
  <c r="DN25" i="2"/>
  <c r="DI25" i="2"/>
  <c r="DK25" i="2"/>
  <c r="CY25" i="2"/>
  <c r="CQ25" i="2"/>
  <c r="DG25" i="2"/>
  <c r="CX25" i="2"/>
  <c r="DP24" i="2"/>
  <c r="DQ24" i="2" s="1"/>
  <c r="CS25" i="2"/>
  <c r="CU25" i="2"/>
  <c r="CV25" i="2"/>
  <c r="CR25" i="2"/>
  <c r="CK24" i="2"/>
  <c r="CL24" i="2" s="1"/>
  <c r="BG25" i="2"/>
  <c r="CH27" i="6" l="1"/>
  <c r="DQ26" i="4"/>
  <c r="CJ27" i="4"/>
  <c r="BT27" i="3"/>
  <c r="BR27" i="3"/>
  <c r="BN27" i="3"/>
  <c r="AM28" i="8"/>
  <c r="CV28" i="8" s="1"/>
  <c r="BG27" i="8"/>
  <c r="BF28" i="8"/>
  <c r="AH28" i="8"/>
  <c r="CQ28" i="8" s="1"/>
  <c r="AF28" i="8"/>
  <c r="CO28" i="8" s="1"/>
  <c r="AE28" i="8"/>
  <c r="CN28" i="8" s="1"/>
  <c r="AD28" i="8"/>
  <c r="CM28" i="8" s="1"/>
  <c r="BH27" i="8"/>
  <c r="BW27" i="8"/>
  <c r="CD27" i="8"/>
  <c r="BP27" i="8"/>
  <c r="BT27" i="8"/>
  <c r="BZ27" i="8"/>
  <c r="AV28" i="8"/>
  <c r="DE28" i="8" s="1"/>
  <c r="AS28" i="8"/>
  <c r="DB28" i="8" s="1"/>
  <c r="AR28" i="8"/>
  <c r="DA28" i="8" s="1"/>
  <c r="BA28" i="8"/>
  <c r="DJ28" i="8" s="1"/>
  <c r="AT28" i="8"/>
  <c r="DC28" i="8" s="1"/>
  <c r="BV27" i="8"/>
  <c r="BK26" i="2"/>
  <c r="CK26" i="8"/>
  <c r="CL26" i="8" s="1"/>
  <c r="CA27" i="8"/>
  <c r="BI27" i="8"/>
  <c r="AG27" i="2"/>
  <c r="CP27" i="2" s="1"/>
  <c r="AN28" i="3"/>
  <c r="CW28" i="3" s="1"/>
  <c r="CK26" i="4"/>
  <c r="BC28" i="8"/>
  <c r="DL28" i="8" s="1"/>
  <c r="AK28" i="8"/>
  <c r="CT28" i="8" s="1"/>
  <c r="AO28" i="8"/>
  <c r="CX28" i="8" s="1"/>
  <c r="AG28" i="8"/>
  <c r="CP28" i="8" s="1"/>
  <c r="AY28" i="8"/>
  <c r="DH28" i="8" s="1"/>
  <c r="AU28" i="8"/>
  <c r="DD28" i="8" s="1"/>
  <c r="BJ27" i="8"/>
  <c r="CE27" i="8"/>
  <c r="BX27" i="8"/>
  <c r="CC27" i="8"/>
  <c r="AW28" i="6"/>
  <c r="DF28" i="6" s="1"/>
  <c r="AL28" i="8"/>
  <c r="CU28" i="8" s="1"/>
  <c r="AZ28" i="8"/>
  <c r="DI28" i="8" s="1"/>
  <c r="BN27" i="8"/>
  <c r="BB28" i="8"/>
  <c r="DK28" i="8" s="1"/>
  <c r="AN28" i="8"/>
  <c r="CW28" i="8" s="1"/>
  <c r="BD28" i="8"/>
  <c r="DM28" i="8" s="1"/>
  <c r="AP28" i="8"/>
  <c r="CY28" i="8" s="1"/>
  <c r="BQ27" i="8"/>
  <c r="CO26" i="2"/>
  <c r="CG27" i="4"/>
  <c r="DO27" i="8"/>
  <c r="CJ27" i="8"/>
  <c r="CF27" i="3"/>
  <c r="CI27" i="8"/>
  <c r="BR27" i="8"/>
  <c r="BO27" i="8"/>
  <c r="BU27" i="8"/>
  <c r="CH27" i="8"/>
  <c r="BY27" i="8"/>
  <c r="BM27" i="8"/>
  <c r="BB28" i="3"/>
  <c r="DK28" i="3" s="1"/>
  <c r="CE27" i="3"/>
  <c r="AU28" i="6"/>
  <c r="DD28" i="6" s="1"/>
  <c r="AJ28" i="8"/>
  <c r="CS28" i="8" s="1"/>
  <c r="AX28" i="8"/>
  <c r="DG28" i="8" s="1"/>
  <c r="AI28" i="8"/>
  <c r="CR28" i="8" s="1"/>
  <c r="AW28" i="8"/>
  <c r="DF28" i="8" s="1"/>
  <c r="BL27" i="8"/>
  <c r="BK27" i="8"/>
  <c r="BE28" i="8"/>
  <c r="DN28" i="8" s="1"/>
  <c r="AQ28" i="8"/>
  <c r="CZ28" i="8" s="1"/>
  <c r="BS27" i="8"/>
  <c r="CF27" i="8"/>
  <c r="CG27" i="8"/>
  <c r="CI27" i="5"/>
  <c r="CB27" i="8"/>
  <c r="AF27" i="2"/>
  <c r="BJ27" i="2" s="1"/>
  <c r="CA27" i="3"/>
  <c r="CA27" i="5"/>
  <c r="DP26" i="8"/>
  <c r="DQ26" i="8" s="1"/>
  <c r="BE28" i="6"/>
  <c r="DN28" i="6" s="1"/>
  <c r="CK26" i="6"/>
  <c r="CL26" i="6" s="1"/>
  <c r="CD27" i="6"/>
  <c r="CI27" i="6"/>
  <c r="AX28" i="6"/>
  <c r="DG28" i="6" s="1"/>
  <c r="DF27" i="6"/>
  <c r="AY28" i="6"/>
  <c r="DH28" i="6" s="1"/>
  <c r="DG27" i="6"/>
  <c r="BG27" i="6"/>
  <c r="DK27" i="6"/>
  <c r="BC28" i="6"/>
  <c r="DL28" i="6" s="1"/>
  <c r="BO28" i="6"/>
  <c r="BR28" i="6"/>
  <c r="BP27" i="3"/>
  <c r="AK29" i="6"/>
  <c r="CT29" i="6" s="1"/>
  <c r="AG29" i="6"/>
  <c r="CP29" i="6" s="1"/>
  <c r="AO29" i="6"/>
  <c r="CX29" i="6" s="1"/>
  <c r="BJ28" i="6"/>
  <c r="BD28" i="6"/>
  <c r="DM28" i="6" s="1"/>
  <c r="BY28" i="6"/>
  <c r="AH29" i="6"/>
  <c r="CQ29" i="6" s="1"/>
  <c r="AD29" i="6"/>
  <c r="CM29" i="6" s="1"/>
  <c r="AM29" i="6"/>
  <c r="CV29" i="6" s="1"/>
  <c r="AF29" i="6"/>
  <c r="CO29" i="6" s="1"/>
  <c r="AE29" i="6"/>
  <c r="CN29" i="6" s="1"/>
  <c r="BH28" i="6"/>
  <c r="BK28" i="6"/>
  <c r="BI28" i="6"/>
  <c r="BB28" i="6"/>
  <c r="DK28" i="6" s="1"/>
  <c r="AJ29" i="6"/>
  <c r="CS29" i="6" s="1"/>
  <c r="AI29" i="6"/>
  <c r="CR29" i="6" s="1"/>
  <c r="BL28" i="6"/>
  <c r="BT28" i="6"/>
  <c r="CB27" i="6"/>
  <c r="BW27" i="6"/>
  <c r="AQ29" i="6"/>
  <c r="CZ29" i="6" s="1"/>
  <c r="BS28" i="6"/>
  <c r="CG27" i="6"/>
  <c r="CE27" i="6"/>
  <c r="BY26" i="2"/>
  <c r="AL29" i="6"/>
  <c r="CU29" i="6" s="1"/>
  <c r="BN28" i="6"/>
  <c r="AP29" i="6"/>
  <c r="CY29" i="6" s="1"/>
  <c r="AN29" i="6"/>
  <c r="CW29" i="6" s="1"/>
  <c r="BQ28" i="6"/>
  <c r="BF28" i="6"/>
  <c r="BA28" i="6"/>
  <c r="DJ28" i="6" s="1"/>
  <c r="AV28" i="6"/>
  <c r="DE28" i="6" s="1"/>
  <c r="AT28" i="6"/>
  <c r="AS28" i="6"/>
  <c r="DB28" i="6" s="1"/>
  <c r="AR28" i="6"/>
  <c r="DA28" i="6" s="1"/>
  <c r="BV27" i="6"/>
  <c r="CG27" i="3"/>
  <c r="AZ28" i="6"/>
  <c r="DI28" i="6" s="1"/>
  <c r="BX27" i="6"/>
  <c r="BM28" i="6"/>
  <c r="BP28" i="6"/>
  <c r="BZ27" i="6"/>
  <c r="CJ27" i="6"/>
  <c r="DO27" i="6"/>
  <c r="CC27" i="6"/>
  <c r="CF27" i="6"/>
  <c r="AT27" i="2"/>
  <c r="DC27" i="2" s="1"/>
  <c r="BY27" i="6"/>
  <c r="BU28" i="6"/>
  <c r="CA27" i="6"/>
  <c r="CG27" i="5"/>
  <c r="AW28" i="5"/>
  <c r="DF28" i="5" s="1"/>
  <c r="BD28" i="5"/>
  <c r="DM28" i="5" s="1"/>
  <c r="BF28" i="5"/>
  <c r="CJ28" i="5" s="1"/>
  <c r="CK26" i="5"/>
  <c r="CL26" i="5" s="1"/>
  <c r="BE28" i="5"/>
  <c r="DN28" i="5" s="1"/>
  <c r="CH27" i="5"/>
  <c r="AU28" i="5"/>
  <c r="DD28" i="5" s="1"/>
  <c r="DO27" i="5"/>
  <c r="DP27" i="5" s="1"/>
  <c r="DQ27" i="5" s="1"/>
  <c r="CJ27" i="5"/>
  <c r="AI29" i="5"/>
  <c r="CR29" i="5" s="1"/>
  <c r="AJ29" i="5"/>
  <c r="CS29" i="5" s="1"/>
  <c r="BL28" i="5"/>
  <c r="BG27" i="4"/>
  <c r="BR28" i="5"/>
  <c r="CC27" i="5"/>
  <c r="AL29" i="5"/>
  <c r="CU29" i="5" s="1"/>
  <c r="BN28" i="5"/>
  <c r="AV28" i="3"/>
  <c r="DE28" i="3" s="1"/>
  <c r="BF28" i="4"/>
  <c r="DO28" i="4" s="1"/>
  <c r="BE28" i="4"/>
  <c r="DN28" i="4" s="1"/>
  <c r="BB28" i="5"/>
  <c r="DK28" i="5" s="1"/>
  <c r="BW27" i="5"/>
  <c r="CB27" i="5"/>
  <c r="BA28" i="3"/>
  <c r="DJ28" i="3" s="1"/>
  <c r="CD27" i="4"/>
  <c r="BK28" i="5"/>
  <c r="BZ27" i="3"/>
  <c r="AJ28" i="3"/>
  <c r="CS28" i="3" s="1"/>
  <c r="BM28" i="5"/>
  <c r="AU27" i="2"/>
  <c r="DD27" i="2" s="1"/>
  <c r="AW28" i="3"/>
  <c r="DF28" i="3" s="1"/>
  <c r="BX27" i="5"/>
  <c r="BU28" i="5"/>
  <c r="CI27" i="4"/>
  <c r="BC28" i="4"/>
  <c r="DL28" i="4" s="1"/>
  <c r="CB27" i="3"/>
  <c r="BX26" i="2"/>
  <c r="BT28" i="5"/>
  <c r="AO29" i="5"/>
  <c r="CX29" i="5" s="1"/>
  <c r="AK29" i="5"/>
  <c r="CT29" i="5" s="1"/>
  <c r="AG29" i="5"/>
  <c r="CP29" i="5" s="1"/>
  <c r="BJ28" i="5"/>
  <c r="AV28" i="5"/>
  <c r="DE28" i="5" s="1"/>
  <c r="AT28" i="5"/>
  <c r="DC28" i="5" s="1"/>
  <c r="AS28" i="5"/>
  <c r="DB28" i="5" s="1"/>
  <c r="AR28" i="5"/>
  <c r="DA28" i="5" s="1"/>
  <c r="BA28" i="5"/>
  <c r="DJ28" i="5" s="1"/>
  <c r="BV27" i="5"/>
  <c r="DC26" i="2"/>
  <c r="CB27" i="4"/>
  <c r="BP28" i="5"/>
  <c r="CF27" i="5"/>
  <c r="AZ28" i="4"/>
  <c r="DI28" i="4" s="1"/>
  <c r="BI28" i="5"/>
  <c r="AX28" i="4"/>
  <c r="DG28" i="4" s="1"/>
  <c r="BO28" i="5"/>
  <c r="AP29" i="5"/>
  <c r="CY29" i="5" s="1"/>
  <c r="AN29" i="5"/>
  <c r="CW29" i="5" s="1"/>
  <c r="BQ28" i="5"/>
  <c r="AX28" i="5"/>
  <c r="DG28" i="5" s="1"/>
  <c r="AK28" i="3"/>
  <c r="CT28" i="3" s="1"/>
  <c r="BS27" i="3"/>
  <c r="CC27" i="4"/>
  <c r="CE27" i="5"/>
  <c r="AZ28" i="5"/>
  <c r="DI28" i="5" s="1"/>
  <c r="AL28" i="3"/>
  <c r="CU28" i="3" s="1"/>
  <c r="AY28" i="4"/>
  <c r="DH28" i="4" s="1"/>
  <c r="AO28" i="3"/>
  <c r="CX28" i="3" s="1"/>
  <c r="BC28" i="5"/>
  <c r="DL28" i="5" s="1"/>
  <c r="AQ29" i="5"/>
  <c r="CZ29" i="5" s="1"/>
  <c r="BE29" i="5"/>
  <c r="DN29" i="5" s="1"/>
  <c r="BS28" i="5"/>
  <c r="AH29" i="5"/>
  <c r="CQ29" i="5" s="1"/>
  <c r="AE29" i="5"/>
  <c r="CN29" i="5" s="1"/>
  <c r="AM29" i="5"/>
  <c r="CV29" i="5" s="1"/>
  <c r="AF29" i="5"/>
  <c r="CO29" i="5" s="1"/>
  <c r="AD29" i="5"/>
  <c r="CM29" i="5" s="1"/>
  <c r="BH28" i="5"/>
  <c r="BZ27" i="5"/>
  <c r="BD28" i="4"/>
  <c r="DM28" i="4" s="1"/>
  <c r="AY28" i="5"/>
  <c r="DH28" i="5" s="1"/>
  <c r="BG27" i="5"/>
  <c r="CC27" i="3"/>
  <c r="BC28" i="3"/>
  <c r="DL28" i="3" s="1"/>
  <c r="CH27" i="3"/>
  <c r="CD27" i="3"/>
  <c r="AY28" i="3"/>
  <c r="DH28" i="3" s="1"/>
  <c r="CJ27" i="3"/>
  <c r="DO27" i="3"/>
  <c r="DP27" i="3" s="1"/>
  <c r="DQ27" i="3" s="1"/>
  <c r="BT28" i="4"/>
  <c r="BZ28" i="4"/>
  <c r="AL29" i="4"/>
  <c r="CU29" i="4" s="1"/>
  <c r="BN28" i="4"/>
  <c r="AK29" i="4"/>
  <c r="CT29" i="4" s="1"/>
  <c r="AU29" i="4"/>
  <c r="DD29" i="4" s="1"/>
  <c r="AO29" i="4"/>
  <c r="CX29" i="4" s="1"/>
  <c r="AG29" i="4"/>
  <c r="CP29" i="4" s="1"/>
  <c r="BJ28" i="4"/>
  <c r="CA28" i="4"/>
  <c r="BO28" i="4"/>
  <c r="BK28" i="4"/>
  <c r="AQ29" i="4"/>
  <c r="CZ29" i="4" s="1"/>
  <c r="BS28" i="4"/>
  <c r="BR28" i="4"/>
  <c r="AM29" i="4"/>
  <c r="CV29" i="4" s="1"/>
  <c r="AD29" i="4"/>
  <c r="CM29" i="4" s="1"/>
  <c r="AE29" i="4"/>
  <c r="CN29" i="4" s="1"/>
  <c r="AF29" i="4"/>
  <c r="CO29" i="4" s="1"/>
  <c r="AH29" i="4"/>
  <c r="CQ29" i="4" s="1"/>
  <c r="BH28" i="4"/>
  <c r="BM28" i="4"/>
  <c r="AX28" i="3"/>
  <c r="DG28" i="3" s="1"/>
  <c r="AN29" i="4"/>
  <c r="CW29" i="4" s="1"/>
  <c r="BB29" i="4"/>
  <c r="DK29" i="4" s="1"/>
  <c r="AP29" i="4"/>
  <c r="CY29" i="4" s="1"/>
  <c r="BQ28" i="4"/>
  <c r="BY28" i="4"/>
  <c r="BW28" i="4"/>
  <c r="AP28" i="3"/>
  <c r="CY28" i="3" s="1"/>
  <c r="BP28" i="4"/>
  <c r="DP27" i="4"/>
  <c r="DQ27" i="4" s="1"/>
  <c r="AI29" i="4"/>
  <c r="CR29" i="4" s="1"/>
  <c r="AW29" i="4"/>
  <c r="DF29" i="4" s="1"/>
  <c r="AJ29" i="4"/>
  <c r="CS29" i="4" s="1"/>
  <c r="BL28" i="4"/>
  <c r="CE28" i="4"/>
  <c r="BI28" i="4"/>
  <c r="BU28" i="4"/>
  <c r="BU27" i="3"/>
  <c r="AQ28" i="3"/>
  <c r="CZ28" i="3" s="1"/>
  <c r="CF28" i="4"/>
  <c r="BX28" i="4"/>
  <c r="BA29" i="4"/>
  <c r="DJ29" i="4" s="1"/>
  <c r="AT29" i="4"/>
  <c r="DC29" i="4" s="1"/>
  <c r="AV29" i="4"/>
  <c r="DE29" i="4" s="1"/>
  <c r="AS29" i="4"/>
  <c r="DB29" i="4" s="1"/>
  <c r="AR29" i="4"/>
  <c r="DA29" i="4" s="1"/>
  <c r="BV28" i="4"/>
  <c r="DP26" i="3"/>
  <c r="DQ26" i="3" s="1"/>
  <c r="CK26" i="3"/>
  <c r="CL26" i="3" s="1"/>
  <c r="AZ28" i="3"/>
  <c r="DI28" i="3" s="1"/>
  <c r="BE28" i="3"/>
  <c r="DN28" i="3" s="1"/>
  <c r="BG27" i="3"/>
  <c r="BD28" i="3"/>
  <c r="BF28" i="3"/>
  <c r="DO28" i="3" s="1"/>
  <c r="CI27" i="3"/>
  <c r="BI28" i="3"/>
  <c r="CN27" i="2"/>
  <c r="BI27" i="2"/>
  <c r="CW26" i="2"/>
  <c r="BR26" i="2"/>
  <c r="DB27" i="2"/>
  <c r="BW27" i="2"/>
  <c r="BQ28" i="3"/>
  <c r="AF29" i="3"/>
  <c r="CO29" i="3" s="1"/>
  <c r="AE29" i="3"/>
  <c r="CN29" i="3" s="1"/>
  <c r="AD29" i="3"/>
  <c r="CM29" i="3" s="1"/>
  <c r="BH28" i="3"/>
  <c r="AM29" i="3"/>
  <c r="CV29" i="3" s="1"/>
  <c r="AH29" i="3"/>
  <c r="CQ29" i="3" s="1"/>
  <c r="AI29" i="3"/>
  <c r="CR29" i="3" s="1"/>
  <c r="BL28" i="3"/>
  <c r="BY28" i="3"/>
  <c r="BM28" i="3"/>
  <c r="BK27" i="2"/>
  <c r="AT29" i="3"/>
  <c r="DC29" i="3" s="1"/>
  <c r="AS29" i="3"/>
  <c r="DB29" i="3" s="1"/>
  <c r="AR29" i="3"/>
  <c r="DA29" i="3" s="1"/>
  <c r="BV28" i="3"/>
  <c r="BW28" i="3"/>
  <c r="BK28" i="3"/>
  <c r="AU29" i="3"/>
  <c r="DD29" i="3" s="1"/>
  <c r="AG29" i="3"/>
  <c r="CP29" i="3" s="1"/>
  <c r="BJ28" i="3"/>
  <c r="BX28" i="3"/>
  <c r="CV26" i="2"/>
  <c r="DA27" i="2"/>
  <c r="AS28" i="2"/>
  <c r="AR28" i="2"/>
  <c r="BV28" i="2" s="1"/>
  <c r="AD28" i="2"/>
  <c r="BH28" i="2" s="1"/>
  <c r="CM27" i="2"/>
  <c r="AE28" i="2"/>
  <c r="AW27" i="2"/>
  <c r="CA27" i="2" s="1"/>
  <c r="AQ27" i="2"/>
  <c r="BU27" i="2" s="1"/>
  <c r="BE27" i="2"/>
  <c r="CI27" i="2" s="1"/>
  <c r="BB27" i="2"/>
  <c r="CF27" i="2" s="1"/>
  <c r="BC27" i="2"/>
  <c r="CG27" i="2" s="1"/>
  <c r="AO27" i="2"/>
  <c r="BS27" i="2" s="1"/>
  <c r="AK27" i="2"/>
  <c r="BO27" i="2" s="1"/>
  <c r="AZ27" i="2"/>
  <c r="CD27" i="2" s="1"/>
  <c r="AL27" i="2"/>
  <c r="BP27" i="2" s="1"/>
  <c r="AY27" i="2"/>
  <c r="CC27" i="2" s="1"/>
  <c r="AN27" i="2"/>
  <c r="BR27" i="2" s="1"/>
  <c r="BD27" i="2"/>
  <c r="CH27" i="2" s="1"/>
  <c r="AP27" i="2"/>
  <c r="AM27" i="2"/>
  <c r="BQ27" i="2" s="1"/>
  <c r="AH27" i="2"/>
  <c r="BL27" i="2" s="1"/>
  <c r="AI27" i="2"/>
  <c r="BM27" i="2" s="1"/>
  <c r="BF27" i="2"/>
  <c r="AX27" i="2"/>
  <c r="CB27" i="2" s="1"/>
  <c r="AJ27" i="2"/>
  <c r="BN27" i="2" s="1"/>
  <c r="BA27" i="2"/>
  <c r="AV27" i="2"/>
  <c r="BZ27" i="2" s="1"/>
  <c r="DK26" i="2"/>
  <c r="DI26" i="2"/>
  <c r="DM26" i="2"/>
  <c r="CY26" i="2"/>
  <c r="DN26" i="2"/>
  <c r="DJ26" i="2"/>
  <c r="CR26" i="2"/>
  <c r="CX26" i="2"/>
  <c r="CJ26" i="2"/>
  <c r="DO26" i="2"/>
  <c r="DP25" i="2"/>
  <c r="DQ25" i="2" s="1"/>
  <c r="CT26" i="2"/>
  <c r="DF26" i="2"/>
  <c r="DH26" i="2"/>
  <c r="CZ26" i="2"/>
  <c r="DE26" i="2"/>
  <c r="CU26" i="2"/>
  <c r="CQ26" i="2"/>
  <c r="CS26" i="2"/>
  <c r="DL26" i="2"/>
  <c r="DG26" i="2"/>
  <c r="BG26" i="2"/>
  <c r="CK25" i="2"/>
  <c r="CL25" i="2" s="1"/>
  <c r="CA28" i="6" l="1"/>
  <c r="DO28" i="5"/>
  <c r="AG28" i="2"/>
  <c r="CO27" i="2"/>
  <c r="CL26" i="4"/>
  <c r="AN29" i="3"/>
  <c r="CW29" i="3" s="1"/>
  <c r="CG28" i="3"/>
  <c r="BR28" i="3"/>
  <c r="CF28" i="3"/>
  <c r="BU28" i="8"/>
  <c r="BT28" i="8"/>
  <c r="CC28" i="8"/>
  <c r="CF28" i="8"/>
  <c r="BI28" i="8"/>
  <c r="BS28" i="3"/>
  <c r="BM28" i="8"/>
  <c r="BW28" i="8"/>
  <c r="CB28" i="8"/>
  <c r="CG28" i="8"/>
  <c r="BZ28" i="8"/>
  <c r="DO28" i="8"/>
  <c r="CJ28" i="8"/>
  <c r="CI28" i="8"/>
  <c r="AW29" i="3"/>
  <c r="DF29" i="3" s="1"/>
  <c r="BR28" i="8"/>
  <c r="AH29" i="8"/>
  <c r="CQ29" i="8" s="1"/>
  <c r="AE29" i="8"/>
  <c r="CN29" i="8" s="1"/>
  <c r="AD29" i="8"/>
  <c r="CM29" i="8" s="1"/>
  <c r="BF29" i="8"/>
  <c r="BG28" i="8"/>
  <c r="AM29" i="8"/>
  <c r="CV29" i="8" s="1"/>
  <c r="AF29" i="8"/>
  <c r="CO29" i="8" s="1"/>
  <c r="BH28" i="8"/>
  <c r="AV29" i="8"/>
  <c r="DE29" i="8" s="1"/>
  <c r="AS29" i="8"/>
  <c r="DB29" i="8" s="1"/>
  <c r="BA29" i="8"/>
  <c r="DJ29" i="8" s="1"/>
  <c r="AT29" i="8"/>
  <c r="DC29" i="8" s="1"/>
  <c r="AR29" i="8"/>
  <c r="DA29" i="8" s="1"/>
  <c r="BV28" i="8"/>
  <c r="AL29" i="8"/>
  <c r="CU29" i="8" s="1"/>
  <c r="AZ29" i="8"/>
  <c r="DI29" i="8" s="1"/>
  <c r="BN28" i="8"/>
  <c r="BP28" i="8"/>
  <c r="BX28" i="8"/>
  <c r="CE28" i="8"/>
  <c r="BB29" i="6"/>
  <c r="DK29" i="6" s="1"/>
  <c r="CC28" i="6"/>
  <c r="AG29" i="8"/>
  <c r="CP29" i="8" s="1"/>
  <c r="AY29" i="8"/>
  <c r="DH29" i="8" s="1"/>
  <c r="AU29" i="8"/>
  <c r="DD29" i="8" s="1"/>
  <c r="AO29" i="8"/>
  <c r="CX29" i="8" s="1"/>
  <c r="AK29" i="8"/>
  <c r="CT29" i="8" s="1"/>
  <c r="BC29" i="8"/>
  <c r="DL29" i="8" s="1"/>
  <c r="BJ28" i="8"/>
  <c r="CK27" i="4"/>
  <c r="CL27" i="4" s="1"/>
  <c r="CB28" i="6"/>
  <c r="BO28" i="8"/>
  <c r="CD28" i="4"/>
  <c r="BX27" i="2"/>
  <c r="CJ28" i="4"/>
  <c r="DP27" i="8"/>
  <c r="DQ27" i="8" s="1"/>
  <c r="CA28" i="3"/>
  <c r="CI28" i="6"/>
  <c r="BY28" i="8"/>
  <c r="BN28" i="3"/>
  <c r="CH28" i="8"/>
  <c r="CK27" i="8"/>
  <c r="CL27" i="8" s="1"/>
  <c r="CA28" i="8"/>
  <c r="BK28" i="8"/>
  <c r="BE29" i="8"/>
  <c r="DN29" i="8" s="1"/>
  <c r="AQ29" i="8"/>
  <c r="CZ29" i="8" s="1"/>
  <c r="BS28" i="8"/>
  <c r="CD28" i="8"/>
  <c r="AX29" i="8"/>
  <c r="DG29" i="8" s="1"/>
  <c r="AW29" i="8"/>
  <c r="DF29" i="8" s="1"/>
  <c r="AJ29" i="8"/>
  <c r="CS29" i="8" s="1"/>
  <c r="AI29" i="8"/>
  <c r="CR29" i="8" s="1"/>
  <c r="BL28" i="8"/>
  <c r="AF28" i="2"/>
  <c r="BJ28" i="2" s="1"/>
  <c r="DP27" i="6"/>
  <c r="DQ27" i="6" s="1"/>
  <c r="AP29" i="8"/>
  <c r="CY29" i="8" s="1"/>
  <c r="BD29" i="8"/>
  <c r="DM29" i="8" s="1"/>
  <c r="BB29" i="8"/>
  <c r="DK29" i="8" s="1"/>
  <c r="AN29" i="8"/>
  <c r="CW29" i="8" s="1"/>
  <c r="BQ28" i="8"/>
  <c r="BE29" i="6"/>
  <c r="DN29" i="6" s="1"/>
  <c r="BC29" i="6"/>
  <c r="DL29" i="6" s="1"/>
  <c r="DC28" i="6"/>
  <c r="CG28" i="6"/>
  <c r="CK27" i="6"/>
  <c r="CL27" i="6" s="1"/>
  <c r="AZ29" i="6"/>
  <c r="DI29" i="6" s="1"/>
  <c r="CG29" i="6"/>
  <c r="AU29" i="6"/>
  <c r="DD29" i="6" s="1"/>
  <c r="BA29" i="6"/>
  <c r="DJ29" i="6" s="1"/>
  <c r="AT29" i="6"/>
  <c r="DC29" i="6" s="1"/>
  <c r="AS29" i="6"/>
  <c r="DB29" i="6" s="1"/>
  <c r="AR29" i="6"/>
  <c r="DA29" i="6" s="1"/>
  <c r="AV29" i="6"/>
  <c r="DE29" i="6" s="1"/>
  <c r="BV28" i="6"/>
  <c r="AY29" i="6"/>
  <c r="BW28" i="6"/>
  <c r="BI29" i="6"/>
  <c r="BX28" i="6"/>
  <c r="BP29" i="6"/>
  <c r="AG30" i="6"/>
  <c r="CP30" i="6" s="1"/>
  <c r="AO30" i="6"/>
  <c r="CX30" i="6" s="1"/>
  <c r="AK30" i="6"/>
  <c r="CT30" i="6" s="1"/>
  <c r="BJ29" i="6"/>
  <c r="BK29" i="6"/>
  <c r="AJ29" i="3"/>
  <c r="CS29" i="3" s="1"/>
  <c r="BZ28" i="6"/>
  <c r="AN30" i="6"/>
  <c r="CW30" i="6" s="1"/>
  <c r="AP30" i="6"/>
  <c r="CY30" i="6" s="1"/>
  <c r="BQ29" i="6"/>
  <c r="BO29" i="6"/>
  <c r="CE28" i="6"/>
  <c r="BF29" i="6"/>
  <c r="AF30" i="6"/>
  <c r="CO30" i="6" s="1"/>
  <c r="AE30" i="6"/>
  <c r="CN30" i="6" s="1"/>
  <c r="AM30" i="6"/>
  <c r="CV30" i="6" s="1"/>
  <c r="AH30" i="6"/>
  <c r="CQ30" i="6" s="1"/>
  <c r="AD30" i="6"/>
  <c r="CM30" i="6" s="1"/>
  <c r="BH29" i="6"/>
  <c r="DO28" i="6"/>
  <c r="CJ28" i="6"/>
  <c r="BM29" i="6"/>
  <c r="AJ30" i="6"/>
  <c r="CS30" i="6" s="1"/>
  <c r="AI30" i="6"/>
  <c r="CR30" i="6" s="1"/>
  <c r="BL29" i="6"/>
  <c r="BG28" i="6"/>
  <c r="BA29" i="3"/>
  <c r="DJ29" i="3" s="1"/>
  <c r="CH28" i="4"/>
  <c r="AW29" i="6"/>
  <c r="AX29" i="6"/>
  <c r="BR29" i="6"/>
  <c r="BU29" i="6"/>
  <c r="AL30" i="6"/>
  <c r="CU30" i="6" s="1"/>
  <c r="BN29" i="6"/>
  <c r="BO28" i="3"/>
  <c r="CF28" i="6"/>
  <c r="CH28" i="6"/>
  <c r="BZ28" i="3"/>
  <c r="CI28" i="5"/>
  <c r="CH28" i="5"/>
  <c r="BD29" i="6"/>
  <c r="DM29" i="6" s="1"/>
  <c r="CC28" i="3"/>
  <c r="BD29" i="4"/>
  <c r="DM29" i="4" s="1"/>
  <c r="CA28" i="5"/>
  <c r="CD28" i="6"/>
  <c r="BT29" i="6"/>
  <c r="AQ30" i="6"/>
  <c r="CZ30" i="6" s="1"/>
  <c r="BS29" i="6"/>
  <c r="CK27" i="5"/>
  <c r="CL27" i="5" s="1"/>
  <c r="BF29" i="5"/>
  <c r="DO29" i="5" s="1"/>
  <c r="BY28" i="5"/>
  <c r="BB29" i="5"/>
  <c r="DK29" i="5" s="1"/>
  <c r="BI29" i="5"/>
  <c r="AY29" i="5"/>
  <c r="DH29" i="5" s="1"/>
  <c r="CC28" i="4"/>
  <c r="AJ30" i="5"/>
  <c r="CS30" i="5" s="1"/>
  <c r="AI30" i="5"/>
  <c r="CR30" i="5" s="1"/>
  <c r="BL29" i="5"/>
  <c r="AU29" i="5"/>
  <c r="DD29" i="5" s="1"/>
  <c r="BM29" i="5"/>
  <c r="AL30" i="5"/>
  <c r="CU30" i="5" s="1"/>
  <c r="BN29" i="5"/>
  <c r="AU28" i="2"/>
  <c r="DD28" i="2" s="1"/>
  <c r="CE28" i="3"/>
  <c r="AV29" i="3"/>
  <c r="DE29" i="3" s="1"/>
  <c r="BP28" i="3"/>
  <c r="BK29" i="5"/>
  <c r="CF28" i="5"/>
  <c r="DP28" i="5"/>
  <c r="DQ28" i="5" s="1"/>
  <c r="BX28" i="5"/>
  <c r="BZ28" i="5"/>
  <c r="AX29" i="4"/>
  <c r="DG29" i="4" s="1"/>
  <c r="AW29" i="5"/>
  <c r="DF29" i="5" s="1"/>
  <c r="CB28" i="5"/>
  <c r="CC28" i="5"/>
  <c r="AO29" i="3"/>
  <c r="CX29" i="3" s="1"/>
  <c r="CG28" i="4"/>
  <c r="CI29" i="5"/>
  <c r="BR29" i="5"/>
  <c r="CD28" i="5"/>
  <c r="AY29" i="4"/>
  <c r="DH29" i="4" s="1"/>
  <c r="BC29" i="5"/>
  <c r="DL29" i="5" s="1"/>
  <c r="BB29" i="3"/>
  <c r="DK29" i="3" s="1"/>
  <c r="BC29" i="4"/>
  <c r="DL29" i="4" s="1"/>
  <c r="BY27" i="2"/>
  <c r="CB28" i="4"/>
  <c r="BU29" i="5"/>
  <c r="BP29" i="5"/>
  <c r="AT28" i="2"/>
  <c r="DC28" i="2" s="1"/>
  <c r="AL29" i="3"/>
  <c r="CU29" i="3" s="1"/>
  <c r="BT29" i="5"/>
  <c r="CE28" i="5"/>
  <c r="AZ29" i="5"/>
  <c r="DI29" i="5" s="1"/>
  <c r="AN30" i="5"/>
  <c r="CW30" i="5" s="1"/>
  <c r="AP30" i="5"/>
  <c r="CY30" i="5" s="1"/>
  <c r="BQ29" i="5"/>
  <c r="BF29" i="4"/>
  <c r="DO29" i="4" s="1"/>
  <c r="BO29" i="5"/>
  <c r="AX29" i="5"/>
  <c r="DG29" i="5" s="1"/>
  <c r="AQ30" i="5"/>
  <c r="CZ30" i="5" s="1"/>
  <c r="BS29" i="5"/>
  <c r="AZ29" i="4"/>
  <c r="DI29" i="4" s="1"/>
  <c r="CG28" i="5"/>
  <c r="AS29" i="5"/>
  <c r="DB29" i="5" s="1"/>
  <c r="AR29" i="5"/>
  <c r="DA29" i="5" s="1"/>
  <c r="BA29" i="5"/>
  <c r="DJ29" i="5" s="1"/>
  <c r="AV29" i="5"/>
  <c r="AT29" i="5"/>
  <c r="DC29" i="5" s="1"/>
  <c r="BV28" i="5"/>
  <c r="AO30" i="5"/>
  <c r="CX30" i="5" s="1"/>
  <c r="AK30" i="5"/>
  <c r="CT30" i="5" s="1"/>
  <c r="AG30" i="5"/>
  <c r="CP30" i="5" s="1"/>
  <c r="BJ29" i="5"/>
  <c r="BG28" i="5"/>
  <c r="AK29" i="3"/>
  <c r="CT29" i="3" s="1"/>
  <c r="BG28" i="4"/>
  <c r="CI28" i="4"/>
  <c r="BE29" i="4"/>
  <c r="DN29" i="4" s="1"/>
  <c r="AM30" i="5"/>
  <c r="CV30" i="5" s="1"/>
  <c r="AF30" i="5"/>
  <c r="CO30" i="5" s="1"/>
  <c r="AD30" i="5"/>
  <c r="CM30" i="5" s="1"/>
  <c r="AH30" i="5"/>
  <c r="CQ30" i="5" s="1"/>
  <c r="AE30" i="5"/>
  <c r="CN30" i="5" s="1"/>
  <c r="BH29" i="5"/>
  <c r="BD29" i="5"/>
  <c r="DM29" i="5" s="1"/>
  <c r="BW28" i="5"/>
  <c r="AY29" i="3"/>
  <c r="DH29" i="3" s="1"/>
  <c r="AP29" i="3"/>
  <c r="CY29" i="3" s="1"/>
  <c r="AQ29" i="3"/>
  <c r="CZ29" i="3" s="1"/>
  <c r="CH28" i="3"/>
  <c r="DM28" i="3"/>
  <c r="DP28" i="3" s="1"/>
  <c r="DQ28" i="3" s="1"/>
  <c r="CI28" i="3"/>
  <c r="BU28" i="3"/>
  <c r="BX29" i="4"/>
  <c r="AI30" i="4"/>
  <c r="CR30" i="4" s="1"/>
  <c r="AW30" i="4"/>
  <c r="DF30" i="4" s="1"/>
  <c r="AJ30" i="4"/>
  <c r="CS30" i="4" s="1"/>
  <c r="BL29" i="4"/>
  <c r="AX29" i="3"/>
  <c r="CE29" i="4"/>
  <c r="AG30" i="4"/>
  <c r="CP30" i="4" s="1"/>
  <c r="AU30" i="4"/>
  <c r="DD30" i="4" s="1"/>
  <c r="AO30" i="4"/>
  <c r="CX30" i="4" s="1"/>
  <c r="AK30" i="4"/>
  <c r="CT30" i="4" s="1"/>
  <c r="BJ29" i="4"/>
  <c r="BZ29" i="4"/>
  <c r="BT28" i="3"/>
  <c r="BI29" i="4"/>
  <c r="BU29" i="4"/>
  <c r="AV30" i="4"/>
  <c r="DE30" i="4" s="1"/>
  <c r="AT30" i="4"/>
  <c r="DC30" i="4" s="1"/>
  <c r="BA30" i="4"/>
  <c r="DJ30" i="4" s="1"/>
  <c r="AS30" i="4"/>
  <c r="DB30" i="4" s="1"/>
  <c r="AR30" i="4"/>
  <c r="DA30" i="4" s="1"/>
  <c r="BV29" i="4"/>
  <c r="CK27" i="3"/>
  <c r="CL27" i="3" s="1"/>
  <c r="BO29" i="4"/>
  <c r="BG28" i="3"/>
  <c r="AH30" i="4"/>
  <c r="CQ30" i="4" s="1"/>
  <c r="AF30" i="4"/>
  <c r="CO30" i="4" s="1"/>
  <c r="AE30" i="4"/>
  <c r="CN30" i="4" s="1"/>
  <c r="AD30" i="4"/>
  <c r="CM30" i="4" s="1"/>
  <c r="AM30" i="4"/>
  <c r="CV30" i="4" s="1"/>
  <c r="BH29" i="4"/>
  <c r="BP29" i="4"/>
  <c r="BM29" i="4"/>
  <c r="BW29" i="4"/>
  <c r="AL30" i="4"/>
  <c r="CU30" i="4" s="1"/>
  <c r="BN29" i="4"/>
  <c r="BT29" i="4"/>
  <c r="AZ29" i="3"/>
  <c r="DI29" i="3" s="1"/>
  <c r="BC29" i="3"/>
  <c r="DL29" i="3" s="1"/>
  <c r="CB28" i="3"/>
  <c r="DP28" i="4"/>
  <c r="DQ28" i="4" s="1"/>
  <c r="BK29" i="4"/>
  <c r="CA29" i="4"/>
  <c r="CF29" i="4"/>
  <c r="BB30" i="4"/>
  <c r="DK30" i="4" s="1"/>
  <c r="AP30" i="4"/>
  <c r="CY30" i="4" s="1"/>
  <c r="AN30" i="4"/>
  <c r="CW30" i="4" s="1"/>
  <c r="BQ29" i="4"/>
  <c r="AQ30" i="4"/>
  <c r="CZ30" i="4" s="1"/>
  <c r="BS29" i="4"/>
  <c r="BR29" i="4"/>
  <c r="BY29" i="4"/>
  <c r="BF29" i="3"/>
  <c r="DO29" i="3" s="1"/>
  <c r="BE29" i="3"/>
  <c r="DN29" i="3" s="1"/>
  <c r="CD28" i="3"/>
  <c r="BD29" i="3"/>
  <c r="DM29" i="3" s="1"/>
  <c r="CJ28" i="3"/>
  <c r="BX29" i="3"/>
  <c r="BM29" i="3"/>
  <c r="CN28" i="2"/>
  <c r="BI28" i="2"/>
  <c r="AG30" i="3"/>
  <c r="CP30" i="3" s="1"/>
  <c r="AU30" i="3"/>
  <c r="DD30" i="3" s="1"/>
  <c r="BJ29" i="3"/>
  <c r="AS30" i="3"/>
  <c r="DB30" i="3" s="1"/>
  <c r="AR30" i="3"/>
  <c r="DA30" i="3" s="1"/>
  <c r="AT30" i="3"/>
  <c r="DC30" i="3" s="1"/>
  <c r="BV29" i="3"/>
  <c r="BW29" i="3"/>
  <c r="BN29" i="3"/>
  <c r="DB28" i="2"/>
  <c r="BW28" i="2"/>
  <c r="BR29" i="3"/>
  <c r="DJ27" i="2"/>
  <c r="CE27" i="2"/>
  <c r="BK29" i="3"/>
  <c r="AI30" i="3"/>
  <c r="CR30" i="3" s="1"/>
  <c r="BL29" i="3"/>
  <c r="CA29" i="3"/>
  <c r="BY29" i="3"/>
  <c r="CC29" i="3"/>
  <c r="AH30" i="3"/>
  <c r="CQ30" i="3" s="1"/>
  <c r="AF30" i="3"/>
  <c r="CO30" i="3" s="1"/>
  <c r="AE30" i="3"/>
  <c r="CN30" i="3" s="1"/>
  <c r="AM30" i="3"/>
  <c r="CV30" i="3" s="1"/>
  <c r="AD30" i="3"/>
  <c r="CM30" i="3" s="1"/>
  <c r="BH29" i="3"/>
  <c r="CY27" i="2"/>
  <c r="BT27" i="2"/>
  <c r="CW27" i="2"/>
  <c r="AN30" i="3"/>
  <c r="CW30" i="3" s="1"/>
  <c r="BQ29" i="3"/>
  <c r="CP28" i="2"/>
  <c r="BK28" i="2"/>
  <c r="BY28" i="2"/>
  <c r="BI29" i="3"/>
  <c r="AS29" i="2"/>
  <c r="AR29" i="2"/>
  <c r="BV29" i="2" s="1"/>
  <c r="DA28" i="2"/>
  <c r="AF29" i="2"/>
  <c r="BJ29" i="2" s="1"/>
  <c r="AE29" i="2"/>
  <c r="CM28" i="2"/>
  <c r="AD29" i="2"/>
  <c r="BH29" i="2" s="1"/>
  <c r="AI28" i="2"/>
  <c r="BM28" i="2" s="1"/>
  <c r="AH28" i="2"/>
  <c r="BL28" i="2" s="1"/>
  <c r="AM28" i="2"/>
  <c r="BQ28" i="2" s="1"/>
  <c r="BF28" i="2"/>
  <c r="AV28" i="2"/>
  <c r="BZ28" i="2" s="1"/>
  <c r="BA28" i="2"/>
  <c r="CE28" i="2" s="1"/>
  <c r="AX28" i="2"/>
  <c r="CB28" i="2" s="1"/>
  <c r="AJ28" i="2"/>
  <c r="BN28" i="2" s="1"/>
  <c r="BE28" i="2"/>
  <c r="CI28" i="2" s="1"/>
  <c r="AQ28" i="2"/>
  <c r="BU28" i="2" s="1"/>
  <c r="AW28" i="2"/>
  <c r="CA28" i="2" s="1"/>
  <c r="AN28" i="2"/>
  <c r="BB28" i="2"/>
  <c r="CF28" i="2" s="1"/>
  <c r="AP28" i="2"/>
  <c r="BT28" i="2" s="1"/>
  <c r="BD28" i="2"/>
  <c r="CH28" i="2" s="1"/>
  <c r="BC28" i="2"/>
  <c r="CG28" i="2" s="1"/>
  <c r="AY28" i="2"/>
  <c r="CC28" i="2" s="1"/>
  <c r="AO28" i="2"/>
  <c r="AK28" i="2"/>
  <c r="BO28" i="2" s="1"/>
  <c r="AZ28" i="2"/>
  <c r="CD28" i="2" s="1"/>
  <c r="AL28" i="2"/>
  <c r="BP28" i="2" s="1"/>
  <c r="CQ27" i="2"/>
  <c r="CZ27" i="2"/>
  <c r="DN27" i="2"/>
  <c r="CU27" i="2"/>
  <c r="DM27" i="2"/>
  <c r="DE27" i="2"/>
  <c r="DH27" i="2"/>
  <c r="DI27" i="2"/>
  <c r="DL27" i="2"/>
  <c r="DG27" i="2"/>
  <c r="CX27" i="2"/>
  <c r="CS27" i="2"/>
  <c r="CK26" i="2"/>
  <c r="CL26" i="2" s="1"/>
  <c r="DP26" i="2"/>
  <c r="DQ26" i="2" s="1"/>
  <c r="CT27" i="2"/>
  <c r="CV27" i="2"/>
  <c r="CJ27" i="2"/>
  <c r="DO27" i="2"/>
  <c r="DK27" i="2"/>
  <c r="DF27" i="2"/>
  <c r="CR27" i="2"/>
  <c r="BG27" i="2"/>
  <c r="DP28" i="6" l="1"/>
  <c r="DQ28" i="6" s="1"/>
  <c r="AG29" i="2"/>
  <c r="CO28" i="2"/>
  <c r="CK28" i="4"/>
  <c r="CL28" i="4" s="1"/>
  <c r="AV30" i="3"/>
  <c r="DE30" i="3" s="1"/>
  <c r="BT29" i="3"/>
  <c r="BA30" i="3"/>
  <c r="DJ30" i="3" s="1"/>
  <c r="AW30" i="3"/>
  <c r="DF30" i="3" s="1"/>
  <c r="CG29" i="8"/>
  <c r="BP29" i="8"/>
  <c r="BY29" i="8"/>
  <c r="BS29" i="3"/>
  <c r="BB30" i="6"/>
  <c r="DK30" i="6" s="1"/>
  <c r="CE29" i="3"/>
  <c r="CF29" i="8"/>
  <c r="CK28" i="8"/>
  <c r="CL28" i="8" s="1"/>
  <c r="CJ29" i="5"/>
  <c r="CH29" i="8"/>
  <c r="AO30" i="8"/>
  <c r="CX30" i="8" s="1"/>
  <c r="AK30" i="8"/>
  <c r="CT30" i="8" s="1"/>
  <c r="AG30" i="8"/>
  <c r="CP30" i="8" s="1"/>
  <c r="BC30" i="8"/>
  <c r="DL30" i="8" s="1"/>
  <c r="AY30" i="8"/>
  <c r="DH30" i="8" s="1"/>
  <c r="AU30" i="8"/>
  <c r="DD30" i="8" s="1"/>
  <c r="BJ29" i="8"/>
  <c r="CD29" i="8"/>
  <c r="BI29" i="8"/>
  <c r="AL30" i="8"/>
  <c r="CU30" i="8" s="1"/>
  <c r="AZ30" i="8"/>
  <c r="DI30" i="8" s="1"/>
  <c r="BN29" i="8"/>
  <c r="CA29" i="8"/>
  <c r="AU29" i="2"/>
  <c r="DD29" i="2" s="1"/>
  <c r="AS30" i="8"/>
  <c r="DB30" i="8" s="1"/>
  <c r="AR30" i="8"/>
  <c r="DA30" i="8" s="1"/>
  <c r="AT30" i="8"/>
  <c r="DC30" i="8" s="1"/>
  <c r="BA30" i="8"/>
  <c r="DJ30" i="8" s="1"/>
  <c r="AV30" i="8"/>
  <c r="DE30" i="8" s="1"/>
  <c r="BV29" i="8"/>
  <c r="CC29" i="8"/>
  <c r="BU29" i="8"/>
  <c r="CI29" i="8"/>
  <c r="BT29" i="8"/>
  <c r="AP30" i="8"/>
  <c r="CY30" i="8" s="1"/>
  <c r="AN30" i="8"/>
  <c r="CW30" i="8" s="1"/>
  <c r="BB30" i="8"/>
  <c r="DK30" i="8" s="1"/>
  <c r="BD30" i="8"/>
  <c r="DM30" i="8" s="1"/>
  <c r="BQ29" i="8"/>
  <c r="BX28" i="2"/>
  <c r="CI29" i="6"/>
  <c r="BM29" i="8"/>
  <c r="BO29" i="8"/>
  <c r="BE30" i="8"/>
  <c r="DN30" i="8" s="1"/>
  <c r="AQ30" i="8"/>
  <c r="CZ30" i="8" s="1"/>
  <c r="BS29" i="8"/>
  <c r="CE29" i="8"/>
  <c r="BW29" i="8"/>
  <c r="BZ29" i="8"/>
  <c r="DP28" i="8"/>
  <c r="DQ28" i="8" s="1"/>
  <c r="BF30" i="8"/>
  <c r="AM30" i="8"/>
  <c r="CV30" i="8" s="1"/>
  <c r="AD30" i="8"/>
  <c r="CM30" i="8" s="1"/>
  <c r="BG29" i="8"/>
  <c r="AH30" i="8"/>
  <c r="CQ30" i="8" s="1"/>
  <c r="AF30" i="8"/>
  <c r="CO30" i="8" s="1"/>
  <c r="AE30" i="8"/>
  <c r="CN30" i="8" s="1"/>
  <c r="BH29" i="8"/>
  <c r="AI30" i="8"/>
  <c r="CR30" i="8" s="1"/>
  <c r="AJ30" i="8"/>
  <c r="CS30" i="8" s="1"/>
  <c r="AX30" i="8"/>
  <c r="DG30" i="8" s="1"/>
  <c r="AW30" i="8"/>
  <c r="DF30" i="8" s="1"/>
  <c r="BL29" i="8"/>
  <c r="CB29" i="8"/>
  <c r="BX29" i="8"/>
  <c r="BK29" i="8"/>
  <c r="CH29" i="4"/>
  <c r="BR29" i="8"/>
  <c r="BU29" i="3"/>
  <c r="CF29" i="6"/>
  <c r="DO29" i="8"/>
  <c r="CJ29" i="8"/>
  <c r="AW30" i="6"/>
  <c r="DF30" i="6" s="1"/>
  <c r="AU30" i="6"/>
  <c r="DD30" i="6" s="1"/>
  <c r="BC30" i="6"/>
  <c r="DL30" i="6" s="1"/>
  <c r="DG29" i="6"/>
  <c r="AY30" i="6"/>
  <c r="DH30" i="6" s="1"/>
  <c r="DH29" i="6"/>
  <c r="BG29" i="6"/>
  <c r="DF29" i="6"/>
  <c r="DP29" i="6" s="1"/>
  <c r="DQ29" i="6" s="1"/>
  <c r="AZ30" i="6"/>
  <c r="DI30" i="6" s="1"/>
  <c r="CK28" i="6"/>
  <c r="CL28" i="6" s="1"/>
  <c r="CD29" i="6"/>
  <c r="CG30" i="6"/>
  <c r="BM30" i="6"/>
  <c r="BI30" i="6"/>
  <c r="BF30" i="4"/>
  <c r="DO30" i="4" s="1"/>
  <c r="AL31" i="6"/>
  <c r="CU31" i="6" s="1"/>
  <c r="BN30" i="6"/>
  <c r="AO31" i="6"/>
  <c r="CX31" i="6" s="1"/>
  <c r="AK31" i="6"/>
  <c r="CT31" i="6" s="1"/>
  <c r="AG31" i="6"/>
  <c r="CP31" i="6" s="1"/>
  <c r="BJ30" i="6"/>
  <c r="CJ29" i="6"/>
  <c r="DO29" i="6"/>
  <c r="BP30" i="6"/>
  <c r="AX30" i="6"/>
  <c r="CH29" i="6"/>
  <c r="CA30" i="6"/>
  <c r="BO30" i="6"/>
  <c r="CC29" i="6"/>
  <c r="AQ31" i="6"/>
  <c r="CZ31" i="6" s="1"/>
  <c r="BS30" i="6"/>
  <c r="BZ29" i="6"/>
  <c r="BY30" i="6"/>
  <c r="AV30" i="6"/>
  <c r="DE30" i="6" s="1"/>
  <c r="AS30" i="6"/>
  <c r="AR30" i="6"/>
  <c r="DA30" i="6" s="1"/>
  <c r="BA30" i="6"/>
  <c r="DJ30" i="6" s="1"/>
  <c r="AT30" i="6"/>
  <c r="BV29" i="6"/>
  <c r="CB29" i="6"/>
  <c r="BT30" i="6"/>
  <c r="BK30" i="6"/>
  <c r="BW29" i="6"/>
  <c r="BU30" i="6"/>
  <c r="BR30" i="6"/>
  <c r="BX29" i="6"/>
  <c r="AO30" i="3"/>
  <c r="CX30" i="3" s="1"/>
  <c r="AW30" i="5"/>
  <c r="DF30" i="5" s="1"/>
  <c r="DE29" i="5"/>
  <c r="DP29" i="5" s="1"/>
  <c r="DQ29" i="5" s="1"/>
  <c r="BE30" i="6"/>
  <c r="DN30" i="6" s="1"/>
  <c r="CA29" i="6"/>
  <c r="BF30" i="6"/>
  <c r="BD30" i="6"/>
  <c r="DM30" i="6" s="1"/>
  <c r="CG29" i="4"/>
  <c r="AM31" i="6"/>
  <c r="CV31" i="6" s="1"/>
  <c r="AH31" i="6"/>
  <c r="CQ31" i="6" s="1"/>
  <c r="AF31" i="6"/>
  <c r="CO31" i="6" s="1"/>
  <c r="AE31" i="6"/>
  <c r="CN31" i="6" s="1"/>
  <c r="AD31" i="6"/>
  <c r="CM31" i="6" s="1"/>
  <c r="BH30" i="6"/>
  <c r="CE29" i="6"/>
  <c r="AT29" i="2"/>
  <c r="AT30" i="2" s="1"/>
  <c r="AJ31" i="6"/>
  <c r="CS31" i="6" s="1"/>
  <c r="AI31" i="6"/>
  <c r="CR31" i="6" s="1"/>
  <c r="BL30" i="6"/>
  <c r="BY29" i="6"/>
  <c r="CF29" i="5"/>
  <c r="AP31" i="6"/>
  <c r="CY31" i="6" s="1"/>
  <c r="AN31" i="6"/>
  <c r="CW31" i="6" s="1"/>
  <c r="BQ30" i="6"/>
  <c r="AY30" i="5"/>
  <c r="DH30" i="5" s="1"/>
  <c r="AX30" i="5"/>
  <c r="DG30" i="5" s="1"/>
  <c r="AU30" i="5"/>
  <c r="DD30" i="5" s="1"/>
  <c r="CK28" i="5"/>
  <c r="CL28" i="5" s="1"/>
  <c r="BF30" i="5"/>
  <c r="DO30" i="5" s="1"/>
  <c r="AI31" i="5"/>
  <c r="CR31" i="5" s="1"/>
  <c r="AJ31" i="5"/>
  <c r="CS31" i="5" s="1"/>
  <c r="BL30" i="5"/>
  <c r="BP30" i="5"/>
  <c r="AQ31" i="5"/>
  <c r="CZ31" i="5" s="1"/>
  <c r="BS30" i="5"/>
  <c r="AH31" i="5"/>
  <c r="CQ31" i="5" s="1"/>
  <c r="AF31" i="5"/>
  <c r="CO31" i="5" s="1"/>
  <c r="AD31" i="5"/>
  <c r="CM31" i="5" s="1"/>
  <c r="AM31" i="5"/>
  <c r="CV31" i="5" s="1"/>
  <c r="AE31" i="5"/>
  <c r="CN31" i="5" s="1"/>
  <c r="BH30" i="5"/>
  <c r="CB29" i="5"/>
  <c r="BM30" i="5"/>
  <c r="AL30" i="3"/>
  <c r="CU30" i="3" s="1"/>
  <c r="CF29" i="3"/>
  <c r="BC30" i="4"/>
  <c r="DL30" i="4" s="1"/>
  <c r="AP30" i="3"/>
  <c r="CY30" i="3" s="1"/>
  <c r="BE30" i="4"/>
  <c r="DN30" i="4" s="1"/>
  <c r="CD29" i="4"/>
  <c r="AN31" i="5"/>
  <c r="CW31" i="5" s="1"/>
  <c r="AP31" i="5"/>
  <c r="CY31" i="5" s="1"/>
  <c r="BQ30" i="5"/>
  <c r="BO30" i="5"/>
  <c r="BI30" i="5"/>
  <c r="CB29" i="4"/>
  <c r="AK31" i="5"/>
  <c r="CT31" i="5" s="1"/>
  <c r="AO31" i="5"/>
  <c r="CX31" i="5" s="1"/>
  <c r="AG31" i="5"/>
  <c r="CP31" i="5" s="1"/>
  <c r="BJ30" i="5"/>
  <c r="BB30" i="3"/>
  <c r="DK30" i="3" s="1"/>
  <c r="AQ30" i="3"/>
  <c r="CZ30" i="3" s="1"/>
  <c r="AJ30" i="3"/>
  <c r="CS30" i="3" s="1"/>
  <c r="BP29" i="3"/>
  <c r="AY30" i="4"/>
  <c r="DH30" i="4" s="1"/>
  <c r="BA30" i="5"/>
  <c r="DJ30" i="5" s="1"/>
  <c r="AV30" i="5"/>
  <c r="DE30" i="5" s="1"/>
  <c r="AT30" i="5"/>
  <c r="AS30" i="5"/>
  <c r="DB30" i="5" s="1"/>
  <c r="AR30" i="5"/>
  <c r="DA30" i="5" s="1"/>
  <c r="BV29" i="5"/>
  <c r="BT30" i="5"/>
  <c r="CC29" i="5"/>
  <c r="BZ29" i="5"/>
  <c r="BD30" i="4"/>
  <c r="DM30" i="4" s="1"/>
  <c r="BW29" i="5"/>
  <c r="CG29" i="5"/>
  <c r="BY29" i="5"/>
  <c r="AZ30" i="4"/>
  <c r="DI30" i="4" s="1"/>
  <c r="CJ29" i="4"/>
  <c r="AL31" i="5"/>
  <c r="CU31" i="5" s="1"/>
  <c r="BN30" i="5"/>
  <c r="CE29" i="5"/>
  <c r="BZ29" i="3"/>
  <c r="BO29" i="3"/>
  <c r="BB30" i="5"/>
  <c r="DK30" i="5" s="1"/>
  <c r="BU30" i="5"/>
  <c r="BG29" i="5"/>
  <c r="BG29" i="4"/>
  <c r="CI29" i="4"/>
  <c r="BD30" i="5"/>
  <c r="DM30" i="5" s="1"/>
  <c r="CD29" i="5"/>
  <c r="AX30" i="4"/>
  <c r="DG30" i="4" s="1"/>
  <c r="CC29" i="4"/>
  <c r="BE30" i="5"/>
  <c r="DN30" i="5" s="1"/>
  <c r="BC30" i="5"/>
  <c r="DL30" i="5" s="1"/>
  <c r="BX29" i="5"/>
  <c r="AK30" i="3"/>
  <c r="CT30" i="3" s="1"/>
  <c r="CH29" i="5"/>
  <c r="BK30" i="5"/>
  <c r="BR30" i="5"/>
  <c r="CA29" i="5"/>
  <c r="AZ30" i="5"/>
  <c r="DI30" i="5" s="1"/>
  <c r="CK28" i="3"/>
  <c r="CL28" i="3" s="1"/>
  <c r="CB29" i="3"/>
  <c r="DG29" i="3"/>
  <c r="DP29" i="3" s="1"/>
  <c r="DQ29" i="3" s="1"/>
  <c r="BE30" i="3"/>
  <c r="DN30" i="3" s="1"/>
  <c r="BD30" i="3"/>
  <c r="DM30" i="3" s="1"/>
  <c r="CH29" i="3"/>
  <c r="CI29" i="3"/>
  <c r="CG29" i="3"/>
  <c r="AX30" i="3"/>
  <c r="DG30" i="3" s="1"/>
  <c r="AO31" i="4"/>
  <c r="CX31" i="4" s="1"/>
  <c r="AU31" i="4"/>
  <c r="DD31" i="4" s="1"/>
  <c r="AG31" i="4"/>
  <c r="CP31" i="4" s="1"/>
  <c r="AK31" i="4"/>
  <c r="CT31" i="4" s="1"/>
  <c r="BJ30" i="4"/>
  <c r="AJ31" i="4"/>
  <c r="CS31" i="4" s="1"/>
  <c r="AW31" i="4"/>
  <c r="DF31" i="4" s="1"/>
  <c r="AI31" i="4"/>
  <c r="CR31" i="4" s="1"/>
  <c r="BL30" i="4"/>
  <c r="BC30" i="3"/>
  <c r="BU30" i="4"/>
  <c r="AZ30" i="3"/>
  <c r="DI30" i="3" s="1"/>
  <c r="BK30" i="4"/>
  <c r="AL31" i="4"/>
  <c r="CU31" i="4" s="1"/>
  <c r="BN30" i="4"/>
  <c r="AY30" i="3"/>
  <c r="CC30" i="3" s="1"/>
  <c r="BR30" i="4"/>
  <c r="DP29" i="4"/>
  <c r="DQ29" i="4" s="1"/>
  <c r="CA30" i="4"/>
  <c r="BZ30" i="4"/>
  <c r="CG30" i="4"/>
  <c r="CB30" i="4"/>
  <c r="BT30" i="4"/>
  <c r="AP31" i="4"/>
  <c r="CY31" i="4" s="1"/>
  <c r="AN31" i="4"/>
  <c r="CW31" i="4" s="1"/>
  <c r="BB31" i="4"/>
  <c r="DK31" i="4" s="1"/>
  <c r="BQ30" i="4"/>
  <c r="AT31" i="4"/>
  <c r="DC31" i="4" s="1"/>
  <c r="AS31" i="4"/>
  <c r="DB31" i="4" s="1"/>
  <c r="AR31" i="4"/>
  <c r="DA31" i="4" s="1"/>
  <c r="AV31" i="4"/>
  <c r="DE31" i="4" s="1"/>
  <c r="BA31" i="4"/>
  <c r="DJ31" i="4" s="1"/>
  <c r="BV30" i="4"/>
  <c r="BM30" i="4"/>
  <c r="CD30" i="4"/>
  <c r="DJ28" i="2"/>
  <c r="CD29" i="3"/>
  <c r="CF30" i="4"/>
  <c r="BW30" i="4"/>
  <c r="BO30" i="4"/>
  <c r="BF30" i="3"/>
  <c r="DO30" i="3" s="1"/>
  <c r="BP30" i="4"/>
  <c r="AD31" i="4"/>
  <c r="CM31" i="4" s="1"/>
  <c r="AM31" i="4"/>
  <c r="CV31" i="4" s="1"/>
  <c r="AH31" i="4"/>
  <c r="CQ31" i="4" s="1"/>
  <c r="AF31" i="4"/>
  <c r="CO31" i="4" s="1"/>
  <c r="AE31" i="4"/>
  <c r="CN31" i="4" s="1"/>
  <c r="BH30" i="4"/>
  <c r="CE30" i="4"/>
  <c r="AQ31" i="4"/>
  <c r="CZ31" i="4" s="1"/>
  <c r="BS30" i="4"/>
  <c r="BI30" i="4"/>
  <c r="BX30" i="4"/>
  <c r="BY30" i="4"/>
  <c r="CJ29" i="3"/>
  <c r="BG29" i="3"/>
  <c r="CN29" i="2"/>
  <c r="BI29" i="2"/>
  <c r="BR30" i="3"/>
  <c r="AF31" i="3"/>
  <c r="CO31" i="3" s="1"/>
  <c r="AE31" i="3"/>
  <c r="CN31" i="3" s="1"/>
  <c r="BH30" i="3"/>
  <c r="AH31" i="3"/>
  <c r="CQ31" i="3" s="1"/>
  <c r="AD31" i="3"/>
  <c r="CM31" i="3" s="1"/>
  <c r="AM31" i="3"/>
  <c r="CV31" i="3" s="1"/>
  <c r="DB29" i="2"/>
  <c r="BW29" i="2"/>
  <c r="AN31" i="3"/>
  <c r="CW31" i="3" s="1"/>
  <c r="BQ30" i="3"/>
  <c r="BM30" i="3"/>
  <c r="BX30" i="3"/>
  <c r="CW28" i="2"/>
  <c r="BR28" i="2"/>
  <c r="BK30" i="3"/>
  <c r="BZ30" i="3"/>
  <c r="AG31" i="3"/>
  <c r="CP31" i="3" s="1"/>
  <c r="AU31" i="3"/>
  <c r="DD31" i="3" s="1"/>
  <c r="BJ30" i="3"/>
  <c r="BW30" i="3"/>
  <c r="CX28" i="2"/>
  <c r="BS28" i="2"/>
  <c r="AI31" i="3"/>
  <c r="CR31" i="3" s="1"/>
  <c r="BL30" i="3"/>
  <c r="BI30" i="3"/>
  <c r="BY30" i="3"/>
  <c r="CP29" i="2"/>
  <c r="BK29" i="2"/>
  <c r="AT31" i="3"/>
  <c r="DC31" i="3" s="1"/>
  <c r="AS31" i="3"/>
  <c r="DB31" i="3" s="1"/>
  <c r="AR31" i="3"/>
  <c r="DA31" i="3" s="1"/>
  <c r="BV30" i="3"/>
  <c r="AF30" i="2"/>
  <c r="BJ30" i="2" s="1"/>
  <c r="CM29" i="2"/>
  <c r="AD30" i="2"/>
  <c r="BH30" i="2" s="1"/>
  <c r="AE30" i="2"/>
  <c r="AR30" i="2"/>
  <c r="BV30" i="2" s="1"/>
  <c r="DA29" i="2"/>
  <c r="AS30" i="2"/>
  <c r="CO29" i="2"/>
  <c r="AG30" i="2"/>
  <c r="AW29" i="2"/>
  <c r="CA29" i="2" s="1"/>
  <c r="AN29" i="2"/>
  <c r="BR29" i="2" s="1"/>
  <c r="BB29" i="2"/>
  <c r="CF29" i="2" s="1"/>
  <c r="AP29" i="2"/>
  <c r="BT29" i="2" s="1"/>
  <c r="BD29" i="2"/>
  <c r="CH29" i="2" s="1"/>
  <c r="BE29" i="2"/>
  <c r="CI29" i="2" s="1"/>
  <c r="AQ29" i="2"/>
  <c r="BU29" i="2" s="1"/>
  <c r="AH29" i="2"/>
  <c r="BL29" i="2" s="1"/>
  <c r="AM29" i="2"/>
  <c r="BQ29" i="2" s="1"/>
  <c r="AI29" i="2"/>
  <c r="AX29" i="2"/>
  <c r="CB29" i="2" s="1"/>
  <c r="BF29" i="2"/>
  <c r="AV29" i="2"/>
  <c r="BZ29" i="2" s="1"/>
  <c r="BA29" i="2"/>
  <c r="CE29" i="2" s="1"/>
  <c r="AJ29" i="2"/>
  <c r="BN29" i="2" s="1"/>
  <c r="AY29" i="2"/>
  <c r="CC29" i="2" s="1"/>
  <c r="AO29" i="2"/>
  <c r="BS29" i="2" s="1"/>
  <c r="AZ29" i="2"/>
  <c r="CD29" i="2" s="1"/>
  <c r="BC29" i="2"/>
  <c r="CG29" i="2" s="1"/>
  <c r="AL29" i="2"/>
  <c r="AK29" i="2"/>
  <c r="BO29" i="2" s="1"/>
  <c r="CJ28" i="2"/>
  <c r="DO28" i="2"/>
  <c r="DG28" i="2"/>
  <c r="DE28" i="2"/>
  <c r="CZ28" i="2"/>
  <c r="CT28" i="2"/>
  <c r="DL28" i="2"/>
  <c r="DF28" i="2"/>
  <c r="DI28" i="2"/>
  <c r="DN28" i="2"/>
  <c r="CS28" i="2"/>
  <c r="DM28" i="2"/>
  <c r="CK27" i="2"/>
  <c r="CL27" i="2" s="1"/>
  <c r="CU28" i="2"/>
  <c r="CV28" i="2"/>
  <c r="DP27" i="2"/>
  <c r="DQ27" i="2" s="1"/>
  <c r="DK28" i="2"/>
  <c r="CQ28" i="2"/>
  <c r="CR28" i="2"/>
  <c r="DH28" i="2"/>
  <c r="CY28" i="2"/>
  <c r="BG28" i="2"/>
  <c r="CA30" i="5" l="1"/>
  <c r="BY29" i="2"/>
  <c r="BX29" i="2"/>
  <c r="DC29" i="2"/>
  <c r="AU30" i="2"/>
  <c r="CJ30" i="4"/>
  <c r="CE30" i="3"/>
  <c r="AW31" i="3"/>
  <c r="DF31" i="3" s="1"/>
  <c r="CA30" i="3"/>
  <c r="AV31" i="3"/>
  <c r="DE31" i="3" s="1"/>
  <c r="BA31" i="3"/>
  <c r="DJ31" i="3" s="1"/>
  <c r="BU30" i="3"/>
  <c r="AP31" i="3"/>
  <c r="CY31" i="3" s="1"/>
  <c r="BT30" i="3"/>
  <c r="BU30" i="8"/>
  <c r="CI30" i="8"/>
  <c r="AM31" i="8"/>
  <c r="CV31" i="8" s="1"/>
  <c r="AH31" i="8"/>
  <c r="CQ31" i="8" s="1"/>
  <c r="AF31" i="8"/>
  <c r="CO31" i="8" s="1"/>
  <c r="BG30" i="8"/>
  <c r="AE31" i="8"/>
  <c r="CN31" i="8" s="1"/>
  <c r="AD31" i="8"/>
  <c r="CM31" i="8" s="1"/>
  <c r="BF31" i="8"/>
  <c r="BH30" i="8"/>
  <c r="BD31" i="8"/>
  <c r="DM31" i="8" s="1"/>
  <c r="AN31" i="8"/>
  <c r="CW31" i="8" s="1"/>
  <c r="AP31" i="8"/>
  <c r="CY31" i="8" s="1"/>
  <c r="BB31" i="8"/>
  <c r="DK31" i="8" s="1"/>
  <c r="BQ30" i="8"/>
  <c r="CA30" i="8"/>
  <c r="BF31" i="4"/>
  <c r="DO31" i="4" s="1"/>
  <c r="CH30" i="8"/>
  <c r="CB30" i="5"/>
  <c r="CF30" i="8"/>
  <c r="AS31" i="8"/>
  <c r="DB31" i="8" s="1"/>
  <c r="BA31" i="8"/>
  <c r="DJ31" i="8" s="1"/>
  <c r="AT31" i="8"/>
  <c r="DC31" i="8" s="1"/>
  <c r="AV31" i="8"/>
  <c r="DE31" i="8" s="1"/>
  <c r="AR31" i="8"/>
  <c r="DA31" i="8" s="1"/>
  <c r="BV30" i="8"/>
  <c r="CG30" i="8"/>
  <c r="BC31" i="8"/>
  <c r="DL31" i="8" s="1"/>
  <c r="AY31" i="8"/>
  <c r="DH31" i="8" s="1"/>
  <c r="AG31" i="8"/>
  <c r="CP31" i="8" s="1"/>
  <c r="AU31" i="8"/>
  <c r="DD31" i="8" s="1"/>
  <c r="AK31" i="8"/>
  <c r="CT31" i="8" s="1"/>
  <c r="AO31" i="8"/>
  <c r="CX31" i="8" s="1"/>
  <c r="BJ30" i="8"/>
  <c r="CD30" i="8"/>
  <c r="CF30" i="6"/>
  <c r="BY30" i="8"/>
  <c r="CB30" i="8"/>
  <c r="CC30" i="8"/>
  <c r="BS30" i="3"/>
  <c r="CC30" i="5"/>
  <c r="AZ31" i="8"/>
  <c r="DI31" i="8" s="1"/>
  <c r="AL31" i="8"/>
  <c r="CU31" i="8" s="1"/>
  <c r="BN30" i="8"/>
  <c r="BR30" i="8"/>
  <c r="BW30" i="8"/>
  <c r="BI30" i="8"/>
  <c r="AX31" i="8"/>
  <c r="DG31" i="8" s="1"/>
  <c r="AJ31" i="8"/>
  <c r="CS31" i="8" s="1"/>
  <c r="AW31" i="8"/>
  <c r="DF31" i="8" s="1"/>
  <c r="AI31" i="8"/>
  <c r="CR31" i="8" s="1"/>
  <c r="BL30" i="8"/>
  <c r="AY31" i="6"/>
  <c r="DH31" i="6" s="1"/>
  <c r="CE30" i="8"/>
  <c r="BM30" i="8"/>
  <c r="BT30" i="8"/>
  <c r="BK30" i="8"/>
  <c r="BE31" i="8"/>
  <c r="DN31" i="8" s="1"/>
  <c r="AQ31" i="8"/>
  <c r="CZ31" i="8" s="1"/>
  <c r="BS30" i="8"/>
  <c r="BP30" i="8"/>
  <c r="DP29" i="8"/>
  <c r="DQ29" i="8" s="1"/>
  <c r="CJ30" i="8"/>
  <c r="DO30" i="8"/>
  <c r="BZ30" i="8"/>
  <c r="BX30" i="8"/>
  <c r="BO30" i="3"/>
  <c r="CC30" i="6"/>
  <c r="CK29" i="8"/>
  <c r="CL29" i="8" s="1"/>
  <c r="BO30" i="8"/>
  <c r="BC31" i="6"/>
  <c r="DL31" i="6" s="1"/>
  <c r="DG30" i="6"/>
  <c r="BB31" i="6"/>
  <c r="DK31" i="6" s="1"/>
  <c r="CK29" i="6"/>
  <c r="CL29" i="6" s="1"/>
  <c r="CD30" i="6"/>
  <c r="BF31" i="6"/>
  <c r="CJ31" i="6" s="1"/>
  <c r="DB30" i="6"/>
  <c r="AU31" i="6"/>
  <c r="DD31" i="6" s="1"/>
  <c r="DC30" i="6"/>
  <c r="BY31" i="6"/>
  <c r="BB31" i="3"/>
  <c r="DK31" i="3" s="1"/>
  <c r="AP32" i="6"/>
  <c r="CY32" i="6" s="1"/>
  <c r="AN32" i="6"/>
  <c r="CW32" i="6" s="1"/>
  <c r="BQ31" i="6"/>
  <c r="BZ30" i="6"/>
  <c r="AW31" i="6"/>
  <c r="DF31" i="6" s="1"/>
  <c r="BY30" i="5"/>
  <c r="AX31" i="6"/>
  <c r="DG31" i="6" s="1"/>
  <c r="BP30" i="3"/>
  <c r="AK31" i="3"/>
  <c r="CT31" i="3" s="1"/>
  <c r="BM31" i="6"/>
  <c r="CH30" i="6"/>
  <c r="CB30" i="6"/>
  <c r="AZ31" i="6"/>
  <c r="DI31" i="6" s="1"/>
  <c r="CJ30" i="6"/>
  <c r="DO30" i="6"/>
  <c r="BP31" i="6"/>
  <c r="BC31" i="4"/>
  <c r="DL31" i="4" s="1"/>
  <c r="AL32" i="6"/>
  <c r="CU32" i="6" s="1"/>
  <c r="BN31" i="6"/>
  <c r="BW30" i="6"/>
  <c r="CI30" i="6"/>
  <c r="AI32" i="6"/>
  <c r="CR32" i="6" s="1"/>
  <c r="AJ32" i="6"/>
  <c r="CS32" i="6" s="1"/>
  <c r="BL31" i="6"/>
  <c r="AY31" i="5"/>
  <c r="DH31" i="5" s="1"/>
  <c r="DC30" i="5"/>
  <c r="DP30" i="5" s="1"/>
  <c r="DQ30" i="5" s="1"/>
  <c r="CF31" i="6"/>
  <c r="BE31" i="6"/>
  <c r="DN31" i="6" s="1"/>
  <c r="BR31" i="6"/>
  <c r="CF30" i="3"/>
  <c r="BD31" i="6"/>
  <c r="DM31" i="6" s="1"/>
  <c r="BU31" i="6"/>
  <c r="CK29" i="4"/>
  <c r="BT31" i="6"/>
  <c r="BG30" i="6"/>
  <c r="AM32" i="6"/>
  <c r="CV32" i="6" s="1"/>
  <c r="AH32" i="6"/>
  <c r="CQ32" i="6" s="1"/>
  <c r="AE32" i="6"/>
  <c r="CN32" i="6" s="1"/>
  <c r="AD32" i="6"/>
  <c r="CM32" i="6" s="1"/>
  <c r="AF32" i="6"/>
  <c r="CO32" i="6" s="1"/>
  <c r="BH31" i="6"/>
  <c r="BX30" i="6"/>
  <c r="BK31" i="6"/>
  <c r="AW31" i="5"/>
  <c r="DF31" i="5" s="1"/>
  <c r="BI31" i="6"/>
  <c r="CE30" i="6"/>
  <c r="BO31" i="6"/>
  <c r="AK32" i="6"/>
  <c r="CT32" i="6" s="1"/>
  <c r="AG32" i="6"/>
  <c r="CP32" i="6" s="1"/>
  <c r="AO32" i="6"/>
  <c r="CX32" i="6" s="1"/>
  <c r="BJ31" i="6"/>
  <c r="AR31" i="6"/>
  <c r="DA31" i="6" s="1"/>
  <c r="AV31" i="6"/>
  <c r="AS31" i="6"/>
  <c r="DB31" i="6" s="1"/>
  <c r="BA31" i="6"/>
  <c r="AT31" i="6"/>
  <c r="BV30" i="6"/>
  <c r="AQ32" i="6"/>
  <c r="CZ32" i="6" s="1"/>
  <c r="BS31" i="6"/>
  <c r="CJ30" i="5"/>
  <c r="BE31" i="5"/>
  <c r="DN31" i="5" s="1"/>
  <c r="AU31" i="5"/>
  <c r="DD31" i="5" s="1"/>
  <c r="BC31" i="5"/>
  <c r="DL31" i="5" s="1"/>
  <c r="AX31" i="5"/>
  <c r="DG31" i="5" s="1"/>
  <c r="BG30" i="5"/>
  <c r="CK29" i="5"/>
  <c r="CL29" i="5" s="1"/>
  <c r="CF30" i="5"/>
  <c r="CH30" i="4"/>
  <c r="AX31" i="4"/>
  <c r="DG31" i="4" s="1"/>
  <c r="BI31" i="5"/>
  <c r="BG30" i="4"/>
  <c r="CD30" i="5"/>
  <c r="BR31" i="5"/>
  <c r="CE30" i="5"/>
  <c r="CG30" i="5"/>
  <c r="CI30" i="5"/>
  <c r="AO31" i="3"/>
  <c r="CX31" i="3" s="1"/>
  <c r="BT31" i="5"/>
  <c r="AL32" i="5"/>
  <c r="CU32" i="5" s="1"/>
  <c r="BN31" i="5"/>
  <c r="AY31" i="3"/>
  <c r="DH31" i="3" s="1"/>
  <c r="AZ31" i="5"/>
  <c r="DI31" i="5" s="1"/>
  <c r="BB31" i="5"/>
  <c r="DK31" i="5" s="1"/>
  <c r="BM31" i="5"/>
  <c r="AQ32" i="5"/>
  <c r="CZ32" i="5" s="1"/>
  <c r="BS31" i="5"/>
  <c r="AE32" i="5"/>
  <c r="CN32" i="5" s="1"/>
  <c r="AD32" i="5"/>
  <c r="CM32" i="5" s="1"/>
  <c r="AH32" i="5"/>
  <c r="CQ32" i="5" s="1"/>
  <c r="AF32" i="5"/>
  <c r="CO32" i="5" s="1"/>
  <c r="AM32" i="5"/>
  <c r="CV32" i="5" s="1"/>
  <c r="BH31" i="5"/>
  <c r="AQ31" i="3"/>
  <c r="CZ31" i="3" s="1"/>
  <c r="AZ31" i="4"/>
  <c r="DI31" i="4" s="1"/>
  <c r="AV31" i="5"/>
  <c r="DE31" i="5" s="1"/>
  <c r="AT31" i="5"/>
  <c r="DC31" i="5" s="1"/>
  <c r="AS31" i="5"/>
  <c r="DB31" i="5" s="1"/>
  <c r="AR31" i="5"/>
  <c r="DA31" i="5" s="1"/>
  <c r="BA31" i="5"/>
  <c r="DJ31" i="5" s="1"/>
  <c r="BV30" i="5"/>
  <c r="AO32" i="5"/>
  <c r="CX32" i="5" s="1"/>
  <c r="AK32" i="5"/>
  <c r="CT32" i="5" s="1"/>
  <c r="AG32" i="5"/>
  <c r="CP32" i="5" s="1"/>
  <c r="BJ31" i="5"/>
  <c r="CH30" i="5"/>
  <c r="BD31" i="5"/>
  <c r="DM31" i="5" s="1"/>
  <c r="BK31" i="5"/>
  <c r="BD31" i="4"/>
  <c r="DM31" i="4" s="1"/>
  <c r="BW30" i="5"/>
  <c r="CH30" i="3"/>
  <c r="BX30" i="5"/>
  <c r="BO31" i="5"/>
  <c r="AL31" i="3"/>
  <c r="CU31" i="3" s="1"/>
  <c r="BZ30" i="5"/>
  <c r="AY31" i="4"/>
  <c r="DH31" i="4" s="1"/>
  <c r="BP31" i="5"/>
  <c r="AP32" i="5"/>
  <c r="CY32" i="5" s="1"/>
  <c r="AN32" i="5"/>
  <c r="CW32" i="5" s="1"/>
  <c r="BQ31" i="5"/>
  <c r="BF31" i="5"/>
  <c r="CI30" i="3"/>
  <c r="CC31" i="5"/>
  <c r="AI32" i="5"/>
  <c r="CR32" i="5" s="1"/>
  <c r="AJ32" i="5"/>
  <c r="CS32" i="5" s="1"/>
  <c r="BL31" i="5"/>
  <c r="BN30" i="3"/>
  <c r="CC30" i="4"/>
  <c r="CI30" i="4"/>
  <c r="AJ31" i="3"/>
  <c r="CS31" i="3" s="1"/>
  <c r="BE31" i="4"/>
  <c r="DN31" i="4" s="1"/>
  <c r="BU31" i="5"/>
  <c r="BG30" i="3"/>
  <c r="DH30" i="3"/>
  <c r="CK29" i="3"/>
  <c r="CL29" i="3" s="1"/>
  <c r="CG30" i="3"/>
  <c r="DL30" i="3"/>
  <c r="AZ31" i="3"/>
  <c r="DI31" i="3" s="1"/>
  <c r="CJ30" i="3"/>
  <c r="CB30" i="3"/>
  <c r="CD30" i="3"/>
  <c r="AX31" i="3"/>
  <c r="DG31" i="3" s="1"/>
  <c r="BC31" i="3"/>
  <c r="DL31" i="3" s="1"/>
  <c r="CA31" i="4"/>
  <c r="BD31" i="3"/>
  <c r="DM31" i="3" s="1"/>
  <c r="BF31" i="3"/>
  <c r="DO31" i="3" s="1"/>
  <c r="AO32" i="4"/>
  <c r="CX32" i="4" s="1"/>
  <c r="AK32" i="4"/>
  <c r="CT32" i="4" s="1"/>
  <c r="AU32" i="4"/>
  <c r="DD32" i="4" s="1"/>
  <c r="AG32" i="4"/>
  <c r="CP32" i="4" s="1"/>
  <c r="BJ31" i="4"/>
  <c r="AJ32" i="4"/>
  <c r="CS32" i="4" s="1"/>
  <c r="AI32" i="4"/>
  <c r="CR32" i="4" s="1"/>
  <c r="AW32" i="4"/>
  <c r="DF32" i="4" s="1"/>
  <c r="BL31" i="4"/>
  <c r="AL32" i="4"/>
  <c r="CU32" i="4" s="1"/>
  <c r="BN31" i="4"/>
  <c r="BP31" i="4"/>
  <c r="BT31" i="4"/>
  <c r="BE31" i="3"/>
  <c r="CE31" i="4"/>
  <c r="BZ31" i="4"/>
  <c r="BO31" i="4"/>
  <c r="CF31" i="4"/>
  <c r="AN32" i="4"/>
  <c r="CW32" i="4" s="1"/>
  <c r="BB32" i="4"/>
  <c r="DK32" i="4" s="1"/>
  <c r="AP32" i="4"/>
  <c r="CY32" i="4" s="1"/>
  <c r="BQ31" i="4"/>
  <c r="BU31" i="4"/>
  <c r="BM31" i="4"/>
  <c r="AM32" i="4"/>
  <c r="CV32" i="4" s="1"/>
  <c r="AE32" i="4"/>
  <c r="CN32" i="4" s="1"/>
  <c r="AH32" i="4"/>
  <c r="CQ32" i="4" s="1"/>
  <c r="AF32" i="4"/>
  <c r="CO32" i="4" s="1"/>
  <c r="AD32" i="4"/>
  <c r="CM32" i="4" s="1"/>
  <c r="BH31" i="4"/>
  <c r="BA32" i="4"/>
  <c r="DJ32" i="4" s="1"/>
  <c r="AR32" i="4"/>
  <c r="DA32" i="4" s="1"/>
  <c r="AV32" i="4"/>
  <c r="DE32" i="4" s="1"/>
  <c r="AT32" i="4"/>
  <c r="DC32" i="4" s="1"/>
  <c r="AS32" i="4"/>
  <c r="DB32" i="4" s="1"/>
  <c r="BV31" i="4"/>
  <c r="BR31" i="4"/>
  <c r="BW31" i="4"/>
  <c r="BK31" i="4"/>
  <c r="DP30" i="4"/>
  <c r="DQ30" i="4" s="1"/>
  <c r="BX31" i="4"/>
  <c r="BY31" i="4"/>
  <c r="BI31" i="4"/>
  <c r="AQ32" i="4"/>
  <c r="CZ32" i="4" s="1"/>
  <c r="BS31" i="4"/>
  <c r="CU29" i="2"/>
  <c r="BP29" i="2"/>
  <c r="DB30" i="2"/>
  <c r="BW30" i="2"/>
  <c r="DC30" i="2"/>
  <c r="BX30" i="2"/>
  <c r="AN32" i="3"/>
  <c r="CW32" i="3" s="1"/>
  <c r="BQ31" i="3"/>
  <c r="AM32" i="3"/>
  <c r="CV32" i="3" s="1"/>
  <c r="AF32" i="3"/>
  <c r="CO32" i="3" s="1"/>
  <c r="AE32" i="3"/>
  <c r="CN32" i="3" s="1"/>
  <c r="AH32" i="3"/>
  <c r="CQ32" i="3" s="1"/>
  <c r="AD32" i="3"/>
  <c r="CM32" i="3" s="1"/>
  <c r="BH31" i="3"/>
  <c r="CR29" i="2"/>
  <c r="BM29" i="2"/>
  <c r="BZ31" i="3"/>
  <c r="AW32" i="3"/>
  <c r="DF32" i="3" s="1"/>
  <c r="AI32" i="3"/>
  <c r="CR32" i="3" s="1"/>
  <c r="BL31" i="3"/>
  <c r="CN30" i="2"/>
  <c r="BI30" i="2"/>
  <c r="AT32" i="3"/>
  <c r="DC32" i="3" s="1"/>
  <c r="AS32" i="3"/>
  <c r="DB32" i="3" s="1"/>
  <c r="AR32" i="3"/>
  <c r="DA32" i="3" s="1"/>
  <c r="BV31" i="3"/>
  <c r="BW31" i="3"/>
  <c r="BI31" i="3"/>
  <c r="BX31" i="3"/>
  <c r="AG32" i="3"/>
  <c r="CP32" i="3" s="1"/>
  <c r="AU32" i="3"/>
  <c r="DD32" i="3" s="1"/>
  <c r="BJ31" i="3"/>
  <c r="BR31" i="3"/>
  <c r="BY31" i="3"/>
  <c r="BT31" i="3"/>
  <c r="DD30" i="2"/>
  <c r="BY30" i="2"/>
  <c r="CA31" i="3"/>
  <c r="BK31" i="3"/>
  <c r="BM31" i="3"/>
  <c r="CP30" i="2"/>
  <c r="BK30" i="2"/>
  <c r="BB30" i="2"/>
  <c r="CF30" i="2" s="1"/>
  <c r="AW30" i="2"/>
  <c r="CA30" i="2" s="1"/>
  <c r="CM30" i="2"/>
  <c r="AD31" i="2"/>
  <c r="BH31" i="2" s="1"/>
  <c r="AE31" i="2"/>
  <c r="AF31" i="2"/>
  <c r="BJ31" i="2" s="1"/>
  <c r="AS31" i="2"/>
  <c r="DA30" i="2"/>
  <c r="AR31" i="2"/>
  <c r="BV31" i="2" s="1"/>
  <c r="AT31" i="2"/>
  <c r="AG31" i="2"/>
  <c r="CO30" i="2"/>
  <c r="AU31" i="2"/>
  <c r="AN30" i="2"/>
  <c r="BR30" i="2" s="1"/>
  <c r="AP30" i="2"/>
  <c r="BT30" i="2" s="1"/>
  <c r="BD30" i="2"/>
  <c r="CH30" i="2" s="1"/>
  <c r="AO30" i="2"/>
  <c r="BS30" i="2" s="1"/>
  <c r="BC30" i="2"/>
  <c r="CG30" i="2" s="1"/>
  <c r="AK30" i="2"/>
  <c r="BO30" i="2" s="1"/>
  <c r="AZ30" i="2"/>
  <c r="CD30" i="2" s="1"/>
  <c r="AY30" i="2"/>
  <c r="CC30" i="2" s="1"/>
  <c r="AL30" i="2"/>
  <c r="BP30" i="2" s="1"/>
  <c r="AM30" i="2"/>
  <c r="BQ30" i="2" s="1"/>
  <c r="AH30" i="2"/>
  <c r="BL30" i="2" s="1"/>
  <c r="AI30" i="2"/>
  <c r="BM30" i="2" s="1"/>
  <c r="BF30" i="2"/>
  <c r="AJ30" i="2"/>
  <c r="BN30" i="2" s="1"/>
  <c r="BA30" i="2"/>
  <c r="CE30" i="2" s="1"/>
  <c r="AX30" i="2"/>
  <c r="CB30" i="2" s="1"/>
  <c r="AV30" i="2"/>
  <c r="BZ30" i="2" s="1"/>
  <c r="AQ30" i="2"/>
  <c r="BU30" i="2" s="1"/>
  <c r="BE30" i="2"/>
  <c r="CI30" i="2" s="1"/>
  <c r="CV29" i="2"/>
  <c r="CS29" i="2"/>
  <c r="DE29" i="2"/>
  <c r="DI29" i="2"/>
  <c r="DF29" i="2"/>
  <c r="DG29" i="2"/>
  <c r="DL29" i="2"/>
  <c r="CX29" i="2"/>
  <c r="CW29" i="2"/>
  <c r="CT29" i="2"/>
  <c r="CZ29" i="2"/>
  <c r="CY29" i="2"/>
  <c r="DN29" i="2"/>
  <c r="DP28" i="2"/>
  <c r="DQ28" i="2" s="1"/>
  <c r="DH29" i="2"/>
  <c r="DJ29" i="2"/>
  <c r="DM29" i="2"/>
  <c r="CQ29" i="2"/>
  <c r="CJ29" i="2"/>
  <c r="DO29" i="2"/>
  <c r="DK29" i="2"/>
  <c r="CK28" i="2"/>
  <c r="CL28" i="2" s="1"/>
  <c r="BG29" i="2"/>
  <c r="DO31" i="6" l="1"/>
  <c r="CJ31" i="4"/>
  <c r="CL29" i="4"/>
  <c r="CG31" i="4"/>
  <c r="BA32" i="3"/>
  <c r="DJ32" i="3" s="1"/>
  <c r="CE31" i="3"/>
  <c r="AV32" i="3"/>
  <c r="DE32" i="3" s="1"/>
  <c r="BB32" i="3"/>
  <c r="DK32" i="3" s="1"/>
  <c r="DP30" i="3"/>
  <c r="DQ30" i="3" s="1"/>
  <c r="BP31" i="3"/>
  <c r="BO31" i="3"/>
  <c r="AW32" i="5"/>
  <c r="DF32" i="5" s="1"/>
  <c r="BX31" i="8"/>
  <c r="CD31" i="3"/>
  <c r="CK30" i="8"/>
  <c r="CL30" i="8" s="1"/>
  <c r="BS31" i="3"/>
  <c r="BW31" i="8"/>
  <c r="BO31" i="8"/>
  <c r="BY31" i="8"/>
  <c r="AI32" i="8"/>
  <c r="CR32" i="8" s="1"/>
  <c r="AX32" i="8"/>
  <c r="DG32" i="8" s="1"/>
  <c r="AJ32" i="8"/>
  <c r="CS32" i="8" s="1"/>
  <c r="AW32" i="8"/>
  <c r="DF32" i="8" s="1"/>
  <c r="BL31" i="8"/>
  <c r="CK30" i="4"/>
  <c r="CL30" i="4" s="1"/>
  <c r="CA31" i="8"/>
  <c r="BT31" i="8"/>
  <c r="CD31" i="4"/>
  <c r="CH31" i="8"/>
  <c r="CJ31" i="8"/>
  <c r="DO31" i="8"/>
  <c r="AQ32" i="8"/>
  <c r="CZ32" i="8" s="1"/>
  <c r="BE32" i="8"/>
  <c r="DN32" i="8" s="1"/>
  <c r="BS31" i="8"/>
  <c r="BP31" i="8"/>
  <c r="AH32" i="8"/>
  <c r="CQ32" i="8" s="1"/>
  <c r="AD32" i="8"/>
  <c r="CM32" i="8" s="1"/>
  <c r="BG31" i="8"/>
  <c r="AM32" i="8"/>
  <c r="CV32" i="8" s="1"/>
  <c r="AE32" i="8"/>
  <c r="CN32" i="8" s="1"/>
  <c r="AF32" i="8"/>
  <c r="CO32" i="8" s="1"/>
  <c r="BF32" i="8"/>
  <c r="BH31" i="8"/>
  <c r="DP30" i="6"/>
  <c r="DQ30" i="6" s="1"/>
  <c r="BI31" i="8"/>
  <c r="CD31" i="8"/>
  <c r="BY31" i="5"/>
  <c r="BU31" i="8"/>
  <c r="AZ32" i="8"/>
  <c r="DI32" i="8" s="1"/>
  <c r="AL32" i="8"/>
  <c r="CU32" i="8" s="1"/>
  <c r="BN31" i="8"/>
  <c r="BZ31" i="8"/>
  <c r="AX32" i="4"/>
  <c r="DG32" i="4" s="1"/>
  <c r="CI31" i="5"/>
  <c r="BK31" i="8"/>
  <c r="CF31" i="3"/>
  <c r="CC31" i="8"/>
  <c r="CG31" i="8"/>
  <c r="BM31" i="8"/>
  <c r="CI31" i="8"/>
  <c r="CB31" i="8"/>
  <c r="CF31" i="8"/>
  <c r="BR31" i="8"/>
  <c r="CG31" i="5"/>
  <c r="CE31" i="8"/>
  <c r="DP30" i="8"/>
  <c r="DQ30" i="8" s="1"/>
  <c r="AY32" i="8"/>
  <c r="DH32" i="8" s="1"/>
  <c r="AO32" i="8"/>
  <c r="CX32" i="8" s="1"/>
  <c r="AK32" i="8"/>
  <c r="CT32" i="8" s="1"/>
  <c r="BC32" i="8"/>
  <c r="DL32" i="8" s="1"/>
  <c r="AU32" i="8"/>
  <c r="DD32" i="8" s="1"/>
  <c r="AG32" i="8"/>
  <c r="CP32" i="8" s="1"/>
  <c r="BJ31" i="8"/>
  <c r="CC31" i="6"/>
  <c r="AN32" i="8"/>
  <c r="CW32" i="8" s="1"/>
  <c r="BB32" i="8"/>
  <c r="DK32" i="8" s="1"/>
  <c r="AP32" i="8"/>
  <c r="CY32" i="8" s="1"/>
  <c r="BD32" i="8"/>
  <c r="DM32" i="8" s="1"/>
  <c r="BQ31" i="8"/>
  <c r="AS32" i="8"/>
  <c r="DB32" i="8" s="1"/>
  <c r="AR32" i="8"/>
  <c r="DA32" i="8" s="1"/>
  <c r="BA32" i="8"/>
  <c r="DJ32" i="8" s="1"/>
  <c r="AT32" i="8"/>
  <c r="DC32" i="8" s="1"/>
  <c r="AV32" i="8"/>
  <c r="DE32" i="8" s="1"/>
  <c r="BV31" i="8"/>
  <c r="CG31" i="6"/>
  <c r="BB32" i="6"/>
  <c r="DK32" i="6" s="1"/>
  <c r="DJ31" i="6"/>
  <c r="AX32" i="6"/>
  <c r="DG32" i="6" s="1"/>
  <c r="DE31" i="6"/>
  <c r="CK30" i="6"/>
  <c r="CL30" i="6" s="1"/>
  <c r="BC32" i="6"/>
  <c r="DL32" i="6" s="1"/>
  <c r="DC31" i="6"/>
  <c r="BE32" i="6"/>
  <c r="DN32" i="6" s="1"/>
  <c r="AU32" i="6"/>
  <c r="DD32" i="6" s="1"/>
  <c r="BA32" i="6"/>
  <c r="AV32" i="6"/>
  <c r="DE32" i="6" s="1"/>
  <c r="AT32" i="6"/>
  <c r="DC32" i="6" s="1"/>
  <c r="AS32" i="6"/>
  <c r="DB32" i="6" s="1"/>
  <c r="AR32" i="6"/>
  <c r="DA32" i="6" s="1"/>
  <c r="BV31" i="6"/>
  <c r="AL33" i="6"/>
  <c r="CU33" i="6" s="1"/>
  <c r="BN32" i="6"/>
  <c r="AW32" i="6"/>
  <c r="DF32" i="6" s="1"/>
  <c r="CD31" i="6"/>
  <c r="BR32" i="6"/>
  <c r="AQ33" i="6"/>
  <c r="CZ33" i="6" s="1"/>
  <c r="BS32" i="6"/>
  <c r="BM32" i="6"/>
  <c r="BT32" i="6"/>
  <c r="BZ31" i="6"/>
  <c r="CH31" i="6"/>
  <c r="BD32" i="6"/>
  <c r="DM32" i="6" s="1"/>
  <c r="BK32" i="6"/>
  <c r="BF32" i="6"/>
  <c r="CA31" i="5"/>
  <c r="AY32" i="6"/>
  <c r="DH32" i="6" s="1"/>
  <c r="AG33" i="6"/>
  <c r="CP33" i="6" s="1"/>
  <c r="AO33" i="6"/>
  <c r="CX33" i="6" s="1"/>
  <c r="AK33" i="6"/>
  <c r="CT33" i="6" s="1"/>
  <c r="BJ32" i="6"/>
  <c r="BO32" i="6"/>
  <c r="AH33" i="6"/>
  <c r="CQ33" i="6" s="1"/>
  <c r="AF33" i="6"/>
  <c r="CO33" i="6" s="1"/>
  <c r="AD33" i="6"/>
  <c r="CM33" i="6" s="1"/>
  <c r="AE33" i="6"/>
  <c r="CN33" i="6" s="1"/>
  <c r="AM33" i="6"/>
  <c r="CV33" i="6" s="1"/>
  <c r="BH32" i="6"/>
  <c r="BU32" i="6"/>
  <c r="BI32" i="6"/>
  <c r="CA31" i="6"/>
  <c r="AI33" i="6"/>
  <c r="CR33" i="6" s="1"/>
  <c r="AJ33" i="6"/>
  <c r="CS33" i="6" s="1"/>
  <c r="BL32" i="6"/>
  <c r="CI31" i="6"/>
  <c r="CB31" i="5"/>
  <c r="BG31" i="6"/>
  <c r="AZ32" i="6"/>
  <c r="DI32" i="6" s="1"/>
  <c r="CB31" i="6"/>
  <c r="BX31" i="6"/>
  <c r="BP32" i="6"/>
  <c r="BU31" i="3"/>
  <c r="AZ32" i="4"/>
  <c r="DI32" i="4" s="1"/>
  <c r="CE31" i="6"/>
  <c r="AP33" i="6"/>
  <c r="CY33" i="6" s="1"/>
  <c r="AN33" i="6"/>
  <c r="CW33" i="6" s="1"/>
  <c r="BQ32" i="6"/>
  <c r="CC31" i="4"/>
  <c r="BW31" i="6"/>
  <c r="CK30" i="5"/>
  <c r="CL30" i="5" s="1"/>
  <c r="AY32" i="5"/>
  <c r="DH32" i="5" s="1"/>
  <c r="BD32" i="5"/>
  <c r="DM32" i="5" s="1"/>
  <c r="AU32" i="5"/>
  <c r="DD32" i="5" s="1"/>
  <c r="CD31" i="5"/>
  <c r="BP32" i="5"/>
  <c r="BB32" i="5"/>
  <c r="DK32" i="5" s="1"/>
  <c r="BO32" i="5"/>
  <c r="BT32" i="5"/>
  <c r="CH31" i="5"/>
  <c r="CE31" i="5"/>
  <c r="BM32" i="5"/>
  <c r="AS32" i="5"/>
  <c r="DB32" i="5" s="1"/>
  <c r="AR32" i="5"/>
  <c r="DA32" i="5" s="1"/>
  <c r="AV32" i="5"/>
  <c r="DE32" i="5" s="1"/>
  <c r="BA32" i="5"/>
  <c r="DJ32" i="5" s="1"/>
  <c r="AT32" i="5"/>
  <c r="DC32" i="5" s="1"/>
  <c r="BV31" i="5"/>
  <c r="AY32" i="4"/>
  <c r="DH32" i="4" s="1"/>
  <c r="BX31" i="5"/>
  <c r="CI31" i="4"/>
  <c r="AK32" i="3"/>
  <c r="CT32" i="3" s="1"/>
  <c r="AN33" i="5"/>
  <c r="CW33" i="5" s="1"/>
  <c r="AP33" i="5"/>
  <c r="CY33" i="5" s="1"/>
  <c r="BQ32" i="5"/>
  <c r="AJ33" i="5"/>
  <c r="CS33" i="5" s="1"/>
  <c r="AI33" i="5"/>
  <c r="CR33" i="5" s="1"/>
  <c r="BL32" i="5"/>
  <c r="AZ32" i="5"/>
  <c r="DI32" i="5" s="1"/>
  <c r="BE32" i="4"/>
  <c r="DN32" i="4" s="1"/>
  <c r="BF32" i="5"/>
  <c r="BN31" i="3"/>
  <c r="BD32" i="4"/>
  <c r="DM32" i="4" s="1"/>
  <c r="AL33" i="5"/>
  <c r="CU33" i="5" s="1"/>
  <c r="BN32" i="5"/>
  <c r="BE32" i="5"/>
  <c r="DN32" i="5" s="1"/>
  <c r="AP32" i="3"/>
  <c r="CY32" i="3" s="1"/>
  <c r="AJ32" i="3"/>
  <c r="CS32" i="3" s="1"/>
  <c r="CF31" i="5"/>
  <c r="BC32" i="5"/>
  <c r="DL32" i="5" s="1"/>
  <c r="BR32" i="5"/>
  <c r="AG33" i="5"/>
  <c r="CP33" i="5" s="1"/>
  <c r="AK33" i="5"/>
  <c r="CT33" i="5" s="1"/>
  <c r="AO33" i="5"/>
  <c r="CX33" i="5" s="1"/>
  <c r="BJ32" i="5"/>
  <c r="CC31" i="3"/>
  <c r="AQ33" i="5"/>
  <c r="CZ33" i="5" s="1"/>
  <c r="BS32" i="5"/>
  <c r="AM33" i="5"/>
  <c r="CV33" i="5" s="1"/>
  <c r="AH33" i="5"/>
  <c r="CQ33" i="5" s="1"/>
  <c r="AF33" i="5"/>
  <c r="CO33" i="5" s="1"/>
  <c r="AD33" i="5"/>
  <c r="CM33" i="5" s="1"/>
  <c r="AE33" i="5"/>
  <c r="CN33" i="5" s="1"/>
  <c r="BH32" i="5"/>
  <c r="BI32" i="5"/>
  <c r="AL32" i="3"/>
  <c r="CU32" i="3" s="1"/>
  <c r="BF32" i="4"/>
  <c r="DO32" i="4" s="1"/>
  <c r="AX32" i="5"/>
  <c r="DG32" i="5" s="1"/>
  <c r="BW31" i="5"/>
  <c r="AQ32" i="3"/>
  <c r="CZ32" i="3" s="1"/>
  <c r="BU32" i="5"/>
  <c r="BZ31" i="5"/>
  <c r="BG31" i="4"/>
  <c r="BC32" i="4"/>
  <c r="DL32" i="4" s="1"/>
  <c r="CZ30" i="2"/>
  <c r="AO32" i="3"/>
  <c r="CX32" i="3" s="1"/>
  <c r="CH31" i="4"/>
  <c r="CB31" i="4"/>
  <c r="CK31" i="4" s="1"/>
  <c r="CL31" i="4" s="1"/>
  <c r="CJ31" i="5"/>
  <c r="DO31" i="5"/>
  <c r="DP31" i="5" s="1"/>
  <c r="DQ31" i="5" s="1"/>
  <c r="BK32" i="5"/>
  <c r="BG31" i="5"/>
  <c r="CK30" i="3"/>
  <c r="CL30" i="3" s="1"/>
  <c r="AZ32" i="3"/>
  <c r="DI32" i="3" s="1"/>
  <c r="CB31" i="3"/>
  <c r="CG31" i="3"/>
  <c r="AY32" i="3"/>
  <c r="DH32" i="3" s="1"/>
  <c r="CH31" i="3"/>
  <c r="CJ31" i="3"/>
  <c r="BF32" i="3"/>
  <c r="DO32" i="3" s="1"/>
  <c r="BC32" i="3"/>
  <c r="DL32" i="3" s="1"/>
  <c r="AX32" i="3"/>
  <c r="DG32" i="3" s="1"/>
  <c r="BG31" i="3"/>
  <c r="DN31" i="3"/>
  <c r="DP31" i="3" s="1"/>
  <c r="DQ31" i="3" s="1"/>
  <c r="BY32" i="4"/>
  <c r="AQ33" i="4"/>
  <c r="CZ33" i="4" s="1"/>
  <c r="BS32" i="4"/>
  <c r="CD32" i="4"/>
  <c r="BD32" i="3"/>
  <c r="DM32" i="3" s="1"/>
  <c r="BP32" i="4"/>
  <c r="CI31" i="3"/>
  <c r="BX32" i="4"/>
  <c r="BW32" i="4"/>
  <c r="BZ32" i="4"/>
  <c r="BA33" i="4"/>
  <c r="DJ33" i="4" s="1"/>
  <c r="AR33" i="4"/>
  <c r="DA33" i="4" s="1"/>
  <c r="AT33" i="4"/>
  <c r="DC33" i="4" s="1"/>
  <c r="AS33" i="4"/>
  <c r="DB33" i="4" s="1"/>
  <c r="AV33" i="4"/>
  <c r="DE33" i="4" s="1"/>
  <c r="BV32" i="4"/>
  <c r="CA32" i="4"/>
  <c r="CF32" i="4"/>
  <c r="BU32" i="4"/>
  <c r="BR32" i="4"/>
  <c r="BE32" i="3"/>
  <c r="DN32" i="3" s="1"/>
  <c r="BK32" i="4"/>
  <c r="AJ33" i="4"/>
  <c r="CS33" i="4" s="1"/>
  <c r="AI33" i="4"/>
  <c r="CR33" i="4" s="1"/>
  <c r="AW33" i="4"/>
  <c r="DF33" i="4" s="1"/>
  <c r="BL32" i="4"/>
  <c r="BO32" i="4"/>
  <c r="BB33" i="4"/>
  <c r="DK33" i="4" s="1"/>
  <c r="BD33" i="4"/>
  <c r="DM33" i="4" s="1"/>
  <c r="AN33" i="4"/>
  <c r="CW33" i="4" s="1"/>
  <c r="AP33" i="4"/>
  <c r="CY33" i="4" s="1"/>
  <c r="BQ32" i="4"/>
  <c r="CE32" i="4"/>
  <c r="BM32" i="4"/>
  <c r="AH33" i="4"/>
  <c r="CQ33" i="4" s="1"/>
  <c r="AF33" i="4"/>
  <c r="CO33" i="4" s="1"/>
  <c r="AE33" i="4"/>
  <c r="CN33" i="4" s="1"/>
  <c r="AM33" i="4"/>
  <c r="CV33" i="4" s="1"/>
  <c r="AD33" i="4"/>
  <c r="CM33" i="4" s="1"/>
  <c r="BH32" i="4"/>
  <c r="BT32" i="4"/>
  <c r="AK33" i="4"/>
  <c r="CT33" i="4" s="1"/>
  <c r="BC33" i="4"/>
  <c r="DL33" i="4" s="1"/>
  <c r="AG33" i="4"/>
  <c r="CP33" i="4" s="1"/>
  <c r="AO33" i="4"/>
  <c r="CX33" i="4" s="1"/>
  <c r="AU33" i="4"/>
  <c r="DD33" i="4" s="1"/>
  <c r="BJ32" i="4"/>
  <c r="BI32" i="4"/>
  <c r="DP31" i="4"/>
  <c r="DQ31" i="4" s="1"/>
  <c r="AL33" i="4"/>
  <c r="CU33" i="4" s="1"/>
  <c r="BN32" i="4"/>
  <c r="BM32" i="3"/>
  <c r="AN33" i="3"/>
  <c r="CW33" i="3" s="1"/>
  <c r="BQ32" i="3"/>
  <c r="BB33" i="3"/>
  <c r="DK33" i="3" s="1"/>
  <c r="DB31" i="2"/>
  <c r="BW31" i="2"/>
  <c r="BR32" i="3"/>
  <c r="DF30" i="2"/>
  <c r="CE32" i="3"/>
  <c r="BY32" i="3"/>
  <c r="BX32" i="3"/>
  <c r="BZ32" i="3"/>
  <c r="AD33" i="3"/>
  <c r="CM33" i="3" s="1"/>
  <c r="AF33" i="3"/>
  <c r="CO33" i="3" s="1"/>
  <c r="AM33" i="3"/>
  <c r="CV33" i="3" s="1"/>
  <c r="AH33" i="3"/>
  <c r="CQ33" i="3" s="1"/>
  <c r="AE33" i="3"/>
  <c r="CN33" i="3" s="1"/>
  <c r="BH32" i="3"/>
  <c r="CA32" i="3"/>
  <c r="CF32" i="3"/>
  <c r="CN31" i="2"/>
  <c r="BI31" i="2"/>
  <c r="AT33" i="3"/>
  <c r="DC33" i="3" s="1"/>
  <c r="AS33" i="3"/>
  <c r="DB33" i="3" s="1"/>
  <c r="BV32" i="3"/>
  <c r="AR33" i="3"/>
  <c r="DA33" i="3" s="1"/>
  <c r="BA33" i="3"/>
  <c r="DJ33" i="3" s="1"/>
  <c r="AV33" i="3"/>
  <c r="DE33" i="3" s="1"/>
  <c r="BW32" i="3"/>
  <c r="DD31" i="2"/>
  <c r="BY31" i="2"/>
  <c r="BK32" i="3"/>
  <c r="CP31" i="2"/>
  <c r="BK31" i="2"/>
  <c r="BI32" i="3"/>
  <c r="AI33" i="3"/>
  <c r="CR33" i="3" s="1"/>
  <c r="BL32" i="3"/>
  <c r="AW33" i="3"/>
  <c r="DF33" i="3" s="1"/>
  <c r="DC31" i="2"/>
  <c r="BX31" i="2"/>
  <c r="AG33" i="3"/>
  <c r="CP33" i="3" s="1"/>
  <c r="AU33" i="3"/>
  <c r="DD33" i="3" s="1"/>
  <c r="BJ32" i="3"/>
  <c r="BB31" i="2"/>
  <c r="CF31" i="2" s="1"/>
  <c r="DE30" i="2"/>
  <c r="AT32" i="2"/>
  <c r="AS32" i="2"/>
  <c r="DA31" i="2"/>
  <c r="AR32" i="2"/>
  <c r="BV32" i="2" s="1"/>
  <c r="CO31" i="2"/>
  <c r="AG32" i="2"/>
  <c r="AU32" i="2"/>
  <c r="CM31" i="2"/>
  <c r="AE32" i="2"/>
  <c r="AF32" i="2"/>
  <c r="BJ32" i="2" s="1"/>
  <c r="AD32" i="2"/>
  <c r="BH32" i="2" s="1"/>
  <c r="CV30" i="2"/>
  <c r="AN31" i="2"/>
  <c r="BR31" i="2" s="1"/>
  <c r="BD31" i="2"/>
  <c r="CH31" i="2" s="1"/>
  <c r="AP31" i="2"/>
  <c r="BT31" i="2" s="1"/>
  <c r="BE31" i="2"/>
  <c r="CI31" i="2" s="1"/>
  <c r="AQ31" i="2"/>
  <c r="BU31" i="2" s="1"/>
  <c r="AZ31" i="2"/>
  <c r="CD31" i="2" s="1"/>
  <c r="AK31" i="2"/>
  <c r="BO31" i="2" s="1"/>
  <c r="BC31" i="2"/>
  <c r="CG31" i="2" s="1"/>
  <c r="AO31" i="2"/>
  <c r="BS31" i="2" s="1"/>
  <c r="AY31" i="2"/>
  <c r="CC31" i="2" s="1"/>
  <c r="AL31" i="2"/>
  <c r="BP31" i="2" s="1"/>
  <c r="AM31" i="2"/>
  <c r="BQ31" i="2" s="1"/>
  <c r="AI31" i="2"/>
  <c r="BM31" i="2" s="1"/>
  <c r="AH31" i="2"/>
  <c r="BL31" i="2" s="1"/>
  <c r="AJ31" i="2"/>
  <c r="BN31" i="2" s="1"/>
  <c r="AV31" i="2"/>
  <c r="BZ31" i="2" s="1"/>
  <c r="BF31" i="2"/>
  <c r="BA31" i="2"/>
  <c r="CE31" i="2" s="1"/>
  <c r="AX31" i="2"/>
  <c r="CB31" i="2" s="1"/>
  <c r="CQ30" i="2"/>
  <c r="AW31" i="2"/>
  <c r="CA31" i="2" s="1"/>
  <c r="CU30" i="2"/>
  <c r="DG30" i="2"/>
  <c r="CS30" i="2"/>
  <c r="CR30" i="2"/>
  <c r="DM30" i="2"/>
  <c r="CK29" i="2"/>
  <c r="CL29" i="2" s="1"/>
  <c r="CX30" i="2"/>
  <c r="DH30" i="2"/>
  <c r="CJ30" i="2"/>
  <c r="DO30" i="2"/>
  <c r="DL30" i="2"/>
  <c r="CT30" i="2"/>
  <c r="CY30" i="2"/>
  <c r="DK30" i="2"/>
  <c r="DN30" i="2"/>
  <c r="DJ30" i="2"/>
  <c r="DI30" i="2"/>
  <c r="DP29" i="2"/>
  <c r="DQ29" i="2" s="1"/>
  <c r="DJ31" i="2"/>
  <c r="CW30" i="2"/>
  <c r="BG30" i="2"/>
  <c r="DP31" i="6" l="1"/>
  <c r="DQ31" i="6" s="1"/>
  <c r="CA32" i="5"/>
  <c r="CJ32" i="4"/>
  <c r="BP32" i="3"/>
  <c r="CD32" i="3"/>
  <c r="BS32" i="3"/>
  <c r="AL33" i="8"/>
  <c r="CU33" i="8" s="1"/>
  <c r="AZ33" i="8"/>
  <c r="DI33" i="8" s="1"/>
  <c r="BN32" i="8"/>
  <c r="CB32" i="8"/>
  <c r="BT32" i="8"/>
  <c r="BM32" i="8"/>
  <c r="DO32" i="8"/>
  <c r="CJ32" i="8"/>
  <c r="BI32" i="8"/>
  <c r="BP32" i="8"/>
  <c r="BZ32" i="8"/>
  <c r="BO32" i="3"/>
  <c r="CG32" i="8"/>
  <c r="CD32" i="8"/>
  <c r="BF33" i="8"/>
  <c r="AD33" i="8"/>
  <c r="CM33" i="8" s="1"/>
  <c r="AH33" i="8"/>
  <c r="CQ33" i="8" s="1"/>
  <c r="AE33" i="8"/>
  <c r="CN33" i="8" s="1"/>
  <c r="BG32" i="8"/>
  <c r="AM33" i="8"/>
  <c r="CV33" i="8" s="1"/>
  <c r="AF33" i="8"/>
  <c r="CO33" i="8" s="1"/>
  <c r="BH32" i="8"/>
  <c r="BW32" i="8"/>
  <c r="CH32" i="8"/>
  <c r="BU32" i="8"/>
  <c r="CG32" i="4"/>
  <c r="BR32" i="8"/>
  <c r="BX32" i="8"/>
  <c r="BO32" i="8"/>
  <c r="AJ33" i="8"/>
  <c r="CS33" i="8" s="1"/>
  <c r="AW33" i="8"/>
  <c r="DF33" i="8" s="1"/>
  <c r="AX33" i="8"/>
  <c r="DG33" i="8" s="1"/>
  <c r="AI33" i="8"/>
  <c r="CR33" i="8" s="1"/>
  <c r="BL32" i="8"/>
  <c r="CI32" i="8"/>
  <c r="CI32" i="6"/>
  <c r="CK31" i="8"/>
  <c r="CL31" i="8" s="1"/>
  <c r="AU33" i="8"/>
  <c r="DD33" i="8" s="1"/>
  <c r="BC33" i="8"/>
  <c r="DL33" i="8" s="1"/>
  <c r="AK33" i="8"/>
  <c r="CT33" i="8" s="1"/>
  <c r="AG33" i="8"/>
  <c r="CP33" i="8" s="1"/>
  <c r="AO33" i="8"/>
  <c r="CX33" i="8" s="1"/>
  <c r="AY33" i="8"/>
  <c r="DH33" i="8" s="1"/>
  <c r="BJ32" i="8"/>
  <c r="BD33" i="8"/>
  <c r="DM33" i="8" s="1"/>
  <c r="AN33" i="8"/>
  <c r="CW33" i="8" s="1"/>
  <c r="AP33" i="8"/>
  <c r="CY33" i="8" s="1"/>
  <c r="BB33" i="8"/>
  <c r="DK33" i="8" s="1"/>
  <c r="BQ32" i="8"/>
  <c r="BT32" i="3"/>
  <c r="CB32" i="4"/>
  <c r="CB32" i="6"/>
  <c r="CE32" i="8"/>
  <c r="AQ33" i="8"/>
  <c r="CZ33" i="8" s="1"/>
  <c r="BE33" i="8"/>
  <c r="DN33" i="8" s="1"/>
  <c r="BS32" i="8"/>
  <c r="CA32" i="8"/>
  <c r="CF32" i="8"/>
  <c r="BK32" i="8"/>
  <c r="DP31" i="8"/>
  <c r="DQ31" i="8" s="1"/>
  <c r="BY32" i="8"/>
  <c r="CF32" i="6"/>
  <c r="AT33" i="8"/>
  <c r="DC33" i="8" s="1"/>
  <c r="AR33" i="8"/>
  <c r="DA33" i="8" s="1"/>
  <c r="AS33" i="8"/>
  <c r="DB33" i="8" s="1"/>
  <c r="BA33" i="8"/>
  <c r="DJ33" i="8" s="1"/>
  <c r="AV33" i="8"/>
  <c r="DE33" i="8" s="1"/>
  <c r="BV32" i="8"/>
  <c r="CC32" i="8"/>
  <c r="BE33" i="6"/>
  <c r="DN33" i="6" s="1"/>
  <c r="AY33" i="6"/>
  <c r="DH33" i="6" s="1"/>
  <c r="CG32" i="6"/>
  <c r="AZ33" i="6"/>
  <c r="DI33" i="6" s="1"/>
  <c r="BG32" i="6"/>
  <c r="DJ32" i="6"/>
  <c r="BC33" i="6"/>
  <c r="DL33" i="6" s="1"/>
  <c r="AX33" i="6"/>
  <c r="DG33" i="6" s="1"/>
  <c r="AW33" i="6"/>
  <c r="DF33" i="6" s="1"/>
  <c r="CK31" i="6"/>
  <c r="CL31" i="6" s="1"/>
  <c r="BY32" i="6"/>
  <c r="BT33" i="6"/>
  <c r="AP34" i="6"/>
  <c r="CY34" i="6" s="1"/>
  <c r="AN34" i="6"/>
  <c r="CW34" i="6" s="1"/>
  <c r="BQ33" i="6"/>
  <c r="BP33" i="6"/>
  <c r="BR33" i="6"/>
  <c r="BB33" i="6"/>
  <c r="DK33" i="6" s="1"/>
  <c r="BI33" i="6"/>
  <c r="BD33" i="6"/>
  <c r="DM33" i="6" s="1"/>
  <c r="AQ34" i="6"/>
  <c r="CZ34" i="6" s="1"/>
  <c r="BS33" i="6"/>
  <c r="BK33" i="6"/>
  <c r="CC32" i="5"/>
  <c r="AL34" i="6"/>
  <c r="CU34" i="6" s="1"/>
  <c r="BN33" i="6"/>
  <c r="AM34" i="6"/>
  <c r="CV34" i="6" s="1"/>
  <c r="AH34" i="6"/>
  <c r="CQ34" i="6" s="1"/>
  <c r="AF34" i="6"/>
  <c r="CO34" i="6" s="1"/>
  <c r="AE34" i="6"/>
  <c r="CN34" i="6" s="1"/>
  <c r="AD34" i="6"/>
  <c r="CM34" i="6" s="1"/>
  <c r="BH33" i="6"/>
  <c r="CC32" i="6"/>
  <c r="AV33" i="6"/>
  <c r="DE33" i="6" s="1"/>
  <c r="AT33" i="6"/>
  <c r="DC33" i="6" s="1"/>
  <c r="AS33" i="6"/>
  <c r="DB33" i="6" s="1"/>
  <c r="AR33" i="6"/>
  <c r="DA33" i="6" s="1"/>
  <c r="BA33" i="6"/>
  <c r="DJ33" i="6" s="1"/>
  <c r="BV32" i="6"/>
  <c r="CH32" i="5"/>
  <c r="BM33" i="6"/>
  <c r="AK34" i="6"/>
  <c r="CT34" i="6" s="1"/>
  <c r="AG34" i="6"/>
  <c r="CP34" i="6" s="1"/>
  <c r="AO34" i="6"/>
  <c r="CX34" i="6" s="1"/>
  <c r="BJ33" i="6"/>
  <c r="BW32" i="6"/>
  <c r="AI34" i="6"/>
  <c r="CR34" i="6" s="1"/>
  <c r="AJ34" i="6"/>
  <c r="CS34" i="6" s="1"/>
  <c r="BL33" i="6"/>
  <c r="DO32" i="6"/>
  <c r="DP32" i="6" s="1"/>
  <c r="DQ32" i="6" s="1"/>
  <c r="CJ32" i="6"/>
  <c r="BX32" i="6"/>
  <c r="BF33" i="6"/>
  <c r="BU33" i="6"/>
  <c r="BZ32" i="6"/>
  <c r="CB33" i="6"/>
  <c r="CE32" i="6"/>
  <c r="AO33" i="3"/>
  <c r="CX33" i="3" s="1"/>
  <c r="CH32" i="6"/>
  <c r="CC32" i="3"/>
  <c r="BE33" i="4"/>
  <c r="DN33" i="4" s="1"/>
  <c r="AW33" i="5"/>
  <c r="DF33" i="5" s="1"/>
  <c r="AJ33" i="3"/>
  <c r="CS33" i="3" s="1"/>
  <c r="BO33" i="6"/>
  <c r="CA32" i="6"/>
  <c r="CC33" i="6"/>
  <c r="CH32" i="4"/>
  <c r="CD32" i="6"/>
  <c r="AU33" i="6"/>
  <c r="DD33" i="6" s="1"/>
  <c r="BY32" i="5"/>
  <c r="AU33" i="5"/>
  <c r="DD33" i="5" s="1"/>
  <c r="CK31" i="5"/>
  <c r="CL31" i="5" s="1"/>
  <c r="BY33" i="5"/>
  <c r="CB32" i="5"/>
  <c r="BU33" i="5"/>
  <c r="AX33" i="5"/>
  <c r="DG33" i="5" s="1"/>
  <c r="CE32" i="5"/>
  <c r="AZ33" i="4"/>
  <c r="DI33" i="4" s="1"/>
  <c r="AX33" i="4"/>
  <c r="DG33" i="4" s="1"/>
  <c r="CC32" i="4"/>
  <c r="AL34" i="5"/>
  <c r="CU34" i="5" s="1"/>
  <c r="BN33" i="5"/>
  <c r="BZ32" i="5"/>
  <c r="CD32" i="5"/>
  <c r="CG32" i="5"/>
  <c r="AQ33" i="3"/>
  <c r="CZ33" i="3" s="1"/>
  <c r="BE33" i="5"/>
  <c r="DN33" i="5" s="1"/>
  <c r="AQ34" i="5"/>
  <c r="CZ34" i="5" s="1"/>
  <c r="BS33" i="5"/>
  <c r="BN32" i="3"/>
  <c r="CI32" i="4"/>
  <c r="BI33" i="5"/>
  <c r="BB33" i="5"/>
  <c r="DK33" i="5" s="1"/>
  <c r="BX32" i="5"/>
  <c r="BU32" i="3"/>
  <c r="AZ33" i="5"/>
  <c r="DI33" i="5" s="1"/>
  <c r="AL33" i="3"/>
  <c r="CU33" i="3" s="1"/>
  <c r="AM34" i="5"/>
  <c r="CV34" i="5" s="1"/>
  <c r="AE34" i="5"/>
  <c r="CN34" i="5" s="1"/>
  <c r="AD34" i="5"/>
  <c r="CM34" i="5" s="1"/>
  <c r="AH34" i="5"/>
  <c r="CQ34" i="5" s="1"/>
  <c r="AF34" i="5"/>
  <c r="CO34" i="5" s="1"/>
  <c r="BH33" i="5"/>
  <c r="AY33" i="5"/>
  <c r="DH33" i="5" s="1"/>
  <c r="BP33" i="5"/>
  <c r="BD33" i="5"/>
  <c r="DM33" i="5" s="1"/>
  <c r="BA33" i="5"/>
  <c r="DJ33" i="5" s="1"/>
  <c r="AV33" i="5"/>
  <c r="DE33" i="5" s="1"/>
  <c r="AT33" i="5"/>
  <c r="DC33" i="5" s="1"/>
  <c r="AR33" i="5"/>
  <c r="DA33" i="5" s="1"/>
  <c r="AS33" i="5"/>
  <c r="DB33" i="5" s="1"/>
  <c r="BV32" i="5"/>
  <c r="BW32" i="5"/>
  <c r="AK33" i="3"/>
  <c r="CT33" i="3" s="1"/>
  <c r="AO34" i="5"/>
  <c r="CX34" i="5" s="1"/>
  <c r="AK34" i="5"/>
  <c r="CT34" i="5" s="1"/>
  <c r="AG34" i="5"/>
  <c r="CP34" i="5" s="1"/>
  <c r="BJ33" i="5"/>
  <c r="BK33" i="5"/>
  <c r="BR33" i="5"/>
  <c r="BF33" i="5"/>
  <c r="BG32" i="4"/>
  <c r="CF32" i="5"/>
  <c r="CI32" i="5"/>
  <c r="AY33" i="4"/>
  <c r="DH33" i="4" s="1"/>
  <c r="AJ34" i="5"/>
  <c r="CS34" i="5" s="1"/>
  <c r="AI34" i="5"/>
  <c r="CR34" i="5" s="1"/>
  <c r="BL33" i="5"/>
  <c r="BC33" i="5"/>
  <c r="DL33" i="5" s="1"/>
  <c r="AP34" i="5"/>
  <c r="CY34" i="5" s="1"/>
  <c r="AN34" i="5"/>
  <c r="CW34" i="5" s="1"/>
  <c r="BQ33" i="5"/>
  <c r="BM33" i="5"/>
  <c r="BT33" i="5"/>
  <c r="BF33" i="4"/>
  <c r="DO33" i="4" s="1"/>
  <c r="BO33" i="5"/>
  <c r="AP33" i="3"/>
  <c r="CY33" i="3" s="1"/>
  <c r="BG32" i="5"/>
  <c r="CJ32" i="5"/>
  <c r="DO32" i="5"/>
  <c r="DP32" i="5" s="1"/>
  <c r="DQ32" i="5" s="1"/>
  <c r="AX33" i="3"/>
  <c r="DG33" i="3" s="1"/>
  <c r="CK31" i="3"/>
  <c r="CL31" i="3" s="1"/>
  <c r="CJ32" i="3"/>
  <c r="BC33" i="3"/>
  <c r="DL33" i="3" s="1"/>
  <c r="CG32" i="3"/>
  <c r="AY33" i="3"/>
  <c r="DH33" i="3" s="1"/>
  <c r="CB32" i="3"/>
  <c r="AZ33" i="3"/>
  <c r="DI33" i="3" s="1"/>
  <c r="BG32" i="3"/>
  <c r="BW33" i="4"/>
  <c r="CE33" i="4"/>
  <c r="CH32" i="3"/>
  <c r="CH33" i="4"/>
  <c r="BR33" i="4"/>
  <c r="BF33" i="3"/>
  <c r="DP32" i="4"/>
  <c r="DQ32" i="4" s="1"/>
  <c r="AF34" i="4"/>
  <c r="CO34" i="4" s="1"/>
  <c r="AH34" i="4"/>
  <c r="CQ34" i="4" s="1"/>
  <c r="AE34" i="4"/>
  <c r="CN34" i="4" s="1"/>
  <c r="AM34" i="4"/>
  <c r="CV34" i="4" s="1"/>
  <c r="AD34" i="4"/>
  <c r="CM34" i="4" s="1"/>
  <c r="BH33" i="4"/>
  <c r="BB34" i="4"/>
  <c r="DK34" i="4" s="1"/>
  <c r="AP34" i="4"/>
  <c r="CY34" i="4" s="1"/>
  <c r="AN34" i="4"/>
  <c r="CW34" i="4" s="1"/>
  <c r="BQ33" i="4"/>
  <c r="BI33" i="4"/>
  <c r="BU33" i="4"/>
  <c r="BO33" i="4"/>
  <c r="BT33" i="4"/>
  <c r="CF33" i="4"/>
  <c r="BD33" i="3"/>
  <c r="AK34" i="4"/>
  <c r="CT34" i="4" s="1"/>
  <c r="AG34" i="4"/>
  <c r="CP34" i="4" s="1"/>
  <c r="AU34" i="4"/>
  <c r="DD34" i="4" s="1"/>
  <c r="AO34" i="4"/>
  <c r="CX34" i="4" s="1"/>
  <c r="BJ33" i="4"/>
  <c r="BA34" i="4"/>
  <c r="DJ34" i="4" s="1"/>
  <c r="AV34" i="4"/>
  <c r="DE34" i="4" s="1"/>
  <c r="AS34" i="4"/>
  <c r="DB34" i="4" s="1"/>
  <c r="AT34" i="4"/>
  <c r="DC34" i="4" s="1"/>
  <c r="AR34" i="4"/>
  <c r="DA34" i="4" s="1"/>
  <c r="BV33" i="4"/>
  <c r="BE33" i="3"/>
  <c r="DN33" i="3" s="1"/>
  <c r="CI32" i="3"/>
  <c r="BY33" i="4"/>
  <c r="AJ34" i="4"/>
  <c r="CS34" i="4" s="1"/>
  <c r="AI34" i="4"/>
  <c r="CR34" i="4" s="1"/>
  <c r="AW34" i="4"/>
  <c r="DF34" i="4" s="1"/>
  <c r="BL33" i="4"/>
  <c r="CA33" i="4"/>
  <c r="BM33" i="4"/>
  <c r="CG33" i="4"/>
  <c r="AQ34" i="4"/>
  <c r="CZ34" i="4" s="1"/>
  <c r="BE34" i="4"/>
  <c r="DN34" i="4" s="1"/>
  <c r="BS33" i="4"/>
  <c r="AL34" i="4"/>
  <c r="CU34" i="4" s="1"/>
  <c r="AZ34" i="4"/>
  <c r="DI34" i="4" s="1"/>
  <c r="BN33" i="4"/>
  <c r="BX33" i="4"/>
  <c r="CC33" i="4"/>
  <c r="CB33" i="4"/>
  <c r="BP33" i="4"/>
  <c r="BK33" i="4"/>
  <c r="BZ33" i="4"/>
  <c r="CP32" i="2"/>
  <c r="BK32" i="2"/>
  <c r="BI33" i="3"/>
  <c r="AI34" i="3"/>
  <c r="CR34" i="3" s="1"/>
  <c r="AW34" i="3"/>
  <c r="DF34" i="3" s="1"/>
  <c r="BL33" i="3"/>
  <c r="CE33" i="3"/>
  <c r="DB32" i="2"/>
  <c r="BW32" i="2"/>
  <c r="BA34" i="3"/>
  <c r="DJ34" i="3" s="1"/>
  <c r="BV33" i="3"/>
  <c r="AR34" i="3"/>
  <c r="DA34" i="3" s="1"/>
  <c r="AT34" i="3"/>
  <c r="DC34" i="3" s="1"/>
  <c r="AS34" i="3"/>
  <c r="DB34" i="3" s="1"/>
  <c r="AV34" i="3"/>
  <c r="DE34" i="3" s="1"/>
  <c r="DP32" i="3"/>
  <c r="DQ32" i="3" s="1"/>
  <c r="AG34" i="3"/>
  <c r="CP34" i="3" s="1"/>
  <c r="AU34" i="3"/>
  <c r="DD34" i="3" s="1"/>
  <c r="BJ33" i="3"/>
  <c r="CF33" i="3"/>
  <c r="BW33" i="3"/>
  <c r="AF34" i="3"/>
  <c r="CO34" i="3" s="1"/>
  <c r="AH34" i="3"/>
  <c r="CQ34" i="3" s="1"/>
  <c r="AM34" i="3"/>
  <c r="CV34" i="3" s="1"/>
  <c r="AD34" i="3"/>
  <c r="CM34" i="3" s="1"/>
  <c r="AE34" i="3"/>
  <c r="CN34" i="3" s="1"/>
  <c r="BH33" i="3"/>
  <c r="BX33" i="3"/>
  <c r="CA33" i="3"/>
  <c r="BR33" i="3"/>
  <c r="CN32" i="2"/>
  <c r="BI32" i="2"/>
  <c r="BK33" i="3"/>
  <c r="DD32" i="2"/>
  <c r="BY32" i="2"/>
  <c r="BZ33" i="3"/>
  <c r="DC32" i="2"/>
  <c r="BX32" i="2"/>
  <c r="BY33" i="3"/>
  <c r="BB34" i="3"/>
  <c r="DK34" i="3" s="1"/>
  <c r="BQ33" i="3"/>
  <c r="AN34" i="3"/>
  <c r="CW34" i="3" s="1"/>
  <c r="BM33" i="3"/>
  <c r="CO32" i="2"/>
  <c r="AG33" i="2"/>
  <c r="AU33" i="2"/>
  <c r="AF33" i="2"/>
  <c r="BJ33" i="2" s="1"/>
  <c r="AE33" i="2"/>
  <c r="AD33" i="2"/>
  <c r="BH33" i="2" s="1"/>
  <c r="CM32" i="2"/>
  <c r="AS33" i="2"/>
  <c r="AR33" i="2"/>
  <c r="BV33" i="2" s="1"/>
  <c r="DA32" i="2"/>
  <c r="AT33" i="2"/>
  <c r="CR31" i="2"/>
  <c r="AJ32" i="2"/>
  <c r="AZ32" i="2"/>
  <c r="CD32" i="2" s="1"/>
  <c r="AL32" i="2"/>
  <c r="BP32" i="2" s="1"/>
  <c r="AY32" i="2"/>
  <c r="CC32" i="2" s="1"/>
  <c r="AO32" i="2"/>
  <c r="BS32" i="2" s="1"/>
  <c r="AK32" i="2"/>
  <c r="BO32" i="2" s="1"/>
  <c r="BC32" i="2"/>
  <c r="CG32" i="2" s="1"/>
  <c r="AN32" i="2"/>
  <c r="BR32" i="2" s="1"/>
  <c r="AP32" i="2"/>
  <c r="BT32" i="2" s="1"/>
  <c r="AW32" i="2"/>
  <c r="CA32" i="2" s="1"/>
  <c r="AI32" i="2"/>
  <c r="AM32" i="2"/>
  <c r="BQ32" i="2" s="1"/>
  <c r="AH32" i="2"/>
  <c r="BL32" i="2" s="1"/>
  <c r="BF32" i="2"/>
  <c r="BA32" i="2"/>
  <c r="CE32" i="2" s="1"/>
  <c r="AV32" i="2"/>
  <c r="BZ32" i="2" s="1"/>
  <c r="AX32" i="2"/>
  <c r="CB32" i="2" s="1"/>
  <c r="BD32" i="2"/>
  <c r="CH32" i="2" s="1"/>
  <c r="BE32" i="2"/>
  <c r="CI32" i="2" s="1"/>
  <c r="AQ32" i="2"/>
  <c r="BU32" i="2" s="1"/>
  <c r="BB32" i="2"/>
  <c r="CF32" i="2" s="1"/>
  <c r="DP30" i="2"/>
  <c r="DQ30" i="2" s="1"/>
  <c r="DK32" i="2"/>
  <c r="CQ31" i="2"/>
  <c r="CT31" i="2"/>
  <c r="DK31" i="2"/>
  <c r="DE31" i="2"/>
  <c r="CU31" i="2"/>
  <c r="CV31" i="2"/>
  <c r="DL31" i="2"/>
  <c r="DH31" i="2"/>
  <c r="CW31" i="2"/>
  <c r="CJ31" i="2"/>
  <c r="DO31" i="2"/>
  <c r="DM31" i="2"/>
  <c r="CS31" i="2"/>
  <c r="CK30" i="2"/>
  <c r="CL30" i="2" s="1"/>
  <c r="DF31" i="2"/>
  <c r="DN31" i="2"/>
  <c r="DI31" i="2"/>
  <c r="CY31" i="2"/>
  <c r="DG31" i="2"/>
  <c r="CX31" i="2"/>
  <c r="CZ31" i="2"/>
  <c r="BG31" i="2"/>
  <c r="AZ34" i="6" l="1"/>
  <c r="DI34" i="6" s="1"/>
  <c r="CI33" i="6"/>
  <c r="BN33" i="3"/>
  <c r="CB33" i="3"/>
  <c r="AK34" i="3"/>
  <c r="CT34" i="3" s="1"/>
  <c r="AJ34" i="3"/>
  <c r="CS34" i="3" s="1"/>
  <c r="CC33" i="8"/>
  <c r="AX34" i="8"/>
  <c r="DG34" i="8" s="1"/>
  <c r="AW34" i="8"/>
  <c r="DF34" i="8" s="1"/>
  <c r="AJ34" i="8"/>
  <c r="CS34" i="8" s="1"/>
  <c r="AI34" i="8"/>
  <c r="CR34" i="8" s="1"/>
  <c r="BL33" i="8"/>
  <c r="CI33" i="8"/>
  <c r="CG33" i="8"/>
  <c r="AM34" i="8"/>
  <c r="CV34" i="8" s="1"/>
  <c r="BG33" i="8"/>
  <c r="AH34" i="8"/>
  <c r="CQ34" i="8" s="1"/>
  <c r="BF34" i="8"/>
  <c r="AF34" i="8"/>
  <c r="CO34" i="8" s="1"/>
  <c r="AE34" i="8"/>
  <c r="CN34" i="8" s="1"/>
  <c r="AD34" i="8"/>
  <c r="CM34" i="8" s="1"/>
  <c r="BH33" i="8"/>
  <c r="AL34" i="8"/>
  <c r="CU34" i="8" s="1"/>
  <c r="AZ34" i="8"/>
  <c r="DI34" i="8" s="1"/>
  <c r="BN33" i="8"/>
  <c r="BK33" i="8"/>
  <c r="CJ33" i="8"/>
  <c r="DO33" i="8"/>
  <c r="CC33" i="3"/>
  <c r="CH33" i="8"/>
  <c r="BB34" i="8"/>
  <c r="DK34" i="8" s="1"/>
  <c r="AP34" i="8"/>
  <c r="CY34" i="8" s="1"/>
  <c r="BD34" i="8"/>
  <c r="DM34" i="8" s="1"/>
  <c r="AN34" i="8"/>
  <c r="CW34" i="8" s="1"/>
  <c r="BQ33" i="8"/>
  <c r="BU33" i="8"/>
  <c r="BI33" i="8"/>
  <c r="BU33" i="3"/>
  <c r="BY33" i="8"/>
  <c r="AL34" i="3"/>
  <c r="CU34" i="3" s="1"/>
  <c r="BS33" i="3"/>
  <c r="BT33" i="8"/>
  <c r="CD33" i="8"/>
  <c r="CK32" i="8"/>
  <c r="CL32" i="8" s="1"/>
  <c r="CA33" i="8"/>
  <c r="BZ33" i="8"/>
  <c r="CE33" i="8"/>
  <c r="DP32" i="8"/>
  <c r="DQ32" i="8" s="1"/>
  <c r="BA34" i="8"/>
  <c r="DJ34" i="8" s="1"/>
  <c r="AT34" i="8"/>
  <c r="DC34" i="8" s="1"/>
  <c r="AS34" i="8"/>
  <c r="DB34" i="8" s="1"/>
  <c r="AV34" i="8"/>
  <c r="DE34" i="8" s="1"/>
  <c r="AR34" i="8"/>
  <c r="DA34" i="8" s="1"/>
  <c r="BV33" i="8"/>
  <c r="CF33" i="8"/>
  <c r="BO33" i="3"/>
  <c r="BR33" i="8"/>
  <c r="BM33" i="8"/>
  <c r="BC34" i="8"/>
  <c r="DL34" i="8" s="1"/>
  <c r="AK34" i="8"/>
  <c r="CT34" i="8" s="1"/>
  <c r="AO34" i="8"/>
  <c r="CX34" i="8" s="1"/>
  <c r="AG34" i="8"/>
  <c r="CP34" i="8" s="1"/>
  <c r="AY34" i="8"/>
  <c r="DH34" i="8" s="1"/>
  <c r="AU34" i="8"/>
  <c r="DD34" i="8" s="1"/>
  <c r="BJ33" i="8"/>
  <c r="AQ34" i="8"/>
  <c r="CZ34" i="8" s="1"/>
  <c r="BE34" i="8"/>
  <c r="DN34" i="8" s="1"/>
  <c r="BS33" i="8"/>
  <c r="BW33" i="8"/>
  <c r="BO33" i="8"/>
  <c r="BX33" i="8"/>
  <c r="CD33" i="6"/>
  <c r="CG33" i="6"/>
  <c r="CB33" i="8"/>
  <c r="BP33" i="8"/>
  <c r="CA33" i="6"/>
  <c r="BE34" i="6"/>
  <c r="DN34" i="6" s="1"/>
  <c r="AW34" i="6"/>
  <c r="DF34" i="6" s="1"/>
  <c r="CK32" i="6"/>
  <c r="CL32" i="6" s="1"/>
  <c r="BM34" i="6"/>
  <c r="CF33" i="6"/>
  <c r="BA34" i="6"/>
  <c r="DJ34" i="6" s="1"/>
  <c r="AV34" i="6"/>
  <c r="DE34" i="6" s="1"/>
  <c r="AT34" i="6"/>
  <c r="DC34" i="6" s="1"/>
  <c r="AS34" i="6"/>
  <c r="DB34" i="6" s="1"/>
  <c r="AR34" i="6"/>
  <c r="DA34" i="6" s="1"/>
  <c r="BV33" i="6"/>
  <c r="CJ33" i="6"/>
  <c r="DO33" i="6"/>
  <c r="DP33" i="6" s="1"/>
  <c r="DQ33" i="6" s="1"/>
  <c r="BW33" i="6"/>
  <c r="CD34" i="6"/>
  <c r="BX33" i="6"/>
  <c r="BP34" i="6"/>
  <c r="AU34" i="6"/>
  <c r="DD34" i="6" s="1"/>
  <c r="BZ33" i="6"/>
  <c r="BD34" i="4"/>
  <c r="DM34" i="4" s="1"/>
  <c r="AQ35" i="6"/>
  <c r="CZ35" i="6" s="1"/>
  <c r="BS34" i="6"/>
  <c r="AQ34" i="3"/>
  <c r="CZ34" i="3" s="1"/>
  <c r="CJ33" i="4"/>
  <c r="BY33" i="6"/>
  <c r="BK34" i="6"/>
  <c r="CE33" i="6"/>
  <c r="AP34" i="3"/>
  <c r="CY34" i="3" s="1"/>
  <c r="AY34" i="6"/>
  <c r="DH34" i="6" s="1"/>
  <c r="BG33" i="6"/>
  <c r="BO34" i="6"/>
  <c r="AH35" i="6"/>
  <c r="CQ35" i="6" s="1"/>
  <c r="AF35" i="6"/>
  <c r="CO35" i="6" s="1"/>
  <c r="AD35" i="6"/>
  <c r="CM35" i="6" s="1"/>
  <c r="AE35" i="6"/>
  <c r="CN35" i="6" s="1"/>
  <c r="AM35" i="6"/>
  <c r="CV35" i="6" s="1"/>
  <c r="BH34" i="6"/>
  <c r="BB34" i="6"/>
  <c r="DK34" i="6" s="1"/>
  <c r="BC34" i="6"/>
  <c r="BI34" i="6"/>
  <c r="BU34" i="6"/>
  <c r="BD34" i="6"/>
  <c r="DM34" i="6" s="1"/>
  <c r="AO35" i="6"/>
  <c r="CX35" i="6" s="1"/>
  <c r="AK35" i="6"/>
  <c r="CT35" i="6" s="1"/>
  <c r="AG35" i="6"/>
  <c r="CP35" i="6" s="1"/>
  <c r="BJ34" i="6"/>
  <c r="CI34" i="6"/>
  <c r="BR34" i="6"/>
  <c r="CI33" i="4"/>
  <c r="CK32" i="4"/>
  <c r="AL35" i="6"/>
  <c r="CU35" i="6" s="1"/>
  <c r="BN34" i="6"/>
  <c r="AJ35" i="6"/>
  <c r="CS35" i="6" s="1"/>
  <c r="AI35" i="6"/>
  <c r="CR35" i="6" s="1"/>
  <c r="BL34" i="6"/>
  <c r="BT34" i="6"/>
  <c r="AP35" i="6"/>
  <c r="CY35" i="6" s="1"/>
  <c r="AN35" i="6"/>
  <c r="CW35" i="6" s="1"/>
  <c r="BB35" i="6"/>
  <c r="DK35" i="6" s="1"/>
  <c r="BQ34" i="6"/>
  <c r="BG33" i="4"/>
  <c r="AX34" i="6"/>
  <c r="DG34" i="6" s="1"/>
  <c r="BF34" i="6"/>
  <c r="CH33" i="6"/>
  <c r="CA33" i="5"/>
  <c r="BF34" i="5"/>
  <c r="DO34" i="5" s="1"/>
  <c r="AZ34" i="5"/>
  <c r="DI34" i="5" s="1"/>
  <c r="BD34" i="5"/>
  <c r="DM34" i="5" s="1"/>
  <c r="AU34" i="5"/>
  <c r="DD34" i="5" s="1"/>
  <c r="CK32" i="5"/>
  <c r="CL32" i="5" s="1"/>
  <c r="BB34" i="5"/>
  <c r="DK34" i="5" s="1"/>
  <c r="BW33" i="5"/>
  <c r="AS34" i="5"/>
  <c r="DB34" i="5" s="1"/>
  <c r="AR34" i="5"/>
  <c r="DA34" i="5" s="1"/>
  <c r="BA34" i="5"/>
  <c r="DJ34" i="5" s="1"/>
  <c r="AV34" i="5"/>
  <c r="DE34" i="5" s="1"/>
  <c r="AT34" i="5"/>
  <c r="DC34" i="5" s="1"/>
  <c r="BV33" i="5"/>
  <c r="BG33" i="5"/>
  <c r="BP33" i="3"/>
  <c r="CG33" i="5"/>
  <c r="BX33" i="5"/>
  <c r="BE34" i="5"/>
  <c r="DN34" i="5" s="1"/>
  <c r="AH35" i="5"/>
  <c r="CQ35" i="5" s="1"/>
  <c r="AE35" i="5"/>
  <c r="CN35" i="5" s="1"/>
  <c r="AD35" i="5"/>
  <c r="CM35" i="5" s="1"/>
  <c r="AF35" i="5"/>
  <c r="CO35" i="5" s="1"/>
  <c r="AM35" i="5"/>
  <c r="CV35" i="5" s="1"/>
  <c r="BH34" i="5"/>
  <c r="CD33" i="4"/>
  <c r="BZ33" i="5"/>
  <c r="AW34" i="5"/>
  <c r="DF34" i="5" s="1"/>
  <c r="AX34" i="5"/>
  <c r="DG34" i="5" s="1"/>
  <c r="CE33" i="5"/>
  <c r="CD33" i="5"/>
  <c r="CI33" i="5"/>
  <c r="BK34" i="5"/>
  <c r="CB33" i="5"/>
  <c r="BI34" i="5"/>
  <c r="BR34" i="5"/>
  <c r="BP34" i="5"/>
  <c r="CG33" i="3"/>
  <c r="CH33" i="5"/>
  <c r="AL35" i="5"/>
  <c r="CU35" i="5" s="1"/>
  <c r="BN34" i="5"/>
  <c r="AY34" i="4"/>
  <c r="DH34" i="4" s="1"/>
  <c r="AQ35" i="5"/>
  <c r="CZ35" i="5" s="1"/>
  <c r="BS34" i="5"/>
  <c r="CJ33" i="5"/>
  <c r="DO33" i="5"/>
  <c r="DP33" i="5" s="1"/>
  <c r="DQ33" i="5" s="1"/>
  <c r="BC34" i="4"/>
  <c r="DL34" i="4" s="1"/>
  <c r="BO34" i="5"/>
  <c r="AY34" i="5"/>
  <c r="DH34" i="5" s="1"/>
  <c r="CC33" i="5"/>
  <c r="AJ35" i="5"/>
  <c r="CS35" i="5" s="1"/>
  <c r="AI35" i="5"/>
  <c r="CR35" i="5" s="1"/>
  <c r="BL34" i="5"/>
  <c r="BU34" i="5"/>
  <c r="AX34" i="4"/>
  <c r="DG34" i="4" s="1"/>
  <c r="BM34" i="5"/>
  <c r="AO34" i="3"/>
  <c r="CX34" i="3" s="1"/>
  <c r="BF34" i="4"/>
  <c r="DO34" i="4" s="1"/>
  <c r="BC34" i="5"/>
  <c r="DL34" i="5" s="1"/>
  <c r="CF33" i="5"/>
  <c r="BT34" i="5"/>
  <c r="AP35" i="5"/>
  <c r="CY35" i="5" s="1"/>
  <c r="AN35" i="5"/>
  <c r="CW35" i="5" s="1"/>
  <c r="BQ34" i="5"/>
  <c r="BT33" i="3"/>
  <c r="AG35" i="5"/>
  <c r="CP35" i="5" s="1"/>
  <c r="AO35" i="5"/>
  <c r="CX35" i="5" s="1"/>
  <c r="AK35" i="5"/>
  <c r="CT35" i="5" s="1"/>
  <c r="BJ34" i="5"/>
  <c r="AX34" i="3"/>
  <c r="DG34" i="3" s="1"/>
  <c r="AY34" i="3"/>
  <c r="DH34" i="3" s="1"/>
  <c r="BC34" i="3"/>
  <c r="DL34" i="3" s="1"/>
  <c r="CD33" i="3"/>
  <c r="AZ34" i="3"/>
  <c r="DI34" i="3" s="1"/>
  <c r="CK32" i="3"/>
  <c r="CL32" i="3" s="1"/>
  <c r="BG33" i="3"/>
  <c r="DO33" i="3"/>
  <c r="BE34" i="3"/>
  <c r="DN34" i="3" s="1"/>
  <c r="DM33" i="3"/>
  <c r="CH33" i="3"/>
  <c r="CA34" i="4"/>
  <c r="BM34" i="4"/>
  <c r="CI34" i="4"/>
  <c r="BU34" i="4"/>
  <c r="BR34" i="4"/>
  <c r="BD34" i="3"/>
  <c r="DM34" i="3" s="1"/>
  <c r="BO34" i="4"/>
  <c r="CH34" i="4"/>
  <c r="CF34" i="4"/>
  <c r="BX34" i="4"/>
  <c r="BP34" i="4"/>
  <c r="BY34" i="4"/>
  <c r="AV35" i="4"/>
  <c r="DE35" i="4" s="1"/>
  <c r="AT35" i="4"/>
  <c r="DC35" i="4" s="1"/>
  <c r="AS35" i="4"/>
  <c r="DB35" i="4" s="1"/>
  <c r="AR35" i="4"/>
  <c r="DA35" i="4" s="1"/>
  <c r="BA35" i="4"/>
  <c r="DJ35" i="4" s="1"/>
  <c r="BV34" i="4"/>
  <c r="BF34" i="3"/>
  <c r="DO34" i="3" s="1"/>
  <c r="CJ33" i="3"/>
  <c r="BW34" i="4"/>
  <c r="AF35" i="4"/>
  <c r="CO35" i="4" s="1"/>
  <c r="AE35" i="4"/>
  <c r="CN35" i="4" s="1"/>
  <c r="AD35" i="4"/>
  <c r="CM35" i="4" s="1"/>
  <c r="AM35" i="4"/>
  <c r="CV35" i="4" s="1"/>
  <c r="AH35" i="4"/>
  <c r="CQ35" i="4" s="1"/>
  <c r="BH34" i="4"/>
  <c r="BT34" i="4"/>
  <c r="BZ34" i="4"/>
  <c r="AN35" i="4"/>
  <c r="CW35" i="4" s="1"/>
  <c r="BB35" i="4"/>
  <c r="DK35" i="4" s="1"/>
  <c r="AP35" i="4"/>
  <c r="CY35" i="4" s="1"/>
  <c r="BQ34" i="4"/>
  <c r="BI34" i="4"/>
  <c r="DP33" i="4"/>
  <c r="DQ33" i="4" s="1"/>
  <c r="CI33" i="3"/>
  <c r="CE34" i="4"/>
  <c r="AW35" i="4"/>
  <c r="DF35" i="4" s="1"/>
  <c r="AI35" i="4"/>
  <c r="CR35" i="4" s="1"/>
  <c r="AJ35" i="4"/>
  <c r="CS35" i="4" s="1"/>
  <c r="BL34" i="4"/>
  <c r="AQ35" i="4"/>
  <c r="CZ35" i="4" s="1"/>
  <c r="BE35" i="4"/>
  <c r="DN35" i="4" s="1"/>
  <c r="BS34" i="4"/>
  <c r="AL35" i="4"/>
  <c r="CU35" i="4" s="1"/>
  <c r="BN34" i="4"/>
  <c r="BK34" i="4"/>
  <c r="CD34" i="4"/>
  <c r="AG35" i="4"/>
  <c r="CP35" i="4" s="1"/>
  <c r="AU35" i="4"/>
  <c r="DD35" i="4" s="1"/>
  <c r="AO35" i="4"/>
  <c r="CX35" i="4" s="1"/>
  <c r="AK35" i="4"/>
  <c r="CT35" i="4" s="1"/>
  <c r="BJ34" i="4"/>
  <c r="AM35" i="3"/>
  <c r="CV35" i="3" s="1"/>
  <c r="AE35" i="3"/>
  <c r="CN35" i="3" s="1"/>
  <c r="AD35" i="3"/>
  <c r="CM35" i="3" s="1"/>
  <c r="AH35" i="3"/>
  <c r="CQ35" i="3" s="1"/>
  <c r="AF35" i="3"/>
  <c r="CO35" i="3" s="1"/>
  <c r="BH34" i="3"/>
  <c r="BO34" i="3"/>
  <c r="CN33" i="2"/>
  <c r="BI33" i="2"/>
  <c r="BR34" i="3"/>
  <c r="BM34" i="3"/>
  <c r="DC33" i="2"/>
  <c r="BX33" i="2"/>
  <c r="CE34" i="3"/>
  <c r="CF34" i="3"/>
  <c r="BI34" i="3"/>
  <c r="BY34" i="3"/>
  <c r="DB33" i="2"/>
  <c r="BW33" i="2"/>
  <c r="BK34" i="3"/>
  <c r="AU35" i="3"/>
  <c r="DD35" i="3" s="1"/>
  <c r="AG35" i="3"/>
  <c r="CP35" i="3" s="1"/>
  <c r="BJ34" i="3"/>
  <c r="DD33" i="2"/>
  <c r="BY33" i="2"/>
  <c r="BZ34" i="3"/>
  <c r="BW34" i="3"/>
  <c r="CA34" i="3"/>
  <c r="AH33" i="2"/>
  <c r="BL33" i="2" s="1"/>
  <c r="BM32" i="2"/>
  <c r="AW35" i="3"/>
  <c r="DF35" i="3" s="1"/>
  <c r="AI35" i="3"/>
  <c r="CR35" i="3" s="1"/>
  <c r="BL34" i="3"/>
  <c r="CP33" i="2"/>
  <c r="BK33" i="2"/>
  <c r="BX34" i="3"/>
  <c r="AN35" i="3"/>
  <c r="CW35" i="3" s="1"/>
  <c r="BB35" i="3"/>
  <c r="DK35" i="3" s="1"/>
  <c r="BQ34" i="3"/>
  <c r="BC33" i="2"/>
  <c r="CG33" i="2" s="1"/>
  <c r="BN32" i="2"/>
  <c r="AT35" i="3"/>
  <c r="DC35" i="3" s="1"/>
  <c r="AS35" i="3"/>
  <c r="DB35" i="3" s="1"/>
  <c r="AR35" i="3"/>
  <c r="DA35" i="3" s="1"/>
  <c r="BA35" i="3"/>
  <c r="DJ35" i="3" s="1"/>
  <c r="AV35" i="3"/>
  <c r="DE35" i="3" s="1"/>
  <c r="BV34" i="3"/>
  <c r="AV33" i="2"/>
  <c r="BZ33" i="2" s="1"/>
  <c r="AU34" i="2"/>
  <c r="AG34" i="2"/>
  <c r="BK34" i="2" s="1"/>
  <c r="CO33" i="2"/>
  <c r="BA33" i="2"/>
  <c r="CE33" i="2" s="1"/>
  <c r="AD34" i="2"/>
  <c r="BH34" i="2" s="1"/>
  <c r="AE34" i="2"/>
  <c r="AF34" i="2"/>
  <c r="BJ34" i="2" s="1"/>
  <c r="CM33" i="2"/>
  <c r="AM33" i="2"/>
  <c r="AK33" i="2"/>
  <c r="BB33" i="2"/>
  <c r="CF33" i="2" s="1"/>
  <c r="AO33" i="2"/>
  <c r="BS33" i="2" s="1"/>
  <c r="AZ33" i="2"/>
  <c r="CD33" i="2" s="1"/>
  <c r="AL33" i="2"/>
  <c r="BP33" i="2" s="1"/>
  <c r="AW33" i="2"/>
  <c r="CA33" i="2" s="1"/>
  <c r="AI33" i="2"/>
  <c r="AT34" i="2"/>
  <c r="AS34" i="2"/>
  <c r="AR34" i="2"/>
  <c r="BV34" i="2" s="1"/>
  <c r="DA33" i="2"/>
  <c r="AY33" i="2"/>
  <c r="CC33" i="2" s="1"/>
  <c r="AN33" i="2"/>
  <c r="BR33" i="2" s="1"/>
  <c r="BD33" i="2"/>
  <c r="CH33" i="2" s="1"/>
  <c r="AP33" i="2"/>
  <c r="BT33" i="2" s="1"/>
  <c r="AJ33" i="2"/>
  <c r="BN33" i="2" s="1"/>
  <c r="AX33" i="2"/>
  <c r="CB33" i="2" s="1"/>
  <c r="BF33" i="2"/>
  <c r="BE33" i="2"/>
  <c r="CI33" i="2" s="1"/>
  <c r="AQ33" i="2"/>
  <c r="BU33" i="2" s="1"/>
  <c r="DJ32" i="2"/>
  <c r="CK31" i="2"/>
  <c r="CL31" i="2" s="1"/>
  <c r="CR32" i="2"/>
  <c r="CX32" i="2"/>
  <c r="CU32" i="2"/>
  <c r="CV32" i="2"/>
  <c r="CT32" i="2"/>
  <c r="DM32" i="2"/>
  <c r="CQ32" i="2"/>
  <c r="DF32" i="2"/>
  <c r="CS32" i="2"/>
  <c r="CY32" i="2"/>
  <c r="DG32" i="2"/>
  <c r="DP31" i="2"/>
  <c r="DQ31" i="2" s="1"/>
  <c r="CZ32" i="2"/>
  <c r="DN32" i="2"/>
  <c r="DE32" i="2"/>
  <c r="CW32" i="2"/>
  <c r="DH32" i="2"/>
  <c r="DL32" i="2"/>
  <c r="CJ32" i="2"/>
  <c r="DO32" i="2"/>
  <c r="DI32" i="2"/>
  <c r="BG32" i="2"/>
  <c r="AU35" i="6" l="1"/>
  <c r="DD35" i="6" s="1"/>
  <c r="CA34" i="6"/>
  <c r="CL32" i="4"/>
  <c r="CK33" i="4"/>
  <c r="CL33" i="4" s="1"/>
  <c r="BN34" i="3"/>
  <c r="BP34" i="3"/>
  <c r="CD34" i="3"/>
  <c r="BS34" i="3"/>
  <c r="AX35" i="8"/>
  <c r="DG35" i="8" s="1"/>
  <c r="AW35" i="8"/>
  <c r="DF35" i="8" s="1"/>
  <c r="AJ35" i="8"/>
  <c r="CS35" i="8" s="1"/>
  <c r="AI35" i="8"/>
  <c r="CR35" i="8" s="1"/>
  <c r="BL34" i="8"/>
  <c r="AY35" i="5"/>
  <c r="DH35" i="5" s="1"/>
  <c r="AQ35" i="8"/>
  <c r="CZ35" i="8" s="1"/>
  <c r="BE35" i="8"/>
  <c r="DN35" i="8" s="1"/>
  <c r="BS34" i="8"/>
  <c r="CE34" i="8"/>
  <c r="AL35" i="3"/>
  <c r="CU35" i="3" s="1"/>
  <c r="BO34" i="8"/>
  <c r="CC34" i="8"/>
  <c r="AP35" i="8"/>
  <c r="CY35" i="8" s="1"/>
  <c r="AN35" i="8"/>
  <c r="CW35" i="8" s="1"/>
  <c r="BB35" i="8"/>
  <c r="DK35" i="8" s="1"/>
  <c r="BD35" i="8"/>
  <c r="DM35" i="8" s="1"/>
  <c r="BQ34" i="8"/>
  <c r="CD34" i="8"/>
  <c r="AJ35" i="3"/>
  <c r="CS35" i="3" s="1"/>
  <c r="DP33" i="8"/>
  <c r="DQ33" i="8" s="1"/>
  <c r="BY34" i="5"/>
  <c r="BP34" i="8"/>
  <c r="BM34" i="8"/>
  <c r="BW34" i="8"/>
  <c r="BK34" i="8"/>
  <c r="AK35" i="3"/>
  <c r="CT35" i="3" s="1"/>
  <c r="BT34" i="3"/>
  <c r="CC34" i="3"/>
  <c r="BR34" i="8"/>
  <c r="CK33" i="8"/>
  <c r="CL33" i="8" s="1"/>
  <c r="AZ35" i="8"/>
  <c r="DI35" i="8" s="1"/>
  <c r="AL35" i="8"/>
  <c r="CU35" i="8" s="1"/>
  <c r="BN34" i="8"/>
  <c r="BY34" i="8"/>
  <c r="BX34" i="8"/>
  <c r="CG34" i="8"/>
  <c r="CD34" i="5"/>
  <c r="CI34" i="8"/>
  <c r="CH34" i="8"/>
  <c r="AH35" i="8"/>
  <c r="CQ35" i="8" s="1"/>
  <c r="AF35" i="8"/>
  <c r="CO35" i="8" s="1"/>
  <c r="BF35" i="8"/>
  <c r="BG34" i="8"/>
  <c r="AM35" i="8"/>
  <c r="CV35" i="8" s="1"/>
  <c r="AE35" i="8"/>
  <c r="CN35" i="8" s="1"/>
  <c r="AD35" i="8"/>
  <c r="CM35" i="8" s="1"/>
  <c r="BH34" i="8"/>
  <c r="CA34" i="8"/>
  <c r="BZ34" i="8"/>
  <c r="CG34" i="3"/>
  <c r="AQ35" i="3"/>
  <c r="CZ35" i="3" s="1"/>
  <c r="CC34" i="4"/>
  <c r="AO35" i="3"/>
  <c r="CX35" i="3" s="1"/>
  <c r="CB34" i="4"/>
  <c r="BU34" i="8"/>
  <c r="BT34" i="8"/>
  <c r="BI34" i="8"/>
  <c r="CB34" i="8"/>
  <c r="BU34" i="3"/>
  <c r="AG35" i="8"/>
  <c r="CP35" i="8" s="1"/>
  <c r="AO35" i="8"/>
  <c r="CX35" i="8" s="1"/>
  <c r="BC35" i="8"/>
  <c r="DL35" i="8" s="1"/>
  <c r="AK35" i="8"/>
  <c r="CT35" i="8" s="1"/>
  <c r="AY35" i="8"/>
  <c r="DH35" i="8" s="1"/>
  <c r="AU35" i="8"/>
  <c r="DD35" i="8" s="1"/>
  <c r="BJ34" i="8"/>
  <c r="AP35" i="3"/>
  <c r="CY35" i="3" s="1"/>
  <c r="AV35" i="8"/>
  <c r="DE35" i="8" s="1"/>
  <c r="AT35" i="8"/>
  <c r="DC35" i="8" s="1"/>
  <c r="AS35" i="8"/>
  <c r="DB35" i="8" s="1"/>
  <c r="BA35" i="8"/>
  <c r="DJ35" i="8" s="1"/>
  <c r="AR35" i="8"/>
  <c r="DA35" i="8" s="1"/>
  <c r="BV34" i="8"/>
  <c r="CF34" i="8"/>
  <c r="DO34" i="8"/>
  <c r="CJ34" i="8"/>
  <c r="CK33" i="6"/>
  <c r="CL33" i="6" s="1"/>
  <c r="AX35" i="6"/>
  <c r="DG35" i="6" s="1"/>
  <c r="BE35" i="6"/>
  <c r="DN35" i="6" s="1"/>
  <c r="DL34" i="6"/>
  <c r="BG34" i="6"/>
  <c r="CB34" i="6"/>
  <c r="BY35" i="6"/>
  <c r="BI35" i="6"/>
  <c r="BP35" i="6"/>
  <c r="AY35" i="6"/>
  <c r="DH35" i="6" s="1"/>
  <c r="AM36" i="6"/>
  <c r="CV36" i="6" s="1"/>
  <c r="AE36" i="6"/>
  <c r="CN36" i="6" s="1"/>
  <c r="AD36" i="6"/>
  <c r="CM36" i="6" s="1"/>
  <c r="AH36" i="6"/>
  <c r="CQ36" i="6" s="1"/>
  <c r="AF36" i="6"/>
  <c r="CO36" i="6" s="1"/>
  <c r="BH35" i="6"/>
  <c r="AZ35" i="6"/>
  <c r="DI35" i="6" s="1"/>
  <c r="CH34" i="6"/>
  <c r="AO36" i="6"/>
  <c r="CX36" i="6" s="1"/>
  <c r="AK36" i="6"/>
  <c r="CT36" i="6" s="1"/>
  <c r="AG36" i="6"/>
  <c r="CP36" i="6" s="1"/>
  <c r="BJ35" i="6"/>
  <c r="CJ34" i="5"/>
  <c r="CF35" i="6"/>
  <c r="AJ36" i="6"/>
  <c r="CS36" i="6" s="1"/>
  <c r="AI36" i="6"/>
  <c r="CR36" i="6" s="1"/>
  <c r="BL35" i="6"/>
  <c r="BD35" i="6"/>
  <c r="DM35" i="6" s="1"/>
  <c r="BU35" i="6"/>
  <c r="AZ35" i="4"/>
  <c r="DI35" i="4" s="1"/>
  <c r="BD35" i="4"/>
  <c r="DM35" i="4" s="1"/>
  <c r="BR35" i="6"/>
  <c r="AV35" i="6"/>
  <c r="AT35" i="6"/>
  <c r="DC35" i="6" s="1"/>
  <c r="AR35" i="6"/>
  <c r="DA35" i="6" s="1"/>
  <c r="BA35" i="6"/>
  <c r="DJ35" i="6" s="1"/>
  <c r="AS35" i="6"/>
  <c r="DB35" i="6" s="1"/>
  <c r="BV34" i="6"/>
  <c r="DP33" i="3"/>
  <c r="DQ33" i="3" s="1"/>
  <c r="CH34" i="5"/>
  <c r="BT35" i="6"/>
  <c r="BW34" i="6"/>
  <c r="CG34" i="6"/>
  <c r="CC34" i="6"/>
  <c r="BX34" i="6"/>
  <c r="BZ34" i="6"/>
  <c r="AQ36" i="6"/>
  <c r="CZ36" i="6" s="1"/>
  <c r="BS35" i="6"/>
  <c r="BY34" i="6"/>
  <c r="CF34" i="6"/>
  <c r="DP34" i="6"/>
  <c r="DQ34" i="6" s="1"/>
  <c r="CE34" i="6"/>
  <c r="BM35" i="6"/>
  <c r="BK35" i="6"/>
  <c r="CK33" i="5"/>
  <c r="CL33" i="5" s="1"/>
  <c r="AL36" i="6"/>
  <c r="CU36" i="6" s="1"/>
  <c r="BN35" i="6"/>
  <c r="BC35" i="6"/>
  <c r="DL35" i="6" s="1"/>
  <c r="BO35" i="6"/>
  <c r="BF35" i="6"/>
  <c r="DO34" i="6"/>
  <c r="CJ34" i="6"/>
  <c r="AW35" i="6"/>
  <c r="AN36" i="6"/>
  <c r="CW36" i="6" s="1"/>
  <c r="AP36" i="6"/>
  <c r="CY36" i="6" s="1"/>
  <c r="BQ35" i="6"/>
  <c r="AW35" i="5"/>
  <c r="DF35" i="5" s="1"/>
  <c r="BF35" i="5"/>
  <c r="DO35" i="5" s="1"/>
  <c r="AX35" i="5"/>
  <c r="DG35" i="5" s="1"/>
  <c r="CF34" i="5"/>
  <c r="AU35" i="5"/>
  <c r="DD35" i="5" s="1"/>
  <c r="BE35" i="5"/>
  <c r="DN35" i="5" s="1"/>
  <c r="BG34" i="5"/>
  <c r="BP35" i="5"/>
  <c r="BC35" i="5"/>
  <c r="DL35" i="5" s="1"/>
  <c r="AM36" i="5"/>
  <c r="CV36" i="5" s="1"/>
  <c r="AF36" i="5"/>
  <c r="CO36" i="5" s="1"/>
  <c r="AH36" i="5"/>
  <c r="CQ36" i="5" s="1"/>
  <c r="AE36" i="5"/>
  <c r="CN36" i="5" s="1"/>
  <c r="AD36" i="5"/>
  <c r="CM36" i="5" s="1"/>
  <c r="BH35" i="5"/>
  <c r="CE34" i="5"/>
  <c r="AL36" i="5"/>
  <c r="CU36" i="5" s="1"/>
  <c r="BN35" i="5"/>
  <c r="CB34" i="3"/>
  <c r="DP34" i="5"/>
  <c r="DQ34" i="5" s="1"/>
  <c r="BZ34" i="5"/>
  <c r="CG34" i="5"/>
  <c r="CC34" i="5"/>
  <c r="AZ35" i="5"/>
  <c r="DI35" i="5" s="1"/>
  <c r="BI35" i="5"/>
  <c r="AT35" i="5"/>
  <c r="DC35" i="5" s="1"/>
  <c r="AS35" i="5"/>
  <c r="DB35" i="5" s="1"/>
  <c r="AR35" i="5"/>
  <c r="DA35" i="5" s="1"/>
  <c r="BA35" i="5"/>
  <c r="DJ35" i="5" s="1"/>
  <c r="AV35" i="5"/>
  <c r="DE35" i="5" s="1"/>
  <c r="BV34" i="5"/>
  <c r="AP36" i="5"/>
  <c r="CY36" i="5" s="1"/>
  <c r="AN36" i="5"/>
  <c r="CW36" i="5" s="1"/>
  <c r="BQ35" i="5"/>
  <c r="BX34" i="5"/>
  <c r="AJ36" i="5"/>
  <c r="CS36" i="5" s="1"/>
  <c r="AI36" i="5"/>
  <c r="CR36" i="5" s="1"/>
  <c r="BL35" i="5"/>
  <c r="BW34" i="5"/>
  <c r="AY35" i="3"/>
  <c r="DH35" i="3" s="1"/>
  <c r="BC35" i="4"/>
  <c r="DL35" i="4" s="1"/>
  <c r="BU35" i="5"/>
  <c r="AZ35" i="3"/>
  <c r="DI35" i="3" s="1"/>
  <c r="AO36" i="5"/>
  <c r="CX36" i="5" s="1"/>
  <c r="AG36" i="5"/>
  <c r="CP36" i="5" s="1"/>
  <c r="AK36" i="5"/>
  <c r="CT36" i="5" s="1"/>
  <c r="BJ35" i="5"/>
  <c r="CJ34" i="4"/>
  <c r="BG34" i="4"/>
  <c r="BF35" i="4"/>
  <c r="DO35" i="4" s="1"/>
  <c r="BR35" i="5"/>
  <c r="CB34" i="5"/>
  <c r="CI34" i="5"/>
  <c r="BM35" i="5"/>
  <c r="AX35" i="4"/>
  <c r="DG35" i="4" s="1"/>
  <c r="BK35" i="5"/>
  <c r="AX35" i="3"/>
  <c r="DG35" i="3" s="1"/>
  <c r="BT35" i="5"/>
  <c r="CA34" i="5"/>
  <c r="BC35" i="3"/>
  <c r="DL35" i="3" s="1"/>
  <c r="BB35" i="5"/>
  <c r="DK35" i="5" s="1"/>
  <c r="AY35" i="4"/>
  <c r="DH35" i="4" s="1"/>
  <c r="BD35" i="5"/>
  <c r="DM35" i="5" s="1"/>
  <c r="BO35" i="5"/>
  <c r="AQ36" i="5"/>
  <c r="CZ36" i="5" s="1"/>
  <c r="BS35" i="5"/>
  <c r="CG34" i="4"/>
  <c r="CK33" i="3"/>
  <c r="CL33" i="3" s="1"/>
  <c r="CI34" i="3"/>
  <c r="CJ34" i="3"/>
  <c r="BG34" i="3"/>
  <c r="CI35" i="4"/>
  <c r="AP36" i="4"/>
  <c r="CY36" i="4" s="1"/>
  <c r="AN36" i="4"/>
  <c r="CW36" i="4" s="1"/>
  <c r="BB36" i="4"/>
  <c r="DK36" i="4" s="1"/>
  <c r="BQ35" i="4"/>
  <c r="BZ35" i="4"/>
  <c r="BU35" i="4"/>
  <c r="BO35" i="4"/>
  <c r="AQ36" i="4"/>
  <c r="CZ36" i="4" s="1"/>
  <c r="BE36" i="4"/>
  <c r="DN36" i="4" s="1"/>
  <c r="BS35" i="4"/>
  <c r="DP34" i="4"/>
  <c r="DQ34" i="4" s="1"/>
  <c r="BF35" i="3"/>
  <c r="BT35" i="4"/>
  <c r="BM35" i="4"/>
  <c r="CF35" i="4"/>
  <c r="AO36" i="4"/>
  <c r="CX36" i="4" s="1"/>
  <c r="AU36" i="4"/>
  <c r="DD36" i="4" s="1"/>
  <c r="AK36" i="4"/>
  <c r="CT36" i="4" s="1"/>
  <c r="AG36" i="4"/>
  <c r="CP36" i="4" s="1"/>
  <c r="BJ35" i="4"/>
  <c r="BP35" i="4"/>
  <c r="AI36" i="4"/>
  <c r="CR36" i="4" s="1"/>
  <c r="AJ36" i="4"/>
  <c r="CS36" i="4" s="1"/>
  <c r="AW36" i="4"/>
  <c r="DF36" i="4" s="1"/>
  <c r="BL35" i="4"/>
  <c r="AL36" i="4"/>
  <c r="CU36" i="4" s="1"/>
  <c r="BN35" i="4"/>
  <c r="BI35" i="4"/>
  <c r="BR35" i="4"/>
  <c r="AS36" i="4"/>
  <c r="DB36" i="4" s="1"/>
  <c r="AR36" i="4"/>
  <c r="DA36" i="4" s="1"/>
  <c r="AV36" i="4"/>
  <c r="DE36" i="4" s="1"/>
  <c r="AT36" i="4"/>
  <c r="DC36" i="4" s="1"/>
  <c r="BA36" i="4"/>
  <c r="DJ36" i="4" s="1"/>
  <c r="BV35" i="4"/>
  <c r="AM36" i="4"/>
  <c r="CV36" i="4" s="1"/>
  <c r="AH36" i="4"/>
  <c r="CQ36" i="4" s="1"/>
  <c r="AF36" i="4"/>
  <c r="CO36" i="4" s="1"/>
  <c r="AE36" i="4"/>
  <c r="CN36" i="4" s="1"/>
  <c r="AD36" i="4"/>
  <c r="CM36" i="4" s="1"/>
  <c r="BH35" i="4"/>
  <c r="CH35" i="4"/>
  <c r="BX35" i="4"/>
  <c r="BK35" i="4"/>
  <c r="CA35" i="4"/>
  <c r="BY35" i="4"/>
  <c r="CE35" i="4"/>
  <c r="BE35" i="3"/>
  <c r="DN35" i="3" s="1"/>
  <c r="CH34" i="3"/>
  <c r="CD35" i="4"/>
  <c r="BW35" i="4"/>
  <c r="BD35" i="3"/>
  <c r="DD34" i="2"/>
  <c r="BY34" i="2"/>
  <c r="AG36" i="3"/>
  <c r="CP36" i="3" s="1"/>
  <c r="BJ35" i="3"/>
  <c r="AU36" i="3"/>
  <c r="DD36" i="3" s="1"/>
  <c r="BA36" i="3"/>
  <c r="DJ36" i="3" s="1"/>
  <c r="AR36" i="3"/>
  <c r="DA36" i="3" s="1"/>
  <c r="AT36" i="3"/>
  <c r="DC36" i="3" s="1"/>
  <c r="AS36" i="3"/>
  <c r="DB36" i="3" s="1"/>
  <c r="BV35" i="3"/>
  <c r="AV36" i="3"/>
  <c r="DE36" i="3" s="1"/>
  <c r="CN34" i="2"/>
  <c r="BI34" i="2"/>
  <c r="BW35" i="3"/>
  <c r="BX35" i="3"/>
  <c r="BK35" i="3"/>
  <c r="DB34" i="2"/>
  <c r="BW34" i="2"/>
  <c r="BY35" i="3"/>
  <c r="AV34" i="2"/>
  <c r="BZ34" i="2" s="1"/>
  <c r="BQ35" i="3"/>
  <c r="BB36" i="3"/>
  <c r="DK36" i="3" s="1"/>
  <c r="AN36" i="3"/>
  <c r="CW36" i="3" s="1"/>
  <c r="AY34" i="2"/>
  <c r="CC34" i="2" s="1"/>
  <c r="BO33" i="2"/>
  <c r="BZ35" i="3"/>
  <c r="BR35" i="3"/>
  <c r="CA35" i="3"/>
  <c r="DP34" i="3"/>
  <c r="DQ34" i="3" s="1"/>
  <c r="DC34" i="2"/>
  <c r="BX34" i="2"/>
  <c r="AF36" i="3"/>
  <c r="CO36" i="3" s="1"/>
  <c r="AE36" i="3"/>
  <c r="CN36" i="3" s="1"/>
  <c r="BH35" i="3"/>
  <c r="AM36" i="3"/>
  <c r="CV36" i="3" s="1"/>
  <c r="AH36" i="3"/>
  <c r="CQ36" i="3" s="1"/>
  <c r="AD36" i="3"/>
  <c r="CM36" i="3" s="1"/>
  <c r="CF35" i="3"/>
  <c r="CE35" i="3"/>
  <c r="AI34" i="2"/>
  <c r="BM34" i="2" s="1"/>
  <c r="BM33" i="2"/>
  <c r="BL35" i="3"/>
  <c r="AW36" i="3"/>
  <c r="DF36" i="3" s="1"/>
  <c r="AI36" i="3"/>
  <c r="CR36" i="3" s="1"/>
  <c r="BM35" i="3"/>
  <c r="BI35" i="3"/>
  <c r="CV33" i="2"/>
  <c r="BQ33" i="2"/>
  <c r="AQ34" i="2"/>
  <c r="BU34" i="2" s="1"/>
  <c r="BE34" i="2"/>
  <c r="CI34" i="2" s="1"/>
  <c r="AE35" i="2"/>
  <c r="AD35" i="2"/>
  <c r="BH35" i="2" s="1"/>
  <c r="AF35" i="2"/>
  <c r="BJ35" i="2" s="1"/>
  <c r="CM34" i="2"/>
  <c r="BC34" i="2"/>
  <c r="CG34" i="2" s="1"/>
  <c r="AO34" i="2"/>
  <c r="BS34" i="2" s="1"/>
  <c r="AZ34" i="2"/>
  <c r="AL34" i="2"/>
  <c r="CP34" i="2"/>
  <c r="AG35" i="2"/>
  <c r="AU35" i="2"/>
  <c r="CO34" i="2"/>
  <c r="AK34" i="2"/>
  <c r="AX34" i="2"/>
  <c r="CB34" i="2" s="1"/>
  <c r="AT35" i="2"/>
  <c r="BX35" i="2" s="1"/>
  <c r="AS35" i="2"/>
  <c r="AR35" i="2"/>
  <c r="BV35" i="2" s="1"/>
  <c r="DA34" i="2"/>
  <c r="AM34" i="2"/>
  <c r="AW34" i="2"/>
  <c r="CA34" i="2" s="1"/>
  <c r="BF34" i="2"/>
  <c r="AJ34" i="2"/>
  <c r="BN34" i="2" s="1"/>
  <c r="BB34" i="2"/>
  <c r="CF34" i="2" s="1"/>
  <c r="BD34" i="2"/>
  <c r="CH34" i="2" s="1"/>
  <c r="AN34" i="2"/>
  <c r="BR34" i="2" s="1"/>
  <c r="AP34" i="2"/>
  <c r="BT34" i="2" s="1"/>
  <c r="BA34" i="2"/>
  <c r="CE34" i="2" s="1"/>
  <c r="AH34" i="2"/>
  <c r="BL34" i="2" s="1"/>
  <c r="DJ33" i="2"/>
  <c r="DE33" i="2"/>
  <c r="CK32" i="2"/>
  <c r="CL32" i="2" s="1"/>
  <c r="DK33" i="2"/>
  <c r="DI33" i="2"/>
  <c r="DN33" i="2"/>
  <c r="CX33" i="2"/>
  <c r="DL33" i="2"/>
  <c r="CQ33" i="2"/>
  <c r="CJ33" i="2"/>
  <c r="DO33" i="2"/>
  <c r="CU33" i="2"/>
  <c r="CY33" i="2"/>
  <c r="CR33" i="2"/>
  <c r="DM33" i="2"/>
  <c r="DP32" i="2"/>
  <c r="DQ32" i="2" s="1"/>
  <c r="CZ33" i="2"/>
  <c r="DH33" i="2"/>
  <c r="DG33" i="2"/>
  <c r="DF33" i="2"/>
  <c r="CW33" i="2"/>
  <c r="CS33" i="2"/>
  <c r="CT33" i="2"/>
  <c r="BG33" i="2"/>
  <c r="CA35" i="5" l="1"/>
  <c r="CC35" i="5"/>
  <c r="CB35" i="3"/>
  <c r="BT35" i="3"/>
  <c r="AQ36" i="3"/>
  <c r="CZ36" i="3" s="1"/>
  <c r="BU35" i="3"/>
  <c r="BN35" i="3"/>
  <c r="BO35" i="3"/>
  <c r="BP35" i="3"/>
  <c r="AL36" i="3"/>
  <c r="CU36" i="3" s="1"/>
  <c r="CJ35" i="8"/>
  <c r="DO35" i="8"/>
  <c r="BO35" i="8"/>
  <c r="CI35" i="8"/>
  <c r="CG35" i="8"/>
  <c r="BU35" i="8"/>
  <c r="AQ36" i="8"/>
  <c r="CZ36" i="8" s="1"/>
  <c r="BE36" i="8"/>
  <c r="DN36" i="8" s="1"/>
  <c r="BS35" i="8"/>
  <c r="CH35" i="8"/>
  <c r="BP35" i="8"/>
  <c r="CC35" i="8"/>
  <c r="BK35" i="8"/>
  <c r="CF35" i="8"/>
  <c r="BF36" i="4"/>
  <c r="DO36" i="4" s="1"/>
  <c r="BX35" i="8"/>
  <c r="BZ35" i="8"/>
  <c r="CD35" i="8"/>
  <c r="AK36" i="8"/>
  <c r="CT36" i="8" s="1"/>
  <c r="AU36" i="8"/>
  <c r="DD36" i="8" s="1"/>
  <c r="AO36" i="8"/>
  <c r="CX36" i="8" s="1"/>
  <c r="AG36" i="8"/>
  <c r="CP36" i="8" s="1"/>
  <c r="BC36" i="8"/>
  <c r="DL36" i="8" s="1"/>
  <c r="AY36" i="8"/>
  <c r="DH36" i="8" s="1"/>
  <c r="BJ35" i="8"/>
  <c r="CC35" i="3"/>
  <c r="AK36" i="3"/>
  <c r="CT36" i="3" s="1"/>
  <c r="AW36" i="5"/>
  <c r="DF36" i="5" s="1"/>
  <c r="CB35" i="5"/>
  <c r="CB35" i="6"/>
  <c r="BM35" i="8"/>
  <c r="AW36" i="8"/>
  <c r="DF36" i="8" s="1"/>
  <c r="AJ36" i="8"/>
  <c r="CS36" i="8" s="1"/>
  <c r="AI36" i="8"/>
  <c r="CR36" i="8" s="1"/>
  <c r="AX36" i="8"/>
  <c r="DG36" i="8" s="1"/>
  <c r="BL35" i="8"/>
  <c r="AJ36" i="3"/>
  <c r="CS36" i="3" s="1"/>
  <c r="BY35" i="5"/>
  <c r="AS36" i="8"/>
  <c r="DB36" i="8" s="1"/>
  <c r="AR36" i="8"/>
  <c r="DA36" i="8" s="1"/>
  <c r="AV36" i="8"/>
  <c r="DE36" i="8" s="1"/>
  <c r="BA36" i="8"/>
  <c r="DJ36" i="8" s="1"/>
  <c r="AT36" i="8"/>
  <c r="DC36" i="8" s="1"/>
  <c r="BV35" i="8"/>
  <c r="BR35" i="8"/>
  <c r="AL36" i="8"/>
  <c r="CU36" i="8" s="1"/>
  <c r="AZ36" i="8"/>
  <c r="DI36" i="8" s="1"/>
  <c r="BN35" i="8"/>
  <c r="AO36" i="3"/>
  <c r="CX36" i="3" s="1"/>
  <c r="AX36" i="4"/>
  <c r="DG36" i="4" s="1"/>
  <c r="CE35" i="8"/>
  <c r="CK34" i="8"/>
  <c r="CL34" i="8" s="1"/>
  <c r="BT35" i="8"/>
  <c r="AY36" i="4"/>
  <c r="DH36" i="4" s="1"/>
  <c r="AZ36" i="6"/>
  <c r="DI36" i="6" s="1"/>
  <c r="AD36" i="8"/>
  <c r="CM36" i="8" s="1"/>
  <c r="BF36" i="8"/>
  <c r="AM36" i="8"/>
  <c r="CV36" i="8" s="1"/>
  <c r="AF36" i="8"/>
  <c r="CO36" i="8" s="1"/>
  <c r="AH36" i="8"/>
  <c r="CQ36" i="8" s="1"/>
  <c r="AE36" i="8"/>
  <c r="CN36" i="8" s="1"/>
  <c r="BG35" i="8"/>
  <c r="BH35" i="8"/>
  <c r="CA35" i="8"/>
  <c r="AN36" i="8"/>
  <c r="CW36" i="8" s="1"/>
  <c r="BB36" i="8"/>
  <c r="DK36" i="8" s="1"/>
  <c r="BD36" i="8"/>
  <c r="DM36" i="8" s="1"/>
  <c r="AP36" i="8"/>
  <c r="CY36" i="8" s="1"/>
  <c r="BQ35" i="8"/>
  <c r="DP34" i="8"/>
  <c r="DQ34" i="8" s="1"/>
  <c r="BY35" i="8"/>
  <c r="AP36" i="3"/>
  <c r="CY36" i="3" s="1"/>
  <c r="BS35" i="3"/>
  <c r="CC35" i="4"/>
  <c r="BW35" i="8"/>
  <c r="BI35" i="8"/>
  <c r="CB35" i="8"/>
  <c r="AU36" i="6"/>
  <c r="DD36" i="6" s="1"/>
  <c r="CI35" i="6"/>
  <c r="CK34" i="6"/>
  <c r="CL34" i="6" s="1"/>
  <c r="AX36" i="6"/>
  <c r="DG36" i="6" s="1"/>
  <c r="DE35" i="6"/>
  <c r="AW36" i="6"/>
  <c r="DF36" i="6" s="1"/>
  <c r="DF35" i="6"/>
  <c r="DP35" i="6" s="1"/>
  <c r="DQ35" i="6" s="1"/>
  <c r="BG35" i="6"/>
  <c r="BB36" i="6"/>
  <c r="DK36" i="6" s="1"/>
  <c r="DO35" i="6"/>
  <c r="CJ35" i="6"/>
  <c r="BG35" i="4"/>
  <c r="BK36" i="6"/>
  <c r="AM37" i="6"/>
  <c r="CV37" i="6" s="1"/>
  <c r="AH37" i="6"/>
  <c r="CQ37" i="6" s="1"/>
  <c r="AF37" i="6"/>
  <c r="CO37" i="6" s="1"/>
  <c r="AE37" i="6"/>
  <c r="CN37" i="6" s="1"/>
  <c r="AD37" i="6"/>
  <c r="CM37" i="6" s="1"/>
  <c r="BH36" i="6"/>
  <c r="BO36" i="6"/>
  <c r="BI36" i="6"/>
  <c r="AN37" i="6"/>
  <c r="CW37" i="6" s="1"/>
  <c r="AP37" i="6"/>
  <c r="CY37" i="6" s="1"/>
  <c r="BQ36" i="6"/>
  <c r="CG35" i="6"/>
  <c r="CH35" i="6"/>
  <c r="CC35" i="6"/>
  <c r="AY36" i="6"/>
  <c r="DH36" i="6" s="1"/>
  <c r="BP36" i="6"/>
  <c r="BC36" i="6"/>
  <c r="DL36" i="6" s="1"/>
  <c r="CD36" i="6"/>
  <c r="BE36" i="6"/>
  <c r="DN36" i="6" s="1"/>
  <c r="AQ37" i="6"/>
  <c r="CZ37" i="6" s="1"/>
  <c r="BS36" i="6"/>
  <c r="BU36" i="6"/>
  <c r="BW35" i="6"/>
  <c r="BM36" i="6"/>
  <c r="BT36" i="6"/>
  <c r="AL37" i="6"/>
  <c r="CU37" i="6" s="1"/>
  <c r="BN36" i="6"/>
  <c r="CE35" i="6"/>
  <c r="CD35" i="6"/>
  <c r="BR36" i="6"/>
  <c r="AS36" i="6"/>
  <c r="DB36" i="6" s="1"/>
  <c r="AR36" i="6"/>
  <c r="DA36" i="6" s="1"/>
  <c r="BA36" i="6"/>
  <c r="AV36" i="6"/>
  <c r="DE36" i="6" s="1"/>
  <c r="AT36" i="6"/>
  <c r="BV35" i="6"/>
  <c r="CW34" i="2"/>
  <c r="BD36" i="6"/>
  <c r="DM36" i="6" s="1"/>
  <c r="BX35" i="6"/>
  <c r="BF36" i="6"/>
  <c r="CK34" i="5"/>
  <c r="CL34" i="5" s="1"/>
  <c r="CA35" i="6"/>
  <c r="BZ35" i="6"/>
  <c r="AK37" i="6"/>
  <c r="CT37" i="6" s="1"/>
  <c r="AO37" i="6"/>
  <c r="CX37" i="6" s="1"/>
  <c r="AG37" i="6"/>
  <c r="CP37" i="6" s="1"/>
  <c r="BJ36" i="6"/>
  <c r="CK34" i="4"/>
  <c r="CL34" i="4" s="1"/>
  <c r="CI35" i="5"/>
  <c r="AJ37" i="6"/>
  <c r="CS37" i="6" s="1"/>
  <c r="AI37" i="6"/>
  <c r="CR37" i="6" s="1"/>
  <c r="BL36" i="6"/>
  <c r="AU36" i="5"/>
  <c r="DD36" i="5" s="1"/>
  <c r="AX36" i="5"/>
  <c r="DG36" i="5" s="1"/>
  <c r="BE36" i="5"/>
  <c r="DN36" i="5" s="1"/>
  <c r="CJ35" i="5"/>
  <c r="BF36" i="5"/>
  <c r="DO36" i="5" s="1"/>
  <c r="AZ36" i="5"/>
  <c r="DI36" i="5" s="1"/>
  <c r="BC36" i="5"/>
  <c r="DL36" i="5" s="1"/>
  <c r="CF35" i="5"/>
  <c r="BB36" i="5"/>
  <c r="DK36" i="5" s="1"/>
  <c r="BT36" i="5"/>
  <c r="CJ35" i="4"/>
  <c r="BU36" i="5"/>
  <c r="CG35" i="5"/>
  <c r="AX36" i="3"/>
  <c r="DG36" i="3" s="1"/>
  <c r="AK37" i="5"/>
  <c r="CT37" i="5" s="1"/>
  <c r="AG37" i="5"/>
  <c r="CP37" i="5" s="1"/>
  <c r="AO37" i="5"/>
  <c r="CX37" i="5" s="1"/>
  <c r="BJ36" i="5"/>
  <c r="AN37" i="5"/>
  <c r="CW37" i="5" s="1"/>
  <c r="AP37" i="5"/>
  <c r="CY37" i="5" s="1"/>
  <c r="BQ36" i="5"/>
  <c r="CG35" i="4"/>
  <c r="BZ35" i="5"/>
  <c r="BC36" i="4"/>
  <c r="DL36" i="4" s="1"/>
  <c r="CH35" i="5"/>
  <c r="AY36" i="5"/>
  <c r="DH36" i="5" s="1"/>
  <c r="BM36" i="5"/>
  <c r="BW35" i="5"/>
  <c r="CB35" i="4"/>
  <c r="BO36" i="5"/>
  <c r="AL37" i="5"/>
  <c r="CU37" i="5" s="1"/>
  <c r="BN36" i="5"/>
  <c r="CK34" i="3"/>
  <c r="CL34" i="3" s="1"/>
  <c r="CE35" i="5"/>
  <c r="AY36" i="3"/>
  <c r="DH36" i="3" s="1"/>
  <c r="BI36" i="5"/>
  <c r="AJ37" i="5"/>
  <c r="CS37" i="5" s="1"/>
  <c r="AI37" i="5"/>
  <c r="CR37" i="5" s="1"/>
  <c r="BL36" i="5"/>
  <c r="CG35" i="3"/>
  <c r="BP36" i="5"/>
  <c r="BD36" i="4"/>
  <c r="DM36" i="4" s="1"/>
  <c r="BK36" i="5"/>
  <c r="AZ36" i="3"/>
  <c r="DI36" i="3" s="1"/>
  <c r="CD35" i="3"/>
  <c r="AM37" i="5"/>
  <c r="CV37" i="5" s="1"/>
  <c r="AF37" i="5"/>
  <c r="CO37" i="5" s="1"/>
  <c r="AE37" i="5"/>
  <c r="CN37" i="5" s="1"/>
  <c r="AH37" i="5"/>
  <c r="CQ37" i="5" s="1"/>
  <c r="AD37" i="5"/>
  <c r="CM37" i="5" s="1"/>
  <c r="BH36" i="5"/>
  <c r="BD36" i="5"/>
  <c r="DM36" i="5" s="1"/>
  <c r="BR36" i="5"/>
  <c r="BC36" i="3"/>
  <c r="DL36" i="3" s="1"/>
  <c r="AS36" i="5"/>
  <c r="DB36" i="5" s="1"/>
  <c r="AR36" i="5"/>
  <c r="DA36" i="5" s="1"/>
  <c r="AT36" i="5"/>
  <c r="DC36" i="5" s="1"/>
  <c r="AV36" i="5"/>
  <c r="DE36" i="5" s="1"/>
  <c r="DP35" i="5"/>
  <c r="DQ35" i="5" s="1"/>
  <c r="BA36" i="5"/>
  <c r="DJ36" i="5" s="1"/>
  <c r="BV35" i="5"/>
  <c r="BX35" i="5"/>
  <c r="AZ36" i="4"/>
  <c r="DI36" i="4" s="1"/>
  <c r="AQ37" i="5"/>
  <c r="CZ37" i="5" s="1"/>
  <c r="BS36" i="5"/>
  <c r="CD35" i="5"/>
  <c r="BG35" i="5"/>
  <c r="BG35" i="3"/>
  <c r="CH35" i="3"/>
  <c r="DM35" i="3"/>
  <c r="CI35" i="3"/>
  <c r="CJ35" i="3"/>
  <c r="DO35" i="3"/>
  <c r="CA36" i="4"/>
  <c r="CB36" i="4"/>
  <c r="CE36" i="4"/>
  <c r="BA37" i="4"/>
  <c r="DJ37" i="4" s="1"/>
  <c r="AT37" i="4"/>
  <c r="DC37" i="4" s="1"/>
  <c r="AV37" i="4"/>
  <c r="DE37" i="4" s="1"/>
  <c r="AS37" i="4"/>
  <c r="DB37" i="4" s="1"/>
  <c r="AR37" i="4"/>
  <c r="DA37" i="4" s="1"/>
  <c r="BV36" i="4"/>
  <c r="BF36" i="3"/>
  <c r="BD36" i="3"/>
  <c r="DM36" i="3" s="1"/>
  <c r="BW36" i="4"/>
  <c r="CF36" i="4"/>
  <c r="BP36" i="4"/>
  <c r="AN37" i="4"/>
  <c r="CW37" i="4" s="1"/>
  <c r="BB37" i="4"/>
  <c r="DK37" i="4" s="1"/>
  <c r="AP37" i="4"/>
  <c r="CY37" i="4" s="1"/>
  <c r="BQ36" i="4"/>
  <c r="BZ36" i="4"/>
  <c r="BR36" i="4"/>
  <c r="AL37" i="4"/>
  <c r="CU37" i="4" s="1"/>
  <c r="BN36" i="4"/>
  <c r="BX36" i="4"/>
  <c r="AM37" i="4"/>
  <c r="CV37" i="4" s="1"/>
  <c r="AH37" i="4"/>
  <c r="CQ37" i="4" s="1"/>
  <c r="AD37" i="4"/>
  <c r="CM37" i="4" s="1"/>
  <c r="AF37" i="4"/>
  <c r="CO37" i="4" s="1"/>
  <c r="AE37" i="4"/>
  <c r="CN37" i="4" s="1"/>
  <c r="BH36" i="4"/>
  <c r="BK36" i="4"/>
  <c r="CH36" i="4"/>
  <c r="BM36" i="4"/>
  <c r="BE36" i="3"/>
  <c r="BI36" i="4"/>
  <c r="BO36" i="4"/>
  <c r="CI36" i="4"/>
  <c r="BT36" i="4"/>
  <c r="DP35" i="4"/>
  <c r="DQ35" i="4" s="1"/>
  <c r="AQ37" i="4"/>
  <c r="CZ37" i="4" s="1"/>
  <c r="BS36" i="4"/>
  <c r="AK37" i="4"/>
  <c r="CT37" i="4" s="1"/>
  <c r="AG37" i="4"/>
  <c r="CP37" i="4" s="1"/>
  <c r="AU37" i="4"/>
  <c r="DD37" i="4" s="1"/>
  <c r="AO37" i="4"/>
  <c r="CX37" i="4" s="1"/>
  <c r="BJ36" i="4"/>
  <c r="BY36" i="4"/>
  <c r="BU36" i="4"/>
  <c r="CJ36" i="4"/>
  <c r="AJ37" i="4"/>
  <c r="CS37" i="4" s="1"/>
  <c r="AI37" i="4"/>
  <c r="CR37" i="4" s="1"/>
  <c r="AW37" i="4"/>
  <c r="DF37" i="4" s="1"/>
  <c r="BL36" i="4"/>
  <c r="DK34" i="2"/>
  <c r="BX36" i="3"/>
  <c r="BZ36" i="3"/>
  <c r="CV34" i="2"/>
  <c r="BQ34" i="2"/>
  <c r="AM35" i="2"/>
  <c r="BQ35" i="2" s="1"/>
  <c r="BM36" i="3"/>
  <c r="CA36" i="3"/>
  <c r="BW36" i="3"/>
  <c r="DB35" i="2"/>
  <c r="BW35" i="2"/>
  <c r="BA37" i="3"/>
  <c r="DJ37" i="3" s="1"/>
  <c r="AV37" i="3"/>
  <c r="DE37" i="3" s="1"/>
  <c r="AT37" i="3"/>
  <c r="DC37" i="3" s="1"/>
  <c r="AR37" i="3"/>
  <c r="DA37" i="3" s="1"/>
  <c r="AS37" i="3"/>
  <c r="DB37" i="3" s="1"/>
  <c r="BV36" i="3"/>
  <c r="BY36" i="3"/>
  <c r="CF36" i="3"/>
  <c r="BK36" i="3"/>
  <c r="DD35" i="2"/>
  <c r="BY35" i="2"/>
  <c r="CP35" i="2"/>
  <c r="BK35" i="2"/>
  <c r="BP36" i="3"/>
  <c r="BI36" i="3"/>
  <c r="AG37" i="3"/>
  <c r="CP37" i="3" s="1"/>
  <c r="AU37" i="3"/>
  <c r="DD37" i="3" s="1"/>
  <c r="BJ36" i="3"/>
  <c r="CN35" i="2"/>
  <c r="BI35" i="2"/>
  <c r="CE36" i="3"/>
  <c r="BC35" i="2"/>
  <c r="CG35" i="2" s="1"/>
  <c r="BO34" i="2"/>
  <c r="BR36" i="3"/>
  <c r="AK35" i="2"/>
  <c r="BO35" i="2" s="1"/>
  <c r="BP34" i="2"/>
  <c r="AY35" i="2"/>
  <c r="CC35" i="2" s="1"/>
  <c r="CD34" i="2"/>
  <c r="BU36" i="3"/>
  <c r="AH37" i="3"/>
  <c r="CQ37" i="3" s="1"/>
  <c r="AF37" i="3"/>
  <c r="CO37" i="3" s="1"/>
  <c r="AM37" i="3"/>
  <c r="CV37" i="3" s="1"/>
  <c r="AD37" i="3"/>
  <c r="CM37" i="3" s="1"/>
  <c r="BH36" i="3"/>
  <c r="AE37" i="3"/>
  <c r="CN37" i="3" s="1"/>
  <c r="AW37" i="3"/>
  <c r="DF37" i="3" s="1"/>
  <c r="AI37" i="3"/>
  <c r="CR37" i="3" s="1"/>
  <c r="BL36" i="3"/>
  <c r="BB37" i="3"/>
  <c r="DK37" i="3" s="1"/>
  <c r="AN37" i="3"/>
  <c r="CW37" i="3" s="1"/>
  <c r="BQ36" i="3"/>
  <c r="BA35" i="2"/>
  <c r="CE35" i="2" s="1"/>
  <c r="AS36" i="2"/>
  <c r="AR36" i="2"/>
  <c r="BV36" i="2" s="1"/>
  <c r="AT36" i="2"/>
  <c r="DA35" i="2"/>
  <c r="AW35" i="2"/>
  <c r="CA35" i="2" s="1"/>
  <c r="AJ35" i="2"/>
  <c r="BN35" i="2" s="1"/>
  <c r="AX35" i="2"/>
  <c r="CB35" i="2" s="1"/>
  <c r="AI35" i="2"/>
  <c r="AN35" i="2"/>
  <c r="BB35" i="2"/>
  <c r="CF35" i="2" s="1"/>
  <c r="AP35" i="2"/>
  <c r="BD35" i="2"/>
  <c r="CH35" i="2" s="1"/>
  <c r="BE35" i="2"/>
  <c r="CI35" i="2" s="1"/>
  <c r="AQ35" i="2"/>
  <c r="BU35" i="2" s="1"/>
  <c r="AU36" i="2"/>
  <c r="DC35" i="2"/>
  <c r="AH35" i="2"/>
  <c r="CQ35" i="2" s="1"/>
  <c r="AV35" i="2"/>
  <c r="BZ35" i="2" s="1"/>
  <c r="AZ35" i="2"/>
  <c r="CD35" i="2" s="1"/>
  <c r="AG36" i="2"/>
  <c r="CO35" i="2"/>
  <c r="AD36" i="2"/>
  <c r="BH36" i="2" s="1"/>
  <c r="AF36" i="2"/>
  <c r="BJ36" i="2" s="1"/>
  <c r="AE36" i="2"/>
  <c r="CM35" i="2"/>
  <c r="AL35" i="2"/>
  <c r="BP35" i="2" s="1"/>
  <c r="AO35" i="2"/>
  <c r="BS35" i="2" s="1"/>
  <c r="BF35" i="2"/>
  <c r="DG34" i="2"/>
  <c r="CQ34" i="2"/>
  <c r="DF34" i="2"/>
  <c r="CK33" i="2"/>
  <c r="CL33" i="2" s="1"/>
  <c r="DE34" i="2"/>
  <c r="DH34" i="2"/>
  <c r="CU34" i="2"/>
  <c r="DI34" i="2"/>
  <c r="CZ34" i="2"/>
  <c r="DL34" i="2"/>
  <c r="CS34" i="2"/>
  <c r="CT34" i="2"/>
  <c r="DP33" i="2"/>
  <c r="DQ33" i="2" s="1"/>
  <c r="CJ34" i="2"/>
  <c r="DO34" i="2"/>
  <c r="DJ34" i="2"/>
  <c r="DN34" i="2"/>
  <c r="DM34" i="2"/>
  <c r="CY34" i="2"/>
  <c r="CX34" i="2"/>
  <c r="CR34" i="2"/>
  <c r="BG34" i="2"/>
  <c r="BB37" i="6" l="1"/>
  <c r="DK37" i="6" s="1"/>
  <c r="AU37" i="6"/>
  <c r="DD37" i="6" s="1"/>
  <c r="CJ36" i="5"/>
  <c r="CC36" i="4"/>
  <c r="AZ37" i="4"/>
  <c r="DI37" i="4" s="1"/>
  <c r="AX37" i="4"/>
  <c r="DG37" i="4" s="1"/>
  <c r="BS36" i="3"/>
  <c r="BN36" i="3"/>
  <c r="AJ37" i="3"/>
  <c r="CS37" i="3" s="1"/>
  <c r="BT36" i="3"/>
  <c r="AQ37" i="3"/>
  <c r="CZ37" i="3" s="1"/>
  <c r="AP37" i="3"/>
  <c r="CY37" i="3" s="1"/>
  <c r="AO37" i="3"/>
  <c r="CX37" i="3" s="1"/>
  <c r="AL37" i="3"/>
  <c r="CU37" i="3" s="1"/>
  <c r="CB36" i="3"/>
  <c r="BC37" i="8"/>
  <c r="DL37" i="8" s="1"/>
  <c r="AU37" i="8"/>
  <c r="DD37" i="8" s="1"/>
  <c r="AY37" i="8"/>
  <c r="DH37" i="8" s="1"/>
  <c r="AK37" i="8"/>
  <c r="CT37" i="8" s="1"/>
  <c r="AO37" i="8"/>
  <c r="CX37" i="8" s="1"/>
  <c r="AG37" i="8"/>
  <c r="CP37" i="8" s="1"/>
  <c r="BJ36" i="8"/>
  <c r="BT36" i="8"/>
  <c r="BX36" i="8"/>
  <c r="CI36" i="8"/>
  <c r="CH36" i="8"/>
  <c r="CE36" i="8"/>
  <c r="BU36" i="8"/>
  <c r="BZ36" i="8"/>
  <c r="AT37" i="8"/>
  <c r="DC37" i="8" s="1"/>
  <c r="BA37" i="8"/>
  <c r="DJ37" i="8" s="1"/>
  <c r="AV37" i="8"/>
  <c r="DE37" i="8" s="1"/>
  <c r="AS37" i="8"/>
  <c r="DB37" i="8" s="1"/>
  <c r="AR37" i="8"/>
  <c r="DA37" i="8" s="1"/>
  <c r="BV36" i="8"/>
  <c r="BY36" i="5"/>
  <c r="BW36" i="8"/>
  <c r="CA36" i="8"/>
  <c r="CC36" i="8"/>
  <c r="DO36" i="8"/>
  <c r="CJ36" i="8"/>
  <c r="AM37" i="8"/>
  <c r="CV37" i="8" s="1"/>
  <c r="BG36" i="8"/>
  <c r="AE37" i="8"/>
  <c r="CN37" i="8" s="1"/>
  <c r="AD37" i="8"/>
  <c r="CM37" i="8" s="1"/>
  <c r="AH37" i="8"/>
  <c r="CQ37" i="8" s="1"/>
  <c r="BF37" i="8"/>
  <c r="AF37" i="8"/>
  <c r="CO37" i="8" s="1"/>
  <c r="BH36" i="8"/>
  <c r="AX37" i="3"/>
  <c r="DG37" i="3" s="1"/>
  <c r="BO36" i="3"/>
  <c r="AK37" i="3"/>
  <c r="CT37" i="3" s="1"/>
  <c r="BG36" i="4"/>
  <c r="CK35" i="8"/>
  <c r="CL35" i="8" s="1"/>
  <c r="CG36" i="8"/>
  <c r="CA36" i="5"/>
  <c r="BR36" i="8"/>
  <c r="CA36" i="6"/>
  <c r="DP35" i="8"/>
  <c r="DQ35" i="8" s="1"/>
  <c r="BK36" i="8"/>
  <c r="AZ37" i="3"/>
  <c r="DI37" i="3" s="1"/>
  <c r="AY37" i="3"/>
  <c r="DH37" i="3" s="1"/>
  <c r="CB36" i="6"/>
  <c r="CB36" i="8"/>
  <c r="AL37" i="8"/>
  <c r="CU37" i="8" s="1"/>
  <c r="AZ37" i="8"/>
  <c r="DI37" i="8" s="1"/>
  <c r="BN36" i="8"/>
  <c r="CF36" i="8"/>
  <c r="BI36" i="8"/>
  <c r="CD36" i="8"/>
  <c r="BE37" i="8"/>
  <c r="DN37" i="8" s="1"/>
  <c r="AQ37" i="8"/>
  <c r="CZ37" i="8" s="1"/>
  <c r="BS36" i="8"/>
  <c r="BO36" i="8"/>
  <c r="BD37" i="8"/>
  <c r="DM37" i="8" s="1"/>
  <c r="AN37" i="8"/>
  <c r="CW37" i="8" s="1"/>
  <c r="BB37" i="8"/>
  <c r="DK37" i="8" s="1"/>
  <c r="AP37" i="8"/>
  <c r="CY37" i="8" s="1"/>
  <c r="BQ36" i="8"/>
  <c r="BY36" i="6"/>
  <c r="AX37" i="8"/>
  <c r="DG37" i="8" s="1"/>
  <c r="AI37" i="8"/>
  <c r="CR37" i="8" s="1"/>
  <c r="AW37" i="8"/>
  <c r="DF37" i="8" s="1"/>
  <c r="AJ37" i="8"/>
  <c r="CS37" i="8" s="1"/>
  <c r="BL36" i="8"/>
  <c r="BP36" i="8"/>
  <c r="BM36" i="8"/>
  <c r="BY36" i="8"/>
  <c r="CK35" i="6"/>
  <c r="CL35" i="6" s="1"/>
  <c r="AZ37" i="6"/>
  <c r="DI37" i="6" s="1"/>
  <c r="CF36" i="6"/>
  <c r="BE37" i="6"/>
  <c r="DN37" i="6" s="1"/>
  <c r="BD37" i="6"/>
  <c r="DM37" i="6" s="1"/>
  <c r="DJ36" i="6"/>
  <c r="AY37" i="6"/>
  <c r="DH37" i="6" s="1"/>
  <c r="DC36" i="6"/>
  <c r="DP36" i="6" s="1"/>
  <c r="DQ36" i="6" s="1"/>
  <c r="AG38" i="6"/>
  <c r="CP38" i="6" s="1"/>
  <c r="AO38" i="6"/>
  <c r="CX38" i="6" s="1"/>
  <c r="AK38" i="6"/>
  <c r="CT38" i="6" s="1"/>
  <c r="BJ37" i="6"/>
  <c r="CI36" i="5"/>
  <c r="CH36" i="6"/>
  <c r="AI38" i="6"/>
  <c r="CR38" i="6" s="1"/>
  <c r="AJ38" i="6"/>
  <c r="CS38" i="6" s="1"/>
  <c r="BL37" i="6"/>
  <c r="BY37" i="6"/>
  <c r="BU37" i="6"/>
  <c r="BT37" i="6"/>
  <c r="BG36" i="6"/>
  <c r="BK37" i="6"/>
  <c r="CD37" i="6"/>
  <c r="CI36" i="6"/>
  <c r="CF37" i="6"/>
  <c r="AQ38" i="6"/>
  <c r="CZ38" i="6" s="1"/>
  <c r="BS37" i="6"/>
  <c r="BP37" i="6"/>
  <c r="BR37" i="6"/>
  <c r="AP38" i="6"/>
  <c r="CY38" i="6" s="1"/>
  <c r="AN38" i="6"/>
  <c r="CW38" i="6" s="1"/>
  <c r="BQ37" i="6"/>
  <c r="BO37" i="6"/>
  <c r="BX36" i="6"/>
  <c r="CG36" i="6"/>
  <c r="BC37" i="6"/>
  <c r="DL37" i="6" s="1"/>
  <c r="BZ36" i="6"/>
  <c r="CK35" i="4"/>
  <c r="CL35" i="4" s="1"/>
  <c r="CE36" i="6"/>
  <c r="CG36" i="3"/>
  <c r="BA37" i="6"/>
  <c r="AT37" i="6"/>
  <c r="AS37" i="6"/>
  <c r="DB37" i="6" s="1"/>
  <c r="AR37" i="6"/>
  <c r="DA37" i="6" s="1"/>
  <c r="AV37" i="6"/>
  <c r="DE37" i="6" s="1"/>
  <c r="BV36" i="6"/>
  <c r="CC36" i="6"/>
  <c r="AW37" i="6"/>
  <c r="DF37" i="6" s="1"/>
  <c r="BW36" i="6"/>
  <c r="BI37" i="6"/>
  <c r="DP35" i="3"/>
  <c r="DQ35" i="3" s="1"/>
  <c r="CB36" i="5"/>
  <c r="AX37" i="6"/>
  <c r="AZ38" i="6" s="1"/>
  <c r="DI38" i="6" s="1"/>
  <c r="CC36" i="3"/>
  <c r="CD36" i="5"/>
  <c r="CK35" i="3"/>
  <c r="CL35" i="3" s="1"/>
  <c r="BM37" i="6"/>
  <c r="BF37" i="6"/>
  <c r="AL38" i="6"/>
  <c r="CU38" i="6" s="1"/>
  <c r="BN37" i="6"/>
  <c r="CJ36" i="6"/>
  <c r="DO36" i="6"/>
  <c r="AH38" i="6"/>
  <c r="CQ38" i="6" s="1"/>
  <c r="AF38" i="6"/>
  <c r="CO38" i="6" s="1"/>
  <c r="AE38" i="6"/>
  <c r="CN38" i="6" s="1"/>
  <c r="AD38" i="6"/>
  <c r="CM38" i="6" s="1"/>
  <c r="AM38" i="6"/>
  <c r="CV38" i="6" s="1"/>
  <c r="BH37" i="6"/>
  <c r="CG36" i="5"/>
  <c r="AW37" i="5"/>
  <c r="DF37" i="5" s="1"/>
  <c r="CK35" i="5"/>
  <c r="CL35" i="5" s="1"/>
  <c r="BE37" i="5"/>
  <c r="DN37" i="5" s="1"/>
  <c r="AZ37" i="5"/>
  <c r="DI37" i="5" s="1"/>
  <c r="CE36" i="5"/>
  <c r="BT37" i="5"/>
  <c r="BA37" i="5"/>
  <c r="DJ37" i="5" s="1"/>
  <c r="DP36" i="5"/>
  <c r="DQ36" i="5" s="1"/>
  <c r="AR37" i="5"/>
  <c r="DA37" i="5" s="1"/>
  <c r="AV37" i="5"/>
  <c r="DE37" i="5" s="1"/>
  <c r="AT37" i="5"/>
  <c r="DC37" i="5" s="1"/>
  <c r="AS37" i="5"/>
  <c r="DB37" i="5" s="1"/>
  <c r="BV36" i="5"/>
  <c r="AX37" i="5"/>
  <c r="DG37" i="5" s="1"/>
  <c r="BD37" i="3"/>
  <c r="DM37" i="3" s="1"/>
  <c r="BW36" i="5"/>
  <c r="AK38" i="5"/>
  <c r="CT38" i="5" s="1"/>
  <c r="AG38" i="5"/>
  <c r="CP38" i="5" s="1"/>
  <c r="AO38" i="5"/>
  <c r="CX38" i="5" s="1"/>
  <c r="BJ37" i="5"/>
  <c r="BM37" i="5"/>
  <c r="BR37" i="5"/>
  <c r="AP38" i="5"/>
  <c r="CY38" i="5" s="1"/>
  <c r="AN38" i="5"/>
  <c r="CW38" i="5" s="1"/>
  <c r="BQ37" i="5"/>
  <c r="BD37" i="5"/>
  <c r="DM37" i="5" s="1"/>
  <c r="BG36" i="5"/>
  <c r="BZ36" i="5"/>
  <c r="BI37" i="5"/>
  <c r="BB37" i="5"/>
  <c r="DK37" i="5" s="1"/>
  <c r="CD36" i="3"/>
  <c r="CG36" i="4"/>
  <c r="AL38" i="5"/>
  <c r="CU38" i="5" s="1"/>
  <c r="BN37" i="5"/>
  <c r="CF36" i="5"/>
  <c r="AH38" i="5"/>
  <c r="CQ38" i="5" s="1"/>
  <c r="AF38" i="5"/>
  <c r="CO38" i="5" s="1"/>
  <c r="AE38" i="5"/>
  <c r="CN38" i="5" s="1"/>
  <c r="AM38" i="5"/>
  <c r="CV38" i="5" s="1"/>
  <c r="AD38" i="5"/>
  <c r="CM38" i="5" s="1"/>
  <c r="BH37" i="5"/>
  <c r="BF37" i="5"/>
  <c r="BX36" i="5"/>
  <c r="AQ38" i="5"/>
  <c r="CZ38" i="5" s="1"/>
  <c r="BS37" i="5"/>
  <c r="CC36" i="5"/>
  <c r="AY37" i="5"/>
  <c r="DH37" i="5" s="1"/>
  <c r="BC37" i="3"/>
  <c r="DL37" i="3" s="1"/>
  <c r="BF37" i="4"/>
  <c r="DO37" i="4" s="1"/>
  <c r="BK37" i="5"/>
  <c r="BP37" i="5"/>
  <c r="CH36" i="3"/>
  <c r="BU37" i="5"/>
  <c r="BC37" i="4"/>
  <c r="DL37" i="4" s="1"/>
  <c r="CD36" i="4"/>
  <c r="BD37" i="4"/>
  <c r="DM37" i="4" s="1"/>
  <c r="CH36" i="5"/>
  <c r="BC37" i="5"/>
  <c r="DL37" i="5" s="1"/>
  <c r="AI38" i="5"/>
  <c r="CR38" i="5" s="1"/>
  <c r="AJ38" i="5"/>
  <c r="CS38" i="5" s="1"/>
  <c r="BL37" i="5"/>
  <c r="AU37" i="5"/>
  <c r="DD37" i="5" s="1"/>
  <c r="AY37" i="4"/>
  <c r="DH37" i="4" s="1"/>
  <c r="BO37" i="5"/>
  <c r="BE37" i="4"/>
  <c r="DN37" i="4" s="1"/>
  <c r="BF37" i="3"/>
  <c r="DO37" i="3" s="1"/>
  <c r="DN36" i="3"/>
  <c r="CJ36" i="3"/>
  <c r="DO36" i="3"/>
  <c r="BY37" i="4"/>
  <c r="BK37" i="4"/>
  <c r="AI38" i="4"/>
  <c r="CR38" i="4" s="1"/>
  <c r="AW38" i="4"/>
  <c r="DF38" i="4" s="1"/>
  <c r="AJ38" i="4"/>
  <c r="CS38" i="4" s="1"/>
  <c r="BL37" i="4"/>
  <c r="BT37" i="4"/>
  <c r="BZ37" i="4"/>
  <c r="BX37" i="4"/>
  <c r="BW37" i="4"/>
  <c r="BO37" i="4"/>
  <c r="DP36" i="4"/>
  <c r="DQ36" i="4" s="1"/>
  <c r="CE37" i="4"/>
  <c r="BM37" i="4"/>
  <c r="BI37" i="4"/>
  <c r="CA37" i="4"/>
  <c r="CB37" i="4"/>
  <c r="AL38" i="4"/>
  <c r="CU38" i="4" s="1"/>
  <c r="BN37" i="4"/>
  <c r="BU37" i="4"/>
  <c r="BG36" i="3"/>
  <c r="AG38" i="4"/>
  <c r="CP38" i="4" s="1"/>
  <c r="AU38" i="4"/>
  <c r="DD38" i="4" s="1"/>
  <c r="AO38" i="4"/>
  <c r="CX38" i="4" s="1"/>
  <c r="AK38" i="4"/>
  <c r="CT38" i="4" s="1"/>
  <c r="BJ37" i="4"/>
  <c r="CF37" i="4"/>
  <c r="CI36" i="3"/>
  <c r="BR37" i="4"/>
  <c r="BE37" i="3"/>
  <c r="CD37" i="4"/>
  <c r="AV38" i="4"/>
  <c r="DE38" i="4" s="1"/>
  <c r="AT38" i="4"/>
  <c r="DC38" i="4" s="1"/>
  <c r="AS38" i="4"/>
  <c r="DB38" i="4" s="1"/>
  <c r="AR38" i="4"/>
  <c r="DA38" i="4" s="1"/>
  <c r="BA38" i="4"/>
  <c r="DJ38" i="4" s="1"/>
  <c r="BV37" i="4"/>
  <c r="AH38" i="4"/>
  <c r="CQ38" i="4" s="1"/>
  <c r="AF38" i="4"/>
  <c r="CO38" i="4" s="1"/>
  <c r="AE38" i="4"/>
  <c r="CN38" i="4" s="1"/>
  <c r="AD38" i="4"/>
  <c r="CM38" i="4" s="1"/>
  <c r="AM38" i="4"/>
  <c r="CV38" i="4" s="1"/>
  <c r="BH37" i="4"/>
  <c r="BP37" i="4"/>
  <c r="AQ38" i="4"/>
  <c r="CZ38" i="4" s="1"/>
  <c r="BS37" i="4"/>
  <c r="CH37" i="4"/>
  <c r="BB38" i="4"/>
  <c r="DK38" i="4" s="1"/>
  <c r="AN38" i="4"/>
  <c r="CW38" i="4" s="1"/>
  <c r="AP38" i="4"/>
  <c r="CY38" i="4" s="1"/>
  <c r="BQ37" i="4"/>
  <c r="DF35" i="2"/>
  <c r="BM37" i="3"/>
  <c r="DD36" i="2"/>
  <c r="BY36" i="2"/>
  <c r="BN37" i="3"/>
  <c r="AQ36" i="2"/>
  <c r="BU36" i="2" s="1"/>
  <c r="BT35" i="2"/>
  <c r="BI37" i="3"/>
  <c r="BW37" i="3"/>
  <c r="CP36" i="2"/>
  <c r="BK36" i="2"/>
  <c r="BR37" i="3"/>
  <c r="DC36" i="2"/>
  <c r="BX36" i="2"/>
  <c r="CF37" i="3"/>
  <c r="AW38" i="3"/>
  <c r="DF38" i="3" s="1"/>
  <c r="AI38" i="3"/>
  <c r="CR38" i="3" s="1"/>
  <c r="BL37" i="3"/>
  <c r="CY35" i="2"/>
  <c r="AV36" i="2"/>
  <c r="BZ36" i="2" s="1"/>
  <c r="BL35" i="2"/>
  <c r="DB36" i="2"/>
  <c r="BW36" i="2"/>
  <c r="BU37" i="3"/>
  <c r="CN36" i="2"/>
  <c r="BI36" i="2"/>
  <c r="AT38" i="3"/>
  <c r="DC38" i="3" s="1"/>
  <c r="AV38" i="3"/>
  <c r="DE38" i="3" s="1"/>
  <c r="AS38" i="3"/>
  <c r="DB38" i="3" s="1"/>
  <c r="BA38" i="3"/>
  <c r="DJ38" i="3" s="1"/>
  <c r="AR38" i="3"/>
  <c r="DA38" i="3" s="1"/>
  <c r="BV37" i="3"/>
  <c r="BX37" i="3"/>
  <c r="AY36" i="2"/>
  <c r="CC36" i="2" s="1"/>
  <c r="AN38" i="3"/>
  <c r="CW38" i="3" s="1"/>
  <c r="BB38" i="3"/>
  <c r="DK38" i="3" s="1"/>
  <c r="BQ37" i="3"/>
  <c r="BZ37" i="3"/>
  <c r="AN36" i="2"/>
  <c r="BR36" i="2" s="1"/>
  <c r="BR35" i="2"/>
  <c r="BA36" i="2"/>
  <c r="CE36" i="2" s="1"/>
  <c r="BM35" i="2"/>
  <c r="AE38" i="3"/>
  <c r="CN38" i="3" s="1"/>
  <c r="AD38" i="3"/>
  <c r="CM38" i="3" s="1"/>
  <c r="AH38" i="3"/>
  <c r="CQ38" i="3" s="1"/>
  <c r="AM38" i="3"/>
  <c r="CV38" i="3" s="1"/>
  <c r="AF38" i="3"/>
  <c r="CO38" i="3" s="1"/>
  <c r="BH37" i="3"/>
  <c r="AU38" i="3"/>
  <c r="DD38" i="3" s="1"/>
  <c r="AG38" i="3"/>
  <c r="CP38" i="3" s="1"/>
  <c r="BJ37" i="3"/>
  <c r="CE37" i="3"/>
  <c r="CA37" i="3"/>
  <c r="BY37" i="3"/>
  <c r="AO36" i="2"/>
  <c r="BS36" i="2" s="1"/>
  <c r="BC36" i="2"/>
  <c r="CG36" i="2" s="1"/>
  <c r="BK37" i="3"/>
  <c r="AP36" i="2"/>
  <c r="BT36" i="2" s="1"/>
  <c r="BD36" i="2"/>
  <c r="CH36" i="2" s="1"/>
  <c r="AK36" i="2"/>
  <c r="BO36" i="2" s="1"/>
  <c r="AZ36" i="2"/>
  <c r="CD36" i="2" s="1"/>
  <c r="AL36" i="2"/>
  <c r="BB36" i="2"/>
  <c r="CF36" i="2" s="1"/>
  <c r="BF36" i="2"/>
  <c r="AM36" i="2"/>
  <c r="BQ36" i="2" s="1"/>
  <c r="AD37" i="2"/>
  <c r="BH37" i="2" s="1"/>
  <c r="AF37" i="2"/>
  <c r="BJ37" i="2" s="1"/>
  <c r="AE37" i="2"/>
  <c r="CM36" i="2"/>
  <c r="BE36" i="2"/>
  <c r="CI36" i="2" s="1"/>
  <c r="AJ36" i="2"/>
  <c r="BN36" i="2" s="1"/>
  <c r="AX36" i="2"/>
  <c r="CB36" i="2" s="1"/>
  <c r="AW36" i="2"/>
  <c r="AI36" i="2"/>
  <c r="BM36" i="2" s="1"/>
  <c r="AH36" i="2"/>
  <c r="AR37" i="2"/>
  <c r="BV37" i="2" s="1"/>
  <c r="AS37" i="2"/>
  <c r="AT37" i="2"/>
  <c r="DA36" i="2"/>
  <c r="AU37" i="2"/>
  <c r="AG37" i="2"/>
  <c r="CO36" i="2"/>
  <c r="CW35" i="2"/>
  <c r="CV35" i="2"/>
  <c r="CR35" i="2"/>
  <c r="DP34" i="2"/>
  <c r="DQ34" i="2" s="1"/>
  <c r="DG35" i="2"/>
  <c r="CU35" i="2"/>
  <c r="DH35" i="2"/>
  <c r="DI35" i="2"/>
  <c r="DE35" i="2"/>
  <c r="DJ35" i="2"/>
  <c r="DK35" i="2"/>
  <c r="DM35" i="2"/>
  <c r="CS35" i="2"/>
  <c r="CJ35" i="2"/>
  <c r="DO35" i="2"/>
  <c r="CZ35" i="2"/>
  <c r="CX35" i="2"/>
  <c r="DN35" i="2"/>
  <c r="CT35" i="2"/>
  <c r="DL35" i="2"/>
  <c r="CK34" i="2"/>
  <c r="CL34" i="2" s="1"/>
  <c r="BG35" i="2"/>
  <c r="CI37" i="6" l="1"/>
  <c r="CH37" i="6"/>
  <c r="BS37" i="3"/>
  <c r="AQ38" i="3"/>
  <c r="CZ38" i="3" s="1"/>
  <c r="BT37" i="3"/>
  <c r="AP38" i="3"/>
  <c r="CY38" i="3" s="1"/>
  <c r="AJ38" i="3"/>
  <c r="CS38" i="3" s="1"/>
  <c r="DP36" i="3"/>
  <c r="DQ36" i="3" s="1"/>
  <c r="BO37" i="3"/>
  <c r="AO38" i="3"/>
  <c r="CX38" i="3" s="1"/>
  <c r="AK38" i="3"/>
  <c r="CT38" i="3" s="1"/>
  <c r="BP37" i="3"/>
  <c r="AL38" i="3"/>
  <c r="CU38" i="3" s="1"/>
  <c r="CD37" i="3"/>
  <c r="CK36" i="8"/>
  <c r="CL36" i="8" s="1"/>
  <c r="CI37" i="8"/>
  <c r="CA37" i="8"/>
  <c r="AI38" i="8"/>
  <c r="CR38" i="8" s="1"/>
  <c r="AX38" i="8"/>
  <c r="DG38" i="8" s="1"/>
  <c r="AW38" i="8"/>
  <c r="DF38" i="8" s="1"/>
  <c r="AJ38" i="8"/>
  <c r="CS38" i="8" s="1"/>
  <c r="BL37" i="8"/>
  <c r="AT38" i="8"/>
  <c r="DC38" i="8" s="1"/>
  <c r="AS38" i="8"/>
  <c r="DB38" i="8" s="1"/>
  <c r="AR38" i="8"/>
  <c r="DA38" i="8" s="1"/>
  <c r="AV38" i="8"/>
  <c r="DE38" i="8" s="1"/>
  <c r="BA38" i="8"/>
  <c r="DJ38" i="8" s="1"/>
  <c r="BV37" i="8"/>
  <c r="CG37" i="3"/>
  <c r="BM37" i="8"/>
  <c r="AH38" i="8"/>
  <c r="CQ38" i="8" s="1"/>
  <c r="BF38" i="8"/>
  <c r="AE38" i="8"/>
  <c r="CN38" i="8" s="1"/>
  <c r="AM38" i="8"/>
  <c r="CV38" i="8" s="1"/>
  <c r="BG37" i="8"/>
  <c r="AF38" i="8"/>
  <c r="CO38" i="8" s="1"/>
  <c r="AD38" i="8"/>
  <c r="CM38" i="8" s="1"/>
  <c r="BH37" i="8"/>
  <c r="BW37" i="8"/>
  <c r="AY38" i="8"/>
  <c r="DH38" i="8" s="1"/>
  <c r="AG38" i="8"/>
  <c r="CP38" i="8" s="1"/>
  <c r="AU38" i="8"/>
  <c r="DD38" i="8" s="1"/>
  <c r="BC38" i="8"/>
  <c r="DL38" i="8" s="1"/>
  <c r="AO38" i="8"/>
  <c r="CX38" i="8" s="1"/>
  <c r="AK38" i="8"/>
  <c r="CT38" i="8" s="1"/>
  <c r="BJ37" i="8"/>
  <c r="BT37" i="8"/>
  <c r="AN38" i="8"/>
  <c r="CW38" i="8" s="1"/>
  <c r="BD38" i="8"/>
  <c r="DM38" i="8" s="1"/>
  <c r="BB38" i="8"/>
  <c r="DK38" i="8" s="1"/>
  <c r="AP38" i="8"/>
  <c r="CY38" i="8" s="1"/>
  <c r="BQ37" i="8"/>
  <c r="BX37" i="8"/>
  <c r="BK37" i="8"/>
  <c r="AX38" i="3"/>
  <c r="DG38" i="3" s="1"/>
  <c r="CK36" i="3"/>
  <c r="CL36" i="3" s="1"/>
  <c r="BC38" i="3"/>
  <c r="DL38" i="3" s="1"/>
  <c r="AQ38" i="8"/>
  <c r="CZ38" i="8" s="1"/>
  <c r="BE38" i="8"/>
  <c r="DN38" i="8" s="1"/>
  <c r="BS37" i="8"/>
  <c r="BU37" i="8"/>
  <c r="CC37" i="3"/>
  <c r="AZ38" i="8"/>
  <c r="DI38" i="8" s="1"/>
  <c r="AL38" i="8"/>
  <c r="CU38" i="8" s="1"/>
  <c r="BN37" i="8"/>
  <c r="BI37" i="8"/>
  <c r="CB37" i="3"/>
  <c r="CF37" i="8"/>
  <c r="BO37" i="8"/>
  <c r="BR37" i="8"/>
  <c r="CD37" i="8"/>
  <c r="CC37" i="8"/>
  <c r="CJ37" i="8"/>
  <c r="DO37" i="8"/>
  <c r="AY38" i="3"/>
  <c r="DH38" i="3" s="1"/>
  <c r="CH37" i="8"/>
  <c r="BP37" i="8"/>
  <c r="BY37" i="8"/>
  <c r="AZ38" i="3"/>
  <c r="DI38" i="3" s="1"/>
  <c r="CB37" i="8"/>
  <c r="CE37" i="8"/>
  <c r="DP36" i="8"/>
  <c r="DQ36" i="8" s="1"/>
  <c r="CG37" i="8"/>
  <c r="BZ37" i="8"/>
  <c r="CC37" i="6"/>
  <c r="BC38" i="6"/>
  <c r="DL38" i="6" s="1"/>
  <c r="DG37" i="6"/>
  <c r="AU38" i="6"/>
  <c r="DD38" i="6" s="1"/>
  <c r="DC37" i="6"/>
  <c r="BB38" i="6"/>
  <c r="DK38" i="6" s="1"/>
  <c r="DJ37" i="6"/>
  <c r="CK36" i="6"/>
  <c r="CL36" i="6" s="1"/>
  <c r="CF38" i="6"/>
  <c r="CA37" i="5"/>
  <c r="CI37" i="4"/>
  <c r="CD38" i="6"/>
  <c r="BP38" i="6"/>
  <c r="CA37" i="6"/>
  <c r="CG37" i="6"/>
  <c r="CI37" i="5"/>
  <c r="CJ37" i="6"/>
  <c r="DO37" i="6"/>
  <c r="BU38" i="6"/>
  <c r="BE38" i="6"/>
  <c r="DN38" i="6" s="1"/>
  <c r="BO38" i="6"/>
  <c r="CK36" i="5"/>
  <c r="CL36" i="5" s="1"/>
  <c r="BG37" i="6"/>
  <c r="BZ37" i="6"/>
  <c r="AQ39" i="6"/>
  <c r="CZ39" i="6" s="1"/>
  <c r="BS38" i="6"/>
  <c r="AV38" i="6"/>
  <c r="DE38" i="6" s="1"/>
  <c r="AT38" i="6"/>
  <c r="DC38" i="6" s="1"/>
  <c r="AS38" i="6"/>
  <c r="DB38" i="6" s="1"/>
  <c r="BA38" i="6"/>
  <c r="DJ38" i="6" s="1"/>
  <c r="AR38" i="6"/>
  <c r="DA38" i="6" s="1"/>
  <c r="BV37" i="6"/>
  <c r="BM38" i="6"/>
  <c r="CD37" i="5"/>
  <c r="BF38" i="6"/>
  <c r="BW37" i="6"/>
  <c r="BK38" i="6"/>
  <c r="AP39" i="6"/>
  <c r="CY39" i="6" s="1"/>
  <c r="AN39" i="6"/>
  <c r="CW39" i="6" s="1"/>
  <c r="BQ38" i="6"/>
  <c r="BX37" i="6"/>
  <c r="AY38" i="6"/>
  <c r="DH38" i="6" s="1"/>
  <c r="AD39" i="6"/>
  <c r="CM39" i="6" s="1"/>
  <c r="AH39" i="6"/>
  <c r="CQ39" i="6" s="1"/>
  <c r="AF39" i="6"/>
  <c r="CO39" i="6" s="1"/>
  <c r="AE39" i="6"/>
  <c r="CN39" i="6" s="1"/>
  <c r="AM39" i="6"/>
  <c r="CV39" i="6" s="1"/>
  <c r="BH38" i="6"/>
  <c r="AL39" i="6"/>
  <c r="CU39" i="6" s="1"/>
  <c r="BN38" i="6"/>
  <c r="CJ37" i="4"/>
  <c r="BI38" i="6"/>
  <c r="CB37" i="6"/>
  <c r="CE37" i="6"/>
  <c r="BD38" i="6"/>
  <c r="DM38" i="6" s="1"/>
  <c r="CK36" i="4"/>
  <c r="CL36" i="4" s="1"/>
  <c r="AO39" i="6"/>
  <c r="CX39" i="6" s="1"/>
  <c r="AK39" i="6"/>
  <c r="CT39" i="6" s="1"/>
  <c r="AG39" i="6"/>
  <c r="CP39" i="6" s="1"/>
  <c r="BJ38" i="6"/>
  <c r="BR38" i="6"/>
  <c r="AW38" i="6"/>
  <c r="BE38" i="4"/>
  <c r="DN38" i="4" s="1"/>
  <c r="AJ39" i="6"/>
  <c r="CS39" i="6" s="1"/>
  <c r="AI39" i="6"/>
  <c r="CR39" i="6" s="1"/>
  <c r="BL38" i="6"/>
  <c r="BT38" i="6"/>
  <c r="AX38" i="6"/>
  <c r="BC38" i="5"/>
  <c r="DL38" i="5" s="1"/>
  <c r="AW38" i="5"/>
  <c r="DF38" i="5" s="1"/>
  <c r="BG37" i="5"/>
  <c r="AZ38" i="5"/>
  <c r="DI38" i="5" s="1"/>
  <c r="BE38" i="5"/>
  <c r="DN38" i="5" s="1"/>
  <c r="AX38" i="5"/>
  <c r="DG38" i="5" s="1"/>
  <c r="CG38" i="5"/>
  <c r="BU38" i="5"/>
  <c r="AZ38" i="4"/>
  <c r="DI38" i="4" s="1"/>
  <c r="BF38" i="4"/>
  <c r="DO38" i="4" s="1"/>
  <c r="AL39" i="5"/>
  <c r="CU39" i="5" s="1"/>
  <c r="BN38" i="5"/>
  <c r="BF38" i="5"/>
  <c r="CF37" i="5"/>
  <c r="BZ37" i="5"/>
  <c r="AD39" i="5"/>
  <c r="CM39" i="5" s="1"/>
  <c r="AH39" i="5"/>
  <c r="CQ39" i="5" s="1"/>
  <c r="AE39" i="5"/>
  <c r="CN39" i="5" s="1"/>
  <c r="AF39" i="5"/>
  <c r="CO39" i="5" s="1"/>
  <c r="AM39" i="5"/>
  <c r="CV39" i="5" s="1"/>
  <c r="BH38" i="5"/>
  <c r="AV38" i="5"/>
  <c r="DE38" i="5" s="1"/>
  <c r="AR38" i="5"/>
  <c r="DA38" i="5" s="1"/>
  <c r="BA38" i="5"/>
  <c r="DJ38" i="5" s="1"/>
  <c r="AT38" i="5"/>
  <c r="DC38" i="5" s="1"/>
  <c r="AS38" i="5"/>
  <c r="DB38" i="5" s="1"/>
  <c r="BV37" i="5"/>
  <c r="BP38" i="5"/>
  <c r="AP39" i="5"/>
  <c r="CY39" i="5" s="1"/>
  <c r="AN39" i="5"/>
  <c r="CW39" i="5" s="1"/>
  <c r="BQ38" i="5"/>
  <c r="BK38" i="5"/>
  <c r="CE37" i="5"/>
  <c r="AQ37" i="2"/>
  <c r="BU37" i="2" s="1"/>
  <c r="BC38" i="4"/>
  <c r="DL38" i="4" s="1"/>
  <c r="CC37" i="5"/>
  <c r="BI38" i="5"/>
  <c r="BO38" i="5"/>
  <c r="BT38" i="5"/>
  <c r="AX38" i="4"/>
  <c r="DG38" i="4" s="1"/>
  <c r="BG37" i="4"/>
  <c r="BX37" i="5"/>
  <c r="BD38" i="4"/>
  <c r="DM38" i="4" s="1"/>
  <c r="CG37" i="5"/>
  <c r="AG39" i="5"/>
  <c r="CP39" i="5" s="1"/>
  <c r="AK39" i="5"/>
  <c r="CT39" i="5" s="1"/>
  <c r="AO39" i="5"/>
  <c r="CX39" i="5" s="1"/>
  <c r="BJ38" i="5"/>
  <c r="CH37" i="5"/>
  <c r="CB37" i="5"/>
  <c r="BY37" i="5"/>
  <c r="CA38" i="5"/>
  <c r="CH37" i="3"/>
  <c r="AQ39" i="5"/>
  <c r="CZ39" i="5" s="1"/>
  <c r="BS38" i="5"/>
  <c r="CJ37" i="3"/>
  <c r="BF38" i="3"/>
  <c r="DO38" i="3" s="1"/>
  <c r="CC37" i="4"/>
  <c r="AI39" i="5"/>
  <c r="CR39" i="5" s="1"/>
  <c r="AJ39" i="5"/>
  <c r="CS39" i="5" s="1"/>
  <c r="BL38" i="5"/>
  <c r="AU38" i="5"/>
  <c r="DD38" i="5" s="1"/>
  <c r="BW37" i="5"/>
  <c r="BM38" i="5"/>
  <c r="CG37" i="4"/>
  <c r="AY38" i="4"/>
  <c r="DH38" i="4" s="1"/>
  <c r="BD38" i="5"/>
  <c r="DM38" i="5" s="1"/>
  <c r="AY38" i="5"/>
  <c r="DH38" i="5" s="1"/>
  <c r="BR38" i="5"/>
  <c r="CJ37" i="5"/>
  <c r="DO37" i="5"/>
  <c r="DP37" i="5" s="1"/>
  <c r="DQ37" i="5" s="1"/>
  <c r="BB38" i="5"/>
  <c r="DK38" i="5" s="1"/>
  <c r="BG37" i="3"/>
  <c r="DN37" i="3"/>
  <c r="DP37" i="3" s="1"/>
  <c r="DQ37" i="3" s="1"/>
  <c r="CI37" i="3"/>
  <c r="BR38" i="4"/>
  <c r="DP37" i="4"/>
  <c r="DQ37" i="4" s="1"/>
  <c r="AQ39" i="4"/>
  <c r="CZ39" i="4" s="1"/>
  <c r="BS38" i="4"/>
  <c r="BD38" i="3"/>
  <c r="CF38" i="4"/>
  <c r="BY38" i="4"/>
  <c r="BT38" i="4"/>
  <c r="CH38" i="4"/>
  <c r="BK38" i="4"/>
  <c r="AD39" i="4"/>
  <c r="CM39" i="4" s="1"/>
  <c r="AM39" i="4"/>
  <c r="CV39" i="4" s="1"/>
  <c r="AH39" i="4"/>
  <c r="CQ39" i="4" s="1"/>
  <c r="AF39" i="4"/>
  <c r="CO39" i="4" s="1"/>
  <c r="AE39" i="4"/>
  <c r="CN39" i="4" s="1"/>
  <c r="BH38" i="4"/>
  <c r="AL39" i="4"/>
  <c r="CU39" i="4" s="1"/>
  <c r="BN38" i="4"/>
  <c r="AO39" i="4"/>
  <c r="CX39" i="4" s="1"/>
  <c r="AU39" i="4"/>
  <c r="DD39" i="4" s="1"/>
  <c r="AG39" i="4"/>
  <c r="CP39" i="4" s="1"/>
  <c r="AK39" i="4"/>
  <c r="CT39" i="4" s="1"/>
  <c r="BJ38" i="4"/>
  <c r="AJ39" i="4"/>
  <c r="CS39" i="4" s="1"/>
  <c r="AW39" i="4"/>
  <c r="DF39" i="4" s="1"/>
  <c r="AI39" i="4"/>
  <c r="CR39" i="4" s="1"/>
  <c r="BL38" i="4"/>
  <c r="BX38" i="4"/>
  <c r="CA38" i="4"/>
  <c r="BM38" i="4"/>
  <c r="BO38" i="4"/>
  <c r="AP39" i="4"/>
  <c r="CY39" i="4" s="1"/>
  <c r="AN39" i="4"/>
  <c r="CW39" i="4" s="1"/>
  <c r="BB39" i="4"/>
  <c r="DK39" i="4" s="1"/>
  <c r="BQ38" i="4"/>
  <c r="BI38" i="4"/>
  <c r="CE38" i="4"/>
  <c r="BP38" i="4"/>
  <c r="BU38" i="4"/>
  <c r="BZ38" i="4"/>
  <c r="CI38" i="4"/>
  <c r="AT39" i="4"/>
  <c r="DC39" i="4" s="1"/>
  <c r="AS39" i="4"/>
  <c r="DB39" i="4" s="1"/>
  <c r="AR39" i="4"/>
  <c r="DA39" i="4" s="1"/>
  <c r="BA39" i="4"/>
  <c r="DJ39" i="4" s="1"/>
  <c r="AV39" i="4"/>
  <c r="DE39" i="4" s="1"/>
  <c r="BV38" i="4"/>
  <c r="BE38" i="3"/>
  <c r="DN38" i="3" s="1"/>
  <c r="BW38" i="4"/>
  <c r="AH37" i="2"/>
  <c r="BL37" i="2" s="1"/>
  <c r="AK37" i="2"/>
  <c r="BO37" i="2" s="1"/>
  <c r="BE37" i="2"/>
  <c r="CI37" i="2" s="1"/>
  <c r="BK38" i="3"/>
  <c r="AF39" i="3"/>
  <c r="CO39" i="3" s="1"/>
  <c r="AE39" i="3"/>
  <c r="CN39" i="3" s="1"/>
  <c r="AH39" i="3"/>
  <c r="CQ39" i="3" s="1"/>
  <c r="AD39" i="3"/>
  <c r="CM39" i="3" s="1"/>
  <c r="AM39" i="3"/>
  <c r="CV39" i="3" s="1"/>
  <c r="BH38" i="3"/>
  <c r="CF38" i="3"/>
  <c r="BX38" i="3"/>
  <c r="BF37" i="2"/>
  <c r="BI38" i="3"/>
  <c r="BM38" i="3"/>
  <c r="CP37" i="2"/>
  <c r="BK37" i="2"/>
  <c r="BR38" i="3"/>
  <c r="DD37" i="2"/>
  <c r="BY37" i="2"/>
  <c r="CN37" i="2"/>
  <c r="BI37" i="2"/>
  <c r="CA38" i="3"/>
  <c r="AV37" i="2"/>
  <c r="BZ37" i="2" s="1"/>
  <c r="BL36" i="2"/>
  <c r="AO37" i="2"/>
  <c r="BS37" i="2" s="1"/>
  <c r="BP36" i="2"/>
  <c r="DK36" i="2"/>
  <c r="BB39" i="3"/>
  <c r="DK39" i="3" s="1"/>
  <c r="AN39" i="3"/>
  <c r="CW39" i="3" s="1"/>
  <c r="BQ38" i="3"/>
  <c r="AR39" i="3"/>
  <c r="DA39" i="3" s="1"/>
  <c r="BA39" i="3"/>
  <c r="DJ39" i="3" s="1"/>
  <c r="AV39" i="3"/>
  <c r="DE39" i="3" s="1"/>
  <c r="AT39" i="3"/>
  <c r="DC39" i="3" s="1"/>
  <c r="AS39" i="3"/>
  <c r="DB39" i="3" s="1"/>
  <c r="BV38" i="3"/>
  <c r="AW39" i="3"/>
  <c r="DF39" i="3" s="1"/>
  <c r="AI39" i="3"/>
  <c r="CR39" i="3" s="1"/>
  <c r="BL38" i="3"/>
  <c r="BZ38" i="3"/>
  <c r="DC37" i="2"/>
  <c r="BX37" i="2"/>
  <c r="CW36" i="2"/>
  <c r="DB37" i="2"/>
  <c r="BW37" i="2"/>
  <c r="BY38" i="3"/>
  <c r="DF36" i="2"/>
  <c r="CA36" i="2"/>
  <c r="AG39" i="3"/>
  <c r="CP39" i="3" s="1"/>
  <c r="AU39" i="3"/>
  <c r="DD39" i="3" s="1"/>
  <c r="BJ38" i="3"/>
  <c r="CE38" i="3"/>
  <c r="BU38" i="3"/>
  <c r="BW38" i="3"/>
  <c r="AU38" i="2"/>
  <c r="AG38" i="2"/>
  <c r="CO37" i="2"/>
  <c r="AD38" i="2"/>
  <c r="BH38" i="2" s="1"/>
  <c r="AE38" i="2"/>
  <c r="AF38" i="2"/>
  <c r="BJ38" i="2" s="1"/>
  <c r="CM37" i="2"/>
  <c r="AN37" i="2"/>
  <c r="AP37" i="2"/>
  <c r="BD37" i="2"/>
  <c r="CH37" i="2" s="1"/>
  <c r="BB37" i="2"/>
  <c r="CF37" i="2" s="1"/>
  <c r="AM37" i="2"/>
  <c r="BQ37" i="2" s="1"/>
  <c r="AW37" i="2"/>
  <c r="CA37" i="2" s="1"/>
  <c r="AI37" i="2"/>
  <c r="AJ37" i="2"/>
  <c r="AX37" i="2"/>
  <c r="CB37" i="2" s="1"/>
  <c r="CQ36" i="2"/>
  <c r="AL37" i="2"/>
  <c r="AZ37" i="2"/>
  <c r="AS38" i="2"/>
  <c r="AR38" i="2"/>
  <c r="BV38" i="2" s="1"/>
  <c r="AT38" i="2"/>
  <c r="BX38" i="2" s="1"/>
  <c r="DA37" i="2"/>
  <c r="BC37" i="2"/>
  <c r="CG37" i="2" s="1"/>
  <c r="BA37" i="2"/>
  <c r="CE37" i="2" s="1"/>
  <c r="AY37" i="2"/>
  <c r="CC37" i="2" s="1"/>
  <c r="CR36" i="2"/>
  <c r="CV36" i="2"/>
  <c r="DE36" i="2"/>
  <c r="DP35" i="2"/>
  <c r="DQ35" i="2" s="1"/>
  <c r="DN36" i="2"/>
  <c r="DI36" i="2"/>
  <c r="CU36" i="2"/>
  <c r="DH36" i="2"/>
  <c r="DL36" i="2"/>
  <c r="CT36" i="2"/>
  <c r="DJ36" i="2"/>
  <c r="CX36" i="2"/>
  <c r="CS36" i="2"/>
  <c r="DG36" i="2"/>
  <c r="DM36" i="2"/>
  <c r="CK35" i="2"/>
  <c r="CL35" i="2" s="1"/>
  <c r="CY36" i="2"/>
  <c r="CZ36" i="2"/>
  <c r="CJ36" i="2"/>
  <c r="DO36" i="2"/>
  <c r="BG36" i="2"/>
  <c r="CG38" i="6" l="1"/>
  <c r="DP37" i="6"/>
  <c r="DQ37" i="6" s="1"/>
  <c r="CD38" i="4"/>
  <c r="BT38" i="3"/>
  <c r="AJ39" i="3"/>
  <c r="CS39" i="3" s="1"/>
  <c r="BO38" i="3"/>
  <c r="BN38" i="3"/>
  <c r="AO39" i="3"/>
  <c r="CX39" i="3" s="1"/>
  <c r="BS38" i="3"/>
  <c r="AP39" i="3"/>
  <c r="CY39" i="3" s="1"/>
  <c r="AQ39" i="3"/>
  <c r="CZ39" i="3" s="1"/>
  <c r="AK39" i="3"/>
  <c r="CT39" i="3" s="1"/>
  <c r="BP38" i="3"/>
  <c r="AL39" i="3"/>
  <c r="CU39" i="3" s="1"/>
  <c r="AY39" i="3"/>
  <c r="DH39" i="3" s="1"/>
  <c r="CC38" i="3"/>
  <c r="BC39" i="3"/>
  <c r="DL39" i="3" s="1"/>
  <c r="CG38" i="3"/>
  <c r="CB38" i="3"/>
  <c r="AX39" i="3"/>
  <c r="DG39" i="3" s="1"/>
  <c r="CD38" i="8"/>
  <c r="AU39" i="8"/>
  <c r="DD39" i="8" s="1"/>
  <c r="BC39" i="8"/>
  <c r="DL39" i="8" s="1"/>
  <c r="AY39" i="8"/>
  <c r="DH39" i="8" s="1"/>
  <c r="AG39" i="8"/>
  <c r="CP39" i="8" s="1"/>
  <c r="AO39" i="8"/>
  <c r="CX39" i="8" s="1"/>
  <c r="AK39" i="8"/>
  <c r="CT39" i="8" s="1"/>
  <c r="BJ38" i="8"/>
  <c r="BX38" i="8"/>
  <c r="BY38" i="6"/>
  <c r="BR38" i="8"/>
  <c r="BT38" i="8"/>
  <c r="AT39" i="8"/>
  <c r="DC39" i="8" s="1"/>
  <c r="AS39" i="8"/>
  <c r="DB39" i="8" s="1"/>
  <c r="AR39" i="8"/>
  <c r="DA39" i="8" s="1"/>
  <c r="AV39" i="8"/>
  <c r="DE39" i="8" s="1"/>
  <c r="BA39" i="8"/>
  <c r="DJ39" i="8" s="1"/>
  <c r="BV38" i="8"/>
  <c r="CH38" i="8"/>
  <c r="AL39" i="8"/>
  <c r="CU39" i="8" s="1"/>
  <c r="AZ39" i="8"/>
  <c r="DI39" i="8" s="1"/>
  <c r="BN38" i="8"/>
  <c r="CC38" i="4"/>
  <c r="BO38" i="8"/>
  <c r="CJ38" i="8"/>
  <c r="DO38" i="8"/>
  <c r="CB38" i="8"/>
  <c r="AQ39" i="8"/>
  <c r="CZ39" i="8" s="1"/>
  <c r="BE39" i="8"/>
  <c r="DN39" i="8" s="1"/>
  <c r="BS38" i="8"/>
  <c r="AX39" i="8"/>
  <c r="DG39" i="8" s="1"/>
  <c r="AW39" i="8"/>
  <c r="DF39" i="8" s="1"/>
  <c r="AJ39" i="8"/>
  <c r="CS39" i="8" s="1"/>
  <c r="AI39" i="8"/>
  <c r="CR39" i="8" s="1"/>
  <c r="BL38" i="8"/>
  <c r="BM38" i="8"/>
  <c r="CA38" i="8"/>
  <c r="CG38" i="8"/>
  <c r="BI38" i="8"/>
  <c r="CF38" i="8"/>
  <c r="BW38" i="8"/>
  <c r="AN39" i="8"/>
  <c r="CW39" i="8" s="1"/>
  <c r="AP39" i="8"/>
  <c r="CY39" i="8" s="1"/>
  <c r="BD39" i="8"/>
  <c r="DM39" i="8" s="1"/>
  <c r="BB39" i="8"/>
  <c r="DK39" i="8" s="1"/>
  <c r="BQ38" i="8"/>
  <c r="DP37" i="8"/>
  <c r="DQ37" i="8" s="1"/>
  <c r="CD38" i="3"/>
  <c r="CK37" i="3"/>
  <c r="CL37" i="3" s="1"/>
  <c r="BY38" i="8"/>
  <c r="CK37" i="8"/>
  <c r="CL37" i="8" s="1"/>
  <c r="AD39" i="8"/>
  <c r="CM39" i="8" s="1"/>
  <c r="AE39" i="8"/>
  <c r="CN39" i="8" s="1"/>
  <c r="AM39" i="8"/>
  <c r="CV39" i="8" s="1"/>
  <c r="AH39" i="8"/>
  <c r="CQ39" i="8" s="1"/>
  <c r="BF39" i="8"/>
  <c r="BG38" i="8"/>
  <c r="AF39" i="8"/>
  <c r="CO39" i="8" s="1"/>
  <c r="BH38" i="8"/>
  <c r="CI38" i="8"/>
  <c r="BU38" i="8"/>
  <c r="AM38" i="2"/>
  <c r="BQ38" i="2" s="1"/>
  <c r="CI38" i="5"/>
  <c r="BK38" i="8"/>
  <c r="BZ38" i="8"/>
  <c r="AZ39" i="3"/>
  <c r="DI39" i="3" s="1"/>
  <c r="AU39" i="6"/>
  <c r="DD39" i="6" s="1"/>
  <c r="BP38" i="8"/>
  <c r="CC38" i="8"/>
  <c r="CE38" i="8"/>
  <c r="AX39" i="6"/>
  <c r="DG39" i="6" s="1"/>
  <c r="AY39" i="6"/>
  <c r="DH39" i="6" s="1"/>
  <c r="DG38" i="6"/>
  <c r="CK37" i="6"/>
  <c r="CL37" i="6" s="1"/>
  <c r="BF39" i="6"/>
  <c r="DO39" i="6" s="1"/>
  <c r="DF38" i="6"/>
  <c r="BM39" i="6"/>
  <c r="CH38" i="6"/>
  <c r="AO40" i="6"/>
  <c r="CX40" i="6" s="1"/>
  <c r="AK40" i="6"/>
  <c r="CT40" i="6" s="1"/>
  <c r="AG40" i="6"/>
  <c r="CP40" i="6" s="1"/>
  <c r="BJ39" i="6"/>
  <c r="BE39" i="6"/>
  <c r="DN39" i="6" s="1"/>
  <c r="AL40" i="6"/>
  <c r="CU40" i="6" s="1"/>
  <c r="BN39" i="6"/>
  <c r="BU39" i="6"/>
  <c r="AJ40" i="6"/>
  <c r="CS40" i="6" s="1"/>
  <c r="AI40" i="6"/>
  <c r="CR40" i="6" s="1"/>
  <c r="BL39" i="6"/>
  <c r="DO38" i="6"/>
  <c r="CJ38" i="6"/>
  <c r="CA38" i="6"/>
  <c r="AM40" i="6"/>
  <c r="CV40" i="6" s="1"/>
  <c r="AD40" i="6"/>
  <c r="CM40" i="6" s="1"/>
  <c r="AF40" i="6"/>
  <c r="CO40" i="6" s="1"/>
  <c r="AE40" i="6"/>
  <c r="CN40" i="6" s="1"/>
  <c r="AH40" i="6"/>
  <c r="CQ40" i="6" s="1"/>
  <c r="BH39" i="6"/>
  <c r="CC38" i="6"/>
  <c r="BI39" i="6"/>
  <c r="BD39" i="4"/>
  <c r="DM39" i="4" s="1"/>
  <c r="AY39" i="4"/>
  <c r="DH39" i="4" s="1"/>
  <c r="AT39" i="6"/>
  <c r="DC39" i="6" s="1"/>
  <c r="AS39" i="6"/>
  <c r="DB39" i="6" s="1"/>
  <c r="AR39" i="6"/>
  <c r="BA39" i="6"/>
  <c r="DJ39" i="6" s="1"/>
  <c r="AV39" i="6"/>
  <c r="DE39" i="6" s="1"/>
  <c r="BV38" i="6"/>
  <c r="BC39" i="4"/>
  <c r="DL39" i="4" s="1"/>
  <c r="CE38" i="6"/>
  <c r="CI38" i="6"/>
  <c r="BP39" i="6"/>
  <c r="BB39" i="6"/>
  <c r="DK39" i="6" s="1"/>
  <c r="CB38" i="6"/>
  <c r="BC39" i="6"/>
  <c r="AZ39" i="6"/>
  <c r="BW38" i="6"/>
  <c r="BK39" i="6"/>
  <c r="BR39" i="6"/>
  <c r="BX38" i="6"/>
  <c r="CJ38" i="4"/>
  <c r="BO39" i="6"/>
  <c r="BD39" i="6"/>
  <c r="DM39" i="6" s="1"/>
  <c r="BZ38" i="6"/>
  <c r="CG38" i="4"/>
  <c r="AN40" i="6"/>
  <c r="CW40" i="6" s="1"/>
  <c r="AP40" i="6"/>
  <c r="CY40" i="6" s="1"/>
  <c r="BQ39" i="6"/>
  <c r="BT39" i="6"/>
  <c r="CB38" i="4"/>
  <c r="CK37" i="4"/>
  <c r="CL37" i="4" s="1"/>
  <c r="AW39" i="6"/>
  <c r="AQ40" i="6"/>
  <c r="CZ40" i="6" s="1"/>
  <c r="BS39" i="6"/>
  <c r="BG38" i="6"/>
  <c r="AW39" i="5"/>
  <c r="DF39" i="5" s="1"/>
  <c r="AZ39" i="5"/>
  <c r="DI39" i="5" s="1"/>
  <c r="BE39" i="5"/>
  <c r="DN39" i="5" s="1"/>
  <c r="CB38" i="5"/>
  <c r="CK37" i="5"/>
  <c r="CL37" i="5" s="1"/>
  <c r="CD38" i="5"/>
  <c r="BB39" i="5"/>
  <c r="DK39" i="5" s="1"/>
  <c r="BG38" i="5"/>
  <c r="AY39" i="5"/>
  <c r="DH39" i="5" s="1"/>
  <c r="BY38" i="5"/>
  <c r="AX39" i="5"/>
  <c r="DG39" i="5" s="1"/>
  <c r="BP39" i="5"/>
  <c r="AL40" i="5"/>
  <c r="CU40" i="5" s="1"/>
  <c r="BN39" i="5"/>
  <c r="AN40" i="5"/>
  <c r="CW40" i="5" s="1"/>
  <c r="AP40" i="5"/>
  <c r="CY40" i="5" s="1"/>
  <c r="BQ39" i="5"/>
  <c r="AT39" i="5"/>
  <c r="DC39" i="5" s="1"/>
  <c r="AS39" i="5"/>
  <c r="DB39" i="5" s="1"/>
  <c r="BA39" i="5"/>
  <c r="DJ39" i="5" s="1"/>
  <c r="AV39" i="5"/>
  <c r="DE39" i="5" s="1"/>
  <c r="AR39" i="5"/>
  <c r="DA39" i="5" s="1"/>
  <c r="BV38" i="5"/>
  <c r="BM39" i="5"/>
  <c r="AZ39" i="4"/>
  <c r="DI39" i="4" s="1"/>
  <c r="CC38" i="5"/>
  <c r="BR39" i="5"/>
  <c r="BT39" i="5"/>
  <c r="AJ40" i="5"/>
  <c r="CS40" i="5" s="1"/>
  <c r="AI40" i="5"/>
  <c r="CR40" i="5" s="1"/>
  <c r="BL39" i="5"/>
  <c r="CJ38" i="5"/>
  <c r="DO38" i="5"/>
  <c r="DP38" i="5" s="1"/>
  <c r="DQ38" i="5" s="1"/>
  <c r="BI39" i="5"/>
  <c r="CJ38" i="3"/>
  <c r="AU39" i="5"/>
  <c r="DD39" i="5" s="1"/>
  <c r="BF39" i="5"/>
  <c r="BO39" i="5"/>
  <c r="AX39" i="4"/>
  <c r="DG39" i="4" s="1"/>
  <c r="AH40" i="5"/>
  <c r="CQ40" i="5" s="1"/>
  <c r="AM40" i="5"/>
  <c r="CV40" i="5" s="1"/>
  <c r="AD40" i="5"/>
  <c r="CM40" i="5" s="1"/>
  <c r="AE40" i="5"/>
  <c r="CN40" i="5" s="1"/>
  <c r="AF40" i="5"/>
  <c r="CO40" i="5" s="1"/>
  <c r="BH39" i="5"/>
  <c r="CF38" i="5"/>
  <c r="AQ40" i="5"/>
  <c r="CZ40" i="5" s="1"/>
  <c r="BS39" i="5"/>
  <c r="BG38" i="4"/>
  <c r="BX38" i="5"/>
  <c r="CE38" i="5"/>
  <c r="BZ38" i="5"/>
  <c r="BD39" i="5"/>
  <c r="DM39" i="5" s="1"/>
  <c r="BE39" i="4"/>
  <c r="DN39" i="4" s="1"/>
  <c r="BU39" i="5"/>
  <c r="BK39" i="5"/>
  <c r="CH38" i="5"/>
  <c r="AO40" i="5"/>
  <c r="CX40" i="5" s="1"/>
  <c r="AK40" i="5"/>
  <c r="CT40" i="5" s="1"/>
  <c r="AG40" i="5"/>
  <c r="CP40" i="5" s="1"/>
  <c r="BJ39" i="5"/>
  <c r="BF39" i="4"/>
  <c r="DO39" i="4" s="1"/>
  <c r="BC39" i="5"/>
  <c r="DL39" i="5" s="1"/>
  <c r="BW38" i="5"/>
  <c r="CI38" i="3"/>
  <c r="BG38" i="3"/>
  <c r="CH38" i="3"/>
  <c r="DM38" i="3"/>
  <c r="DP38" i="3" s="1"/>
  <c r="DQ38" i="3" s="1"/>
  <c r="CA39" i="4"/>
  <c r="BR39" i="4"/>
  <c r="BE39" i="3"/>
  <c r="DN39" i="3" s="1"/>
  <c r="BT39" i="4"/>
  <c r="CB39" i="4"/>
  <c r="AL40" i="4"/>
  <c r="CU40" i="4" s="1"/>
  <c r="AZ40" i="4"/>
  <c r="DI40" i="4" s="1"/>
  <c r="BN39" i="4"/>
  <c r="BD39" i="3"/>
  <c r="DM39" i="3" s="1"/>
  <c r="BI39" i="4"/>
  <c r="AO40" i="4"/>
  <c r="CX40" i="4" s="1"/>
  <c r="BC40" i="4"/>
  <c r="DL40" i="4" s="1"/>
  <c r="AK40" i="4"/>
  <c r="CT40" i="4" s="1"/>
  <c r="AY40" i="4"/>
  <c r="DH40" i="4" s="1"/>
  <c r="AU40" i="4"/>
  <c r="DD40" i="4" s="1"/>
  <c r="AG40" i="4"/>
  <c r="CP40" i="4" s="1"/>
  <c r="BJ39" i="4"/>
  <c r="BF39" i="3"/>
  <c r="BO39" i="4"/>
  <c r="AJ40" i="4"/>
  <c r="CS40" i="4" s="1"/>
  <c r="AI40" i="4"/>
  <c r="CR40" i="4" s="1"/>
  <c r="AX40" i="4"/>
  <c r="DG40" i="4" s="1"/>
  <c r="AW40" i="4"/>
  <c r="DF40" i="4" s="1"/>
  <c r="BL39" i="4"/>
  <c r="BY39" i="4"/>
  <c r="AN40" i="4"/>
  <c r="CW40" i="4" s="1"/>
  <c r="BB40" i="4"/>
  <c r="DK40" i="4" s="1"/>
  <c r="AP40" i="4"/>
  <c r="CY40" i="4" s="1"/>
  <c r="BQ39" i="4"/>
  <c r="BA40" i="4"/>
  <c r="DJ40" i="4" s="1"/>
  <c r="AR40" i="4"/>
  <c r="DA40" i="4" s="1"/>
  <c r="AS40" i="4"/>
  <c r="DB40" i="4" s="1"/>
  <c r="AV40" i="4"/>
  <c r="DE40" i="4" s="1"/>
  <c r="AT40" i="4"/>
  <c r="DC40" i="4" s="1"/>
  <c r="BV39" i="4"/>
  <c r="BZ39" i="4"/>
  <c r="CC39" i="4"/>
  <c r="BW39" i="4"/>
  <c r="AM40" i="4"/>
  <c r="CV40" i="4" s="1"/>
  <c r="AH40" i="4"/>
  <c r="CQ40" i="4" s="1"/>
  <c r="AE40" i="4"/>
  <c r="CN40" i="4" s="1"/>
  <c r="AF40" i="4"/>
  <c r="CO40" i="4" s="1"/>
  <c r="AD40" i="4"/>
  <c r="CM40" i="4" s="1"/>
  <c r="BH39" i="4"/>
  <c r="BU39" i="4"/>
  <c r="CD39" i="4"/>
  <c r="DP38" i="4"/>
  <c r="DQ38" i="4" s="1"/>
  <c r="BX39" i="4"/>
  <c r="AQ40" i="4"/>
  <c r="CZ40" i="4" s="1"/>
  <c r="BS39" i="4"/>
  <c r="BM39" i="4"/>
  <c r="BK39" i="4"/>
  <c r="CE39" i="4"/>
  <c r="CF39" i="4"/>
  <c r="BP39" i="4"/>
  <c r="AI38" i="2"/>
  <c r="BM38" i="2" s="1"/>
  <c r="CR37" i="2"/>
  <c r="CP38" i="2"/>
  <c r="BK38" i="2"/>
  <c r="BC38" i="2"/>
  <c r="CG38" i="2" s="1"/>
  <c r="BN37" i="2"/>
  <c r="CF39" i="3"/>
  <c r="BU39" i="3"/>
  <c r="AH38" i="2"/>
  <c r="BL38" i="2" s="1"/>
  <c r="BM37" i="2"/>
  <c r="BM39" i="3"/>
  <c r="AN40" i="3"/>
  <c r="CW40" i="3" s="1"/>
  <c r="BB40" i="3"/>
  <c r="DK40" i="3" s="1"/>
  <c r="BQ39" i="3"/>
  <c r="BK39" i="3"/>
  <c r="DD38" i="2"/>
  <c r="BY38" i="2"/>
  <c r="BR39" i="3"/>
  <c r="BN39" i="3"/>
  <c r="CA39" i="3"/>
  <c r="AD40" i="3"/>
  <c r="CM40" i="3" s="1"/>
  <c r="AH40" i="3"/>
  <c r="CQ40" i="3" s="1"/>
  <c r="AF40" i="3"/>
  <c r="CO40" i="3" s="1"/>
  <c r="AE40" i="3"/>
  <c r="CN40" i="3" s="1"/>
  <c r="AM40" i="3"/>
  <c r="CV40" i="3" s="1"/>
  <c r="BH39" i="3"/>
  <c r="AI40" i="3"/>
  <c r="CR40" i="3" s="1"/>
  <c r="AW40" i="3"/>
  <c r="DF40" i="3" s="1"/>
  <c r="BL39" i="3"/>
  <c r="BA38" i="2"/>
  <c r="CE38" i="2" s="1"/>
  <c r="AQ38" i="2"/>
  <c r="BU38" i="2" s="1"/>
  <c r="BT37" i="2"/>
  <c r="BI39" i="3"/>
  <c r="AV38" i="2"/>
  <c r="BZ38" i="2" s="1"/>
  <c r="CW37" i="2"/>
  <c r="BR37" i="2"/>
  <c r="BW39" i="3"/>
  <c r="AG40" i="3"/>
  <c r="CP40" i="3" s="1"/>
  <c r="AU40" i="3"/>
  <c r="DD40" i="3" s="1"/>
  <c r="BJ39" i="3"/>
  <c r="BX39" i="3"/>
  <c r="DB38" i="2"/>
  <c r="BW38" i="2"/>
  <c r="DF37" i="2"/>
  <c r="BY39" i="3"/>
  <c r="CE39" i="3"/>
  <c r="BZ39" i="3"/>
  <c r="AY38" i="2"/>
  <c r="CC38" i="2" s="1"/>
  <c r="CD37" i="2"/>
  <c r="CN38" i="2"/>
  <c r="BI38" i="2"/>
  <c r="AO38" i="2"/>
  <c r="BS38" i="2" s="1"/>
  <c r="BP37" i="2"/>
  <c r="BA40" i="3"/>
  <c r="DJ40" i="3" s="1"/>
  <c r="AV40" i="3"/>
  <c r="DE40" i="3" s="1"/>
  <c r="AS40" i="3"/>
  <c r="DB40" i="3" s="1"/>
  <c r="AR40" i="3"/>
  <c r="DA40" i="3" s="1"/>
  <c r="AT40" i="3"/>
  <c r="DC40" i="3" s="1"/>
  <c r="BV39" i="3"/>
  <c r="AP38" i="2"/>
  <c r="AJ38" i="2"/>
  <c r="AG39" i="2"/>
  <c r="CO38" i="2"/>
  <c r="AE39" i="2"/>
  <c r="AF39" i="2"/>
  <c r="BJ39" i="2" s="1"/>
  <c r="AD39" i="2"/>
  <c r="BH39" i="2" s="1"/>
  <c r="CM38" i="2"/>
  <c r="BE38" i="2"/>
  <c r="CI38" i="2" s="1"/>
  <c r="AX38" i="2"/>
  <c r="CB38" i="2" s="1"/>
  <c r="AL38" i="2"/>
  <c r="AZ38" i="2"/>
  <c r="CD38" i="2" s="1"/>
  <c r="AU39" i="2"/>
  <c r="DC38" i="2"/>
  <c r="BF38" i="2"/>
  <c r="AK38" i="2"/>
  <c r="BO38" i="2" s="1"/>
  <c r="AS39" i="2"/>
  <c r="AR39" i="2"/>
  <c r="BV39" i="2" s="1"/>
  <c r="AT39" i="2"/>
  <c r="DA38" i="2"/>
  <c r="AN38" i="2"/>
  <c r="BR38" i="2" s="1"/>
  <c r="BB38" i="2"/>
  <c r="CF38" i="2" s="1"/>
  <c r="BD38" i="2"/>
  <c r="CH38" i="2" s="1"/>
  <c r="AW38" i="2"/>
  <c r="CA38" i="2" s="1"/>
  <c r="DE37" i="2"/>
  <c r="DK37" i="2"/>
  <c r="CQ37" i="2"/>
  <c r="DJ37" i="2"/>
  <c r="CV37" i="2"/>
  <c r="CK36" i="2"/>
  <c r="CL36" i="2" s="1"/>
  <c r="DL37" i="2"/>
  <c r="DH37" i="2"/>
  <c r="CZ37" i="2"/>
  <c r="DN37" i="2"/>
  <c r="DG37" i="2"/>
  <c r="DP36" i="2"/>
  <c r="DQ36" i="2" s="1"/>
  <c r="CY37" i="2"/>
  <c r="CU37" i="2"/>
  <c r="CT37" i="2"/>
  <c r="CJ37" i="2"/>
  <c r="DO37" i="2"/>
  <c r="DI37" i="2"/>
  <c r="CX37" i="2"/>
  <c r="CS37" i="2"/>
  <c r="DM37" i="2"/>
  <c r="BG37" i="2"/>
  <c r="CB39" i="6" l="1"/>
  <c r="AU40" i="6"/>
  <c r="DD40" i="6" s="1"/>
  <c r="BY39" i="6"/>
  <c r="CJ39" i="6"/>
  <c r="DP38" i="6"/>
  <c r="DQ38" i="6" s="1"/>
  <c r="CC39" i="6"/>
  <c r="CV38" i="2"/>
  <c r="CK38" i="4"/>
  <c r="CL38" i="4" s="1"/>
  <c r="AO40" i="3"/>
  <c r="CX40" i="3" s="1"/>
  <c r="BO39" i="3"/>
  <c r="AK40" i="3"/>
  <c r="CT40" i="3" s="1"/>
  <c r="AL40" i="3"/>
  <c r="CU40" i="3" s="1"/>
  <c r="BS39" i="3"/>
  <c r="BP39" i="3"/>
  <c r="AQ40" i="3"/>
  <c r="CZ40" i="3" s="1"/>
  <c r="AP40" i="3"/>
  <c r="CY40" i="3" s="1"/>
  <c r="BT39" i="3"/>
  <c r="AJ40" i="3"/>
  <c r="CS40" i="3" s="1"/>
  <c r="CC39" i="3"/>
  <c r="AX40" i="3"/>
  <c r="DG40" i="3" s="1"/>
  <c r="AY40" i="3"/>
  <c r="DH40" i="3" s="1"/>
  <c r="CB39" i="3"/>
  <c r="CK38" i="3"/>
  <c r="CL38" i="3" s="1"/>
  <c r="CG39" i="3"/>
  <c r="CD39" i="3"/>
  <c r="AZ40" i="3"/>
  <c r="DI40" i="3" s="1"/>
  <c r="CI39" i="3"/>
  <c r="BC40" i="3"/>
  <c r="DL40" i="3" s="1"/>
  <c r="CK38" i="8"/>
  <c r="CL38" i="8" s="1"/>
  <c r="AW40" i="8"/>
  <c r="DF40" i="8" s="1"/>
  <c r="AI40" i="8"/>
  <c r="CR40" i="8" s="1"/>
  <c r="AX40" i="8"/>
  <c r="DG40" i="8" s="1"/>
  <c r="AJ40" i="8"/>
  <c r="CS40" i="8" s="1"/>
  <c r="BL39" i="8"/>
  <c r="BR39" i="8"/>
  <c r="AL40" i="8"/>
  <c r="CU40" i="8" s="1"/>
  <c r="AZ40" i="8"/>
  <c r="DI40" i="8" s="1"/>
  <c r="BN39" i="8"/>
  <c r="BP39" i="8"/>
  <c r="DP38" i="8"/>
  <c r="DQ38" i="8" s="1"/>
  <c r="CA39" i="8"/>
  <c r="CB39" i="8"/>
  <c r="CI39" i="8"/>
  <c r="CE39" i="8"/>
  <c r="BE40" i="8"/>
  <c r="DN40" i="8" s="1"/>
  <c r="AQ40" i="8"/>
  <c r="CZ40" i="8" s="1"/>
  <c r="BS39" i="8"/>
  <c r="CH39" i="8"/>
  <c r="CD39" i="8"/>
  <c r="CR38" i="2"/>
  <c r="BU39" i="8"/>
  <c r="BZ39" i="8"/>
  <c r="BK39" i="8"/>
  <c r="CJ39" i="8"/>
  <c r="DO39" i="8"/>
  <c r="BI39" i="8"/>
  <c r="CC39" i="8"/>
  <c r="BM39" i="8"/>
  <c r="BO39" i="8"/>
  <c r="CG39" i="4"/>
  <c r="AV40" i="8"/>
  <c r="DE40" i="8" s="1"/>
  <c r="AR40" i="8"/>
  <c r="DA40" i="8" s="1"/>
  <c r="BA40" i="8"/>
  <c r="DJ40" i="8" s="1"/>
  <c r="AS40" i="8"/>
  <c r="DB40" i="8" s="1"/>
  <c r="AT40" i="8"/>
  <c r="DC40" i="8" s="1"/>
  <c r="BV39" i="8"/>
  <c r="CG39" i="8"/>
  <c r="CF39" i="8"/>
  <c r="BW39" i="8"/>
  <c r="BY39" i="8"/>
  <c r="AO40" i="8"/>
  <c r="CX40" i="8" s="1"/>
  <c r="BC40" i="8"/>
  <c r="DL40" i="8" s="1"/>
  <c r="AG40" i="8"/>
  <c r="CP40" i="8" s="1"/>
  <c r="AU40" i="8"/>
  <c r="DD40" i="8" s="1"/>
  <c r="AK40" i="8"/>
  <c r="CT40" i="8" s="1"/>
  <c r="AY40" i="8"/>
  <c r="DH40" i="8" s="1"/>
  <c r="BJ39" i="8"/>
  <c r="BT39" i="8"/>
  <c r="AM40" i="8"/>
  <c r="CV40" i="8" s="1"/>
  <c r="AD40" i="8"/>
  <c r="CM40" i="8" s="1"/>
  <c r="BG39" i="8"/>
  <c r="BF40" i="8"/>
  <c r="AH40" i="8"/>
  <c r="CQ40" i="8" s="1"/>
  <c r="DP39" i="8"/>
  <c r="DQ39" i="8" s="1"/>
  <c r="AF40" i="8"/>
  <c r="CO40" i="8" s="1"/>
  <c r="AE40" i="8"/>
  <c r="CN40" i="8" s="1"/>
  <c r="BH39" i="8"/>
  <c r="BX39" i="8"/>
  <c r="BD40" i="8"/>
  <c r="DM40" i="8" s="1"/>
  <c r="AN40" i="8"/>
  <c r="CW40" i="8" s="1"/>
  <c r="BB40" i="8"/>
  <c r="DK40" i="8" s="1"/>
  <c r="AP40" i="8"/>
  <c r="CY40" i="8" s="1"/>
  <c r="BQ39" i="8"/>
  <c r="BB40" i="6"/>
  <c r="DK40" i="6" s="1"/>
  <c r="CK38" i="6"/>
  <c r="CL38" i="6" s="1"/>
  <c r="BF40" i="6"/>
  <c r="CJ40" i="6" s="1"/>
  <c r="DF39" i="6"/>
  <c r="BG39" i="6"/>
  <c r="DA39" i="6"/>
  <c r="BC40" i="6"/>
  <c r="DL40" i="6" s="1"/>
  <c r="DI39" i="6"/>
  <c r="BD40" i="6"/>
  <c r="DM40" i="6" s="1"/>
  <c r="DL39" i="6"/>
  <c r="CH40" i="6"/>
  <c r="BK40" i="6"/>
  <c r="BF40" i="4"/>
  <c r="DO40" i="4" s="1"/>
  <c r="BY40" i="6"/>
  <c r="AX40" i="6"/>
  <c r="DG40" i="6" s="1"/>
  <c r="AY40" i="6"/>
  <c r="BO40" i="6"/>
  <c r="AW40" i="6"/>
  <c r="DF40" i="6" s="1"/>
  <c r="BT40" i="6"/>
  <c r="AJ41" i="6"/>
  <c r="CS41" i="6" s="1"/>
  <c r="AI41" i="6"/>
  <c r="CR41" i="6" s="1"/>
  <c r="BL40" i="6"/>
  <c r="BM40" i="6"/>
  <c r="AL41" i="6"/>
  <c r="CU41" i="6" s="1"/>
  <c r="BN40" i="6"/>
  <c r="AQ41" i="6"/>
  <c r="CZ41" i="6" s="1"/>
  <c r="BS40" i="6"/>
  <c r="CH39" i="4"/>
  <c r="BR40" i="6"/>
  <c r="BI40" i="6"/>
  <c r="AG41" i="6"/>
  <c r="CP41" i="6" s="1"/>
  <c r="AO41" i="6"/>
  <c r="CX41" i="6" s="1"/>
  <c r="AK41" i="6"/>
  <c r="CT41" i="6" s="1"/>
  <c r="BJ40" i="6"/>
  <c r="BU40" i="6"/>
  <c r="CD39" i="6"/>
  <c r="BZ39" i="6"/>
  <c r="AH41" i="6"/>
  <c r="CQ41" i="6" s="1"/>
  <c r="AF41" i="6"/>
  <c r="CO41" i="6" s="1"/>
  <c r="AE41" i="6"/>
  <c r="CN41" i="6" s="1"/>
  <c r="AD41" i="6"/>
  <c r="CM41" i="6" s="1"/>
  <c r="AM41" i="6"/>
  <c r="CV41" i="6" s="1"/>
  <c r="BH40" i="6"/>
  <c r="CJ39" i="4"/>
  <c r="CG39" i="6"/>
  <c r="CE39" i="6"/>
  <c r="BE40" i="6"/>
  <c r="DN40" i="6" s="1"/>
  <c r="BA40" i="6"/>
  <c r="AT40" i="6"/>
  <c r="AV40" i="6"/>
  <c r="DE40" i="6" s="1"/>
  <c r="AS40" i="6"/>
  <c r="DB40" i="6" s="1"/>
  <c r="AR40" i="6"/>
  <c r="BV39" i="6"/>
  <c r="CA39" i="5"/>
  <c r="CA39" i="6"/>
  <c r="CH39" i="6"/>
  <c r="BW39" i="6"/>
  <c r="AP41" i="6"/>
  <c r="CY41" i="6" s="1"/>
  <c r="AN41" i="6"/>
  <c r="CW41" i="6" s="1"/>
  <c r="BQ40" i="6"/>
  <c r="AZ40" i="6"/>
  <c r="DI40" i="6" s="1"/>
  <c r="CI39" i="5"/>
  <c r="CF39" i="6"/>
  <c r="BX39" i="6"/>
  <c r="BP40" i="6"/>
  <c r="CI39" i="6"/>
  <c r="AY40" i="5"/>
  <c r="DH40" i="5" s="1"/>
  <c r="AW40" i="5"/>
  <c r="DF40" i="5" s="1"/>
  <c r="BE40" i="5"/>
  <c r="DN40" i="5" s="1"/>
  <c r="AU40" i="5"/>
  <c r="DD40" i="5" s="1"/>
  <c r="AX40" i="5"/>
  <c r="DG40" i="5" s="1"/>
  <c r="CF39" i="5"/>
  <c r="CK38" i="5"/>
  <c r="CL38" i="5" s="1"/>
  <c r="CD39" i="5"/>
  <c r="BD40" i="5"/>
  <c r="DM40" i="5" s="1"/>
  <c r="BF40" i="5"/>
  <c r="CJ40" i="5" s="1"/>
  <c r="CC39" i="5"/>
  <c r="BW39" i="5"/>
  <c r="AQ41" i="5"/>
  <c r="CZ41" i="5" s="1"/>
  <c r="BS40" i="5"/>
  <c r="AN41" i="5"/>
  <c r="CW41" i="5" s="1"/>
  <c r="AP41" i="5"/>
  <c r="CY41" i="5" s="1"/>
  <c r="BQ40" i="5"/>
  <c r="BX39" i="5"/>
  <c r="CB39" i="5"/>
  <c r="BT40" i="5"/>
  <c r="BB40" i="5"/>
  <c r="DK40" i="5" s="1"/>
  <c r="BR40" i="5"/>
  <c r="BK40" i="5"/>
  <c r="BA40" i="5"/>
  <c r="DJ40" i="5" s="1"/>
  <c r="AR40" i="5"/>
  <c r="DA40" i="5" s="1"/>
  <c r="AS40" i="5"/>
  <c r="DB40" i="5" s="1"/>
  <c r="AV40" i="5"/>
  <c r="DE40" i="5" s="1"/>
  <c r="AT40" i="5"/>
  <c r="DC40" i="5" s="1"/>
  <c r="BV39" i="5"/>
  <c r="BD40" i="4"/>
  <c r="DM40" i="4" s="1"/>
  <c r="BM40" i="5"/>
  <c r="BZ39" i="5"/>
  <c r="BC40" i="5"/>
  <c r="DL40" i="5" s="1"/>
  <c r="BG39" i="5"/>
  <c r="AL41" i="5"/>
  <c r="CU41" i="5" s="1"/>
  <c r="BN40" i="5"/>
  <c r="DO39" i="5"/>
  <c r="DP39" i="5" s="1"/>
  <c r="DQ39" i="5" s="1"/>
  <c r="CJ39" i="5"/>
  <c r="BG39" i="4"/>
  <c r="CG39" i="5"/>
  <c r="AG41" i="5"/>
  <c r="CP41" i="5" s="1"/>
  <c r="AO41" i="5"/>
  <c r="CX41" i="5" s="1"/>
  <c r="AK41" i="5"/>
  <c r="CT41" i="5" s="1"/>
  <c r="BJ40" i="5"/>
  <c r="AZ40" i="5"/>
  <c r="DI40" i="5" s="1"/>
  <c r="AJ41" i="5"/>
  <c r="CS41" i="5" s="1"/>
  <c r="AI41" i="5"/>
  <c r="CR41" i="5" s="1"/>
  <c r="BL40" i="5"/>
  <c r="CC40" i="5"/>
  <c r="CE39" i="5"/>
  <c r="BY39" i="5"/>
  <c r="CH39" i="5"/>
  <c r="BI40" i="5"/>
  <c r="BO40" i="5"/>
  <c r="BU40" i="5"/>
  <c r="BE40" i="4"/>
  <c r="DN40" i="4" s="1"/>
  <c r="CI39" i="4"/>
  <c r="AF41" i="5"/>
  <c r="CO41" i="5" s="1"/>
  <c r="AE41" i="5"/>
  <c r="CN41" i="5" s="1"/>
  <c r="AD41" i="5"/>
  <c r="CM41" i="5" s="1"/>
  <c r="AH41" i="5"/>
  <c r="CQ41" i="5" s="1"/>
  <c r="AM41" i="5"/>
  <c r="CV41" i="5" s="1"/>
  <c r="BH40" i="5"/>
  <c r="BP40" i="5"/>
  <c r="CJ39" i="3"/>
  <c r="DO39" i="3"/>
  <c r="DP39" i="3" s="1"/>
  <c r="DQ39" i="3" s="1"/>
  <c r="BG39" i="3"/>
  <c r="BF40" i="3"/>
  <c r="DO40" i="3" s="1"/>
  <c r="DP39" i="4"/>
  <c r="DQ39" i="4" s="1"/>
  <c r="CE40" i="4"/>
  <c r="BP40" i="4"/>
  <c r="BM40" i="4"/>
  <c r="CD40" i="4"/>
  <c r="BD40" i="3"/>
  <c r="BT40" i="4"/>
  <c r="BU40" i="4"/>
  <c r="AP41" i="4"/>
  <c r="CY41" i="4" s="1"/>
  <c r="BB41" i="4"/>
  <c r="DK41" i="4" s="1"/>
  <c r="AN41" i="4"/>
  <c r="CW41" i="4" s="1"/>
  <c r="BQ40" i="4"/>
  <c r="AV41" i="4"/>
  <c r="DE41" i="4" s="1"/>
  <c r="AT41" i="4"/>
  <c r="DC41" i="4" s="1"/>
  <c r="AS41" i="4"/>
  <c r="DB41" i="4" s="1"/>
  <c r="BA41" i="4"/>
  <c r="DJ41" i="4" s="1"/>
  <c r="AR41" i="4"/>
  <c r="DA41" i="4" s="1"/>
  <c r="BV40" i="4"/>
  <c r="BO40" i="4"/>
  <c r="BW40" i="4"/>
  <c r="BY40" i="4"/>
  <c r="CK39" i="4"/>
  <c r="CL39" i="4" s="1"/>
  <c r="AH41" i="4"/>
  <c r="CQ41" i="4" s="1"/>
  <c r="AF41" i="4"/>
  <c r="CO41" i="4" s="1"/>
  <c r="AE41" i="4"/>
  <c r="CN41" i="4" s="1"/>
  <c r="AD41" i="4"/>
  <c r="CM41" i="4" s="1"/>
  <c r="AM41" i="4"/>
  <c r="CV41" i="4" s="1"/>
  <c r="BH40" i="4"/>
  <c r="CG40" i="4"/>
  <c r="CC40" i="4"/>
  <c r="BE40" i="3"/>
  <c r="DN40" i="3" s="1"/>
  <c r="CH39" i="3"/>
  <c r="AY41" i="4"/>
  <c r="DH41" i="4" s="1"/>
  <c r="AG41" i="4"/>
  <c r="CP41" i="4" s="1"/>
  <c r="AU41" i="4"/>
  <c r="DD41" i="4" s="1"/>
  <c r="AK41" i="4"/>
  <c r="CT41" i="4" s="1"/>
  <c r="BC41" i="4"/>
  <c r="DL41" i="4" s="1"/>
  <c r="AO41" i="4"/>
  <c r="CX41" i="4" s="1"/>
  <c r="BJ40" i="4"/>
  <c r="CB40" i="4"/>
  <c r="CQ38" i="2"/>
  <c r="BR40" i="4"/>
  <c r="BI40" i="4"/>
  <c r="AQ41" i="4"/>
  <c r="CZ41" i="4" s="1"/>
  <c r="BS40" i="4"/>
  <c r="BX40" i="4"/>
  <c r="BZ40" i="4"/>
  <c r="AZ41" i="4"/>
  <c r="DI41" i="4" s="1"/>
  <c r="AL41" i="4"/>
  <c r="CU41" i="4" s="1"/>
  <c r="BN40" i="4"/>
  <c r="BK40" i="4"/>
  <c r="CF40" i="4"/>
  <c r="AJ41" i="4"/>
  <c r="CS41" i="4" s="1"/>
  <c r="AI41" i="4"/>
  <c r="CR41" i="4" s="1"/>
  <c r="AX41" i="4"/>
  <c r="DG41" i="4" s="1"/>
  <c r="AW41" i="4"/>
  <c r="DF41" i="4" s="1"/>
  <c r="BL40" i="4"/>
  <c r="CA40" i="4"/>
  <c r="AQ39" i="2"/>
  <c r="BU39" i="2" s="1"/>
  <c r="DJ38" i="2"/>
  <c r="AD41" i="3"/>
  <c r="CM41" i="3" s="1"/>
  <c r="AH41" i="3"/>
  <c r="CQ41" i="3" s="1"/>
  <c r="AF41" i="3"/>
  <c r="CO41" i="3" s="1"/>
  <c r="AE41" i="3"/>
  <c r="CN41" i="3" s="1"/>
  <c r="AM41" i="3"/>
  <c r="CV41" i="3" s="1"/>
  <c r="BH40" i="3"/>
  <c r="BA41" i="3"/>
  <c r="DJ41" i="3" s="1"/>
  <c r="AV41" i="3"/>
  <c r="DE41" i="3" s="1"/>
  <c r="AT41" i="3"/>
  <c r="DC41" i="3" s="1"/>
  <c r="AS41" i="3"/>
  <c r="DB41" i="3" s="1"/>
  <c r="AR41" i="3"/>
  <c r="DA41" i="3" s="1"/>
  <c r="BV40" i="3"/>
  <c r="AW39" i="2"/>
  <c r="CA39" i="2" s="1"/>
  <c r="CF40" i="3"/>
  <c r="BR40" i="3"/>
  <c r="DC39" i="2"/>
  <c r="BX39" i="2"/>
  <c r="BK40" i="3"/>
  <c r="BO40" i="3"/>
  <c r="AI39" i="2"/>
  <c r="BM39" i="2" s="1"/>
  <c r="CE40" i="3"/>
  <c r="BA39" i="2"/>
  <c r="CE39" i="2" s="1"/>
  <c r="AM39" i="2"/>
  <c r="BQ39" i="2" s="1"/>
  <c r="BY40" i="3"/>
  <c r="AH39" i="2"/>
  <c r="BL39" i="2" s="1"/>
  <c r="CA40" i="3"/>
  <c r="DB39" i="2"/>
  <c r="BW39" i="2"/>
  <c r="CN39" i="2"/>
  <c r="BI39" i="2"/>
  <c r="BS40" i="3"/>
  <c r="BM40" i="3"/>
  <c r="BP40" i="3"/>
  <c r="BX40" i="3"/>
  <c r="BZ40" i="3"/>
  <c r="AV39" i="2"/>
  <c r="BZ39" i="2" s="1"/>
  <c r="BB41" i="3"/>
  <c r="DK41" i="3" s="1"/>
  <c r="AN41" i="3"/>
  <c r="CW41" i="3" s="1"/>
  <c r="BQ40" i="3"/>
  <c r="DD39" i="2"/>
  <c r="BY39" i="2"/>
  <c r="BC39" i="2"/>
  <c r="CG39" i="2" s="1"/>
  <c r="BN38" i="2"/>
  <c r="BE39" i="2"/>
  <c r="CI39" i="2" s="1"/>
  <c r="BT38" i="2"/>
  <c r="AG41" i="3"/>
  <c r="CP41" i="3" s="1"/>
  <c r="AU41" i="3"/>
  <c r="DD41" i="3" s="1"/>
  <c r="BJ40" i="3"/>
  <c r="BW40" i="3"/>
  <c r="CP39" i="2"/>
  <c r="BK39" i="2"/>
  <c r="BI40" i="3"/>
  <c r="BF39" i="2"/>
  <c r="BP38" i="2"/>
  <c r="AI41" i="3"/>
  <c r="CR41" i="3" s="1"/>
  <c r="AW41" i="3"/>
  <c r="DF41" i="3" s="1"/>
  <c r="BL40" i="3"/>
  <c r="AK39" i="2"/>
  <c r="BO39" i="2" s="1"/>
  <c r="AO39" i="2"/>
  <c r="BS39" i="2" s="1"/>
  <c r="AY39" i="2"/>
  <c r="CC39" i="2" s="1"/>
  <c r="AZ39" i="2"/>
  <c r="CD39" i="2" s="1"/>
  <c r="AL39" i="2"/>
  <c r="BD39" i="2"/>
  <c r="CH39" i="2" s="1"/>
  <c r="AX39" i="2"/>
  <c r="CB39" i="2" s="1"/>
  <c r="AR40" i="2"/>
  <c r="BV40" i="2" s="1"/>
  <c r="AT40" i="2"/>
  <c r="AS40" i="2"/>
  <c r="DA39" i="2"/>
  <c r="AN39" i="2"/>
  <c r="AG40" i="2"/>
  <c r="AU40" i="2"/>
  <c r="CO39" i="2"/>
  <c r="AP39" i="2"/>
  <c r="BT39" i="2" s="1"/>
  <c r="CW38" i="2"/>
  <c r="AJ39" i="2"/>
  <c r="BB39" i="2"/>
  <c r="AF40" i="2"/>
  <c r="BJ40" i="2" s="1"/>
  <c r="AE40" i="2"/>
  <c r="AD40" i="2"/>
  <c r="BH40" i="2" s="1"/>
  <c r="CM39" i="2"/>
  <c r="DF38" i="2"/>
  <c r="CK37" i="2"/>
  <c r="CL37" i="2" s="1"/>
  <c r="DE38" i="2"/>
  <c r="DK38" i="2"/>
  <c r="DP37" i="2"/>
  <c r="DQ37" i="2" s="1"/>
  <c r="DG38" i="2"/>
  <c r="CJ38" i="2"/>
  <c r="DO38" i="2"/>
  <c r="DL38" i="2"/>
  <c r="DI38" i="2"/>
  <c r="CY38" i="2"/>
  <c r="DH38" i="2"/>
  <c r="CS38" i="2"/>
  <c r="CZ38" i="2"/>
  <c r="CX38" i="2"/>
  <c r="DN38" i="2"/>
  <c r="CT38" i="2"/>
  <c r="CU38" i="2"/>
  <c r="DM38" i="2"/>
  <c r="BG38" i="2"/>
  <c r="BY40" i="5" l="1"/>
  <c r="BU40" i="3"/>
  <c r="AL41" i="3"/>
  <c r="CU41" i="3" s="1"/>
  <c r="CC40" i="3"/>
  <c r="AJ41" i="3"/>
  <c r="CS41" i="3" s="1"/>
  <c r="AO41" i="3"/>
  <c r="CX41" i="3" s="1"/>
  <c r="AQ41" i="3"/>
  <c r="CZ41" i="3" s="1"/>
  <c r="BT40" i="3"/>
  <c r="AP41" i="3"/>
  <c r="CY41" i="3" s="1"/>
  <c r="BN40" i="3"/>
  <c r="CB40" i="3"/>
  <c r="AK41" i="3"/>
  <c r="CT41" i="3" s="1"/>
  <c r="AZ41" i="3"/>
  <c r="DI41" i="3" s="1"/>
  <c r="AY41" i="3"/>
  <c r="DH41" i="3" s="1"/>
  <c r="CG40" i="3"/>
  <c r="BC41" i="3"/>
  <c r="DL41" i="3" s="1"/>
  <c r="CD40" i="3"/>
  <c r="AX41" i="3"/>
  <c r="DG41" i="3" s="1"/>
  <c r="CJ40" i="3"/>
  <c r="AH41" i="8"/>
  <c r="CQ41" i="8" s="1"/>
  <c r="AD41" i="8"/>
  <c r="CM41" i="8" s="1"/>
  <c r="AE41" i="8"/>
  <c r="CN41" i="8" s="1"/>
  <c r="BG40" i="8"/>
  <c r="BF41" i="8"/>
  <c r="AM41" i="8"/>
  <c r="CV41" i="8" s="1"/>
  <c r="AF41" i="8"/>
  <c r="CO41" i="8" s="1"/>
  <c r="BH40" i="8"/>
  <c r="BB41" i="8"/>
  <c r="DK41" i="8" s="1"/>
  <c r="AP41" i="8"/>
  <c r="CY41" i="8" s="1"/>
  <c r="AN41" i="8"/>
  <c r="CW41" i="8" s="1"/>
  <c r="BD41" i="8"/>
  <c r="DM41" i="8" s="1"/>
  <c r="BQ40" i="8"/>
  <c r="BU40" i="8"/>
  <c r="CH40" i="4"/>
  <c r="CI40" i="8"/>
  <c r="DO40" i="6"/>
  <c r="BR40" i="8"/>
  <c r="CC40" i="8"/>
  <c r="BX40" i="8"/>
  <c r="CJ40" i="8"/>
  <c r="DO40" i="8"/>
  <c r="CD40" i="8"/>
  <c r="CG40" i="6"/>
  <c r="CH40" i="8"/>
  <c r="BO40" i="8"/>
  <c r="BW40" i="8"/>
  <c r="CF40" i="6"/>
  <c r="BY40" i="8"/>
  <c r="CE40" i="8"/>
  <c r="AZ41" i="8"/>
  <c r="DI41" i="8" s="1"/>
  <c r="AL41" i="8"/>
  <c r="CU41" i="8" s="1"/>
  <c r="BN40" i="8"/>
  <c r="BK40" i="8"/>
  <c r="AV41" i="8"/>
  <c r="DE41" i="8" s="1"/>
  <c r="BA41" i="8"/>
  <c r="DJ41" i="8" s="1"/>
  <c r="AR41" i="8"/>
  <c r="DA41" i="8" s="1"/>
  <c r="AS41" i="8"/>
  <c r="DB41" i="8" s="1"/>
  <c r="AT41" i="8"/>
  <c r="DC41" i="8" s="1"/>
  <c r="BV40" i="8"/>
  <c r="CF40" i="8"/>
  <c r="DP39" i="6"/>
  <c r="DQ39" i="6" s="1"/>
  <c r="CK39" i="8"/>
  <c r="CL39" i="8" s="1"/>
  <c r="CG40" i="8"/>
  <c r="CB40" i="8"/>
  <c r="AJ41" i="8"/>
  <c r="CS41" i="8" s="1"/>
  <c r="AI41" i="8"/>
  <c r="CR41" i="8" s="1"/>
  <c r="AX41" i="8"/>
  <c r="DG41" i="8" s="1"/>
  <c r="AW41" i="8"/>
  <c r="DF41" i="8" s="1"/>
  <c r="BL40" i="8"/>
  <c r="BT40" i="8"/>
  <c r="BP40" i="8"/>
  <c r="CI40" i="4"/>
  <c r="BF41" i="4"/>
  <c r="DO41" i="4" s="1"/>
  <c r="BI40" i="8"/>
  <c r="BZ40" i="8"/>
  <c r="BM40" i="8"/>
  <c r="AW41" i="5"/>
  <c r="DF41" i="5" s="1"/>
  <c r="AY41" i="8"/>
  <c r="DH41" i="8" s="1"/>
  <c r="BC41" i="8"/>
  <c r="DL41" i="8" s="1"/>
  <c r="AK41" i="8"/>
  <c r="CT41" i="8" s="1"/>
  <c r="AO41" i="8"/>
  <c r="CX41" i="8" s="1"/>
  <c r="AG41" i="8"/>
  <c r="CP41" i="8" s="1"/>
  <c r="AU41" i="8"/>
  <c r="DD41" i="8" s="1"/>
  <c r="BJ40" i="8"/>
  <c r="AQ41" i="8"/>
  <c r="CZ41" i="8" s="1"/>
  <c r="BE41" i="8"/>
  <c r="DN41" i="8" s="1"/>
  <c r="BS40" i="8"/>
  <c r="CA40" i="8"/>
  <c r="BG40" i="6"/>
  <c r="DA40" i="6"/>
  <c r="CK39" i="6"/>
  <c r="CL39" i="6" s="1"/>
  <c r="AY41" i="6"/>
  <c r="DH41" i="6" s="1"/>
  <c r="DC40" i="6"/>
  <c r="BB41" i="6"/>
  <c r="DK41" i="6" s="1"/>
  <c r="DJ40" i="6"/>
  <c r="BC41" i="6"/>
  <c r="DL41" i="6" s="1"/>
  <c r="AU41" i="6"/>
  <c r="DD41" i="6" s="1"/>
  <c r="AZ41" i="6"/>
  <c r="DI41" i="6" s="1"/>
  <c r="DH40" i="6"/>
  <c r="BD41" i="6"/>
  <c r="DM41" i="6" s="1"/>
  <c r="AQ42" i="6"/>
  <c r="CZ42" i="6" s="1"/>
  <c r="BS41" i="6"/>
  <c r="CD40" i="6"/>
  <c r="AV41" i="6"/>
  <c r="DE41" i="6" s="1"/>
  <c r="AT41" i="6"/>
  <c r="DC41" i="6" s="1"/>
  <c r="AS41" i="6"/>
  <c r="DB41" i="6" s="1"/>
  <c r="AR41" i="6"/>
  <c r="DA41" i="6" s="1"/>
  <c r="BA41" i="6"/>
  <c r="DJ41" i="6" s="1"/>
  <c r="BV40" i="6"/>
  <c r="BF41" i="6"/>
  <c r="CC40" i="6"/>
  <c r="AP42" i="6"/>
  <c r="CY42" i="6" s="1"/>
  <c r="AN42" i="6"/>
  <c r="CW42" i="6" s="1"/>
  <c r="BQ41" i="6"/>
  <c r="BW40" i="6"/>
  <c r="AE42" i="6"/>
  <c r="CN42" i="6" s="1"/>
  <c r="AD42" i="6"/>
  <c r="CM42" i="6" s="1"/>
  <c r="AM42" i="6"/>
  <c r="CV42" i="6" s="1"/>
  <c r="AH42" i="6"/>
  <c r="CQ42" i="6" s="1"/>
  <c r="AF42" i="6"/>
  <c r="CO42" i="6" s="1"/>
  <c r="BH41" i="6"/>
  <c r="BK41" i="6"/>
  <c r="CB40" i="6"/>
  <c r="BR41" i="6"/>
  <c r="BZ40" i="6"/>
  <c r="BI41" i="6"/>
  <c r="BP41" i="6"/>
  <c r="BX40" i="6"/>
  <c r="AO42" i="6"/>
  <c r="CX42" i="6" s="1"/>
  <c r="AK42" i="6"/>
  <c r="CT42" i="6" s="1"/>
  <c r="AG42" i="6"/>
  <c r="CP42" i="6" s="1"/>
  <c r="BJ41" i="6"/>
  <c r="AJ42" i="6"/>
  <c r="CS42" i="6" s="1"/>
  <c r="AI42" i="6"/>
  <c r="CR42" i="6" s="1"/>
  <c r="BL41" i="6"/>
  <c r="BT41" i="6"/>
  <c r="CE40" i="6"/>
  <c r="CI40" i="6"/>
  <c r="AW41" i="6"/>
  <c r="DF41" i="6" s="1"/>
  <c r="CI40" i="5"/>
  <c r="AX41" i="6"/>
  <c r="DG41" i="6" s="1"/>
  <c r="BM41" i="6"/>
  <c r="CK39" i="3"/>
  <c r="CL39" i="3" s="1"/>
  <c r="CJ40" i="4"/>
  <c r="AU41" i="5"/>
  <c r="DD41" i="5" s="1"/>
  <c r="BE41" i="6"/>
  <c r="AL42" i="6"/>
  <c r="CU42" i="6" s="1"/>
  <c r="BN41" i="6"/>
  <c r="BU41" i="6"/>
  <c r="CA40" i="5"/>
  <c r="CH40" i="5"/>
  <c r="BO41" i="6"/>
  <c r="CA40" i="6"/>
  <c r="BE41" i="5"/>
  <c r="DN41" i="5" s="1"/>
  <c r="BB41" i="5"/>
  <c r="DK41" i="5" s="1"/>
  <c r="BF41" i="5"/>
  <c r="DO41" i="5" s="1"/>
  <c r="BC41" i="5"/>
  <c r="DL41" i="5" s="1"/>
  <c r="DO40" i="5"/>
  <c r="DP40" i="5" s="1"/>
  <c r="DQ40" i="5" s="1"/>
  <c r="AY41" i="5"/>
  <c r="DH41" i="5" s="1"/>
  <c r="CK39" i="5"/>
  <c r="CL39" i="5" s="1"/>
  <c r="AX41" i="5"/>
  <c r="DG41" i="5" s="1"/>
  <c r="CB40" i="5"/>
  <c r="AO42" i="5"/>
  <c r="CX42" i="5" s="1"/>
  <c r="AK42" i="5"/>
  <c r="CT42" i="5" s="1"/>
  <c r="AG42" i="5"/>
  <c r="CP42" i="5" s="1"/>
  <c r="BJ41" i="5"/>
  <c r="BK41" i="5"/>
  <c r="BE41" i="4"/>
  <c r="DN41" i="4" s="1"/>
  <c r="BU41" i="5"/>
  <c r="AE42" i="5"/>
  <c r="CN42" i="5" s="1"/>
  <c r="AD42" i="5"/>
  <c r="CM42" i="5" s="1"/>
  <c r="AF42" i="5"/>
  <c r="CO42" i="5" s="1"/>
  <c r="AM42" i="5"/>
  <c r="CV42" i="5" s="1"/>
  <c r="AH42" i="5"/>
  <c r="CQ42" i="5" s="1"/>
  <c r="BH41" i="5"/>
  <c r="BI41" i="5"/>
  <c r="CF40" i="5"/>
  <c r="BR41" i="5"/>
  <c r="BG40" i="4"/>
  <c r="AQ42" i="5"/>
  <c r="CZ42" i="5" s="1"/>
  <c r="BS41" i="5"/>
  <c r="CE40" i="5"/>
  <c r="BD41" i="4"/>
  <c r="DM41" i="4" s="1"/>
  <c r="BM41" i="5"/>
  <c r="CG40" i="5"/>
  <c r="BG40" i="5"/>
  <c r="AL42" i="5"/>
  <c r="CU42" i="5" s="1"/>
  <c r="BN41" i="5"/>
  <c r="CD40" i="5"/>
  <c r="BX40" i="5"/>
  <c r="AV41" i="5"/>
  <c r="DE41" i="5" s="1"/>
  <c r="BA41" i="5"/>
  <c r="DJ41" i="5" s="1"/>
  <c r="AT41" i="5"/>
  <c r="DC41" i="5" s="1"/>
  <c r="AR41" i="5"/>
  <c r="DA41" i="5" s="1"/>
  <c r="AS41" i="5"/>
  <c r="DB41" i="5" s="1"/>
  <c r="BV40" i="5"/>
  <c r="BP41" i="5"/>
  <c r="CI40" i="3"/>
  <c r="AZ41" i="5"/>
  <c r="BZ40" i="5"/>
  <c r="AI42" i="5"/>
  <c r="CR42" i="5" s="1"/>
  <c r="AJ42" i="5"/>
  <c r="CS42" i="5" s="1"/>
  <c r="BL41" i="5"/>
  <c r="BD41" i="5"/>
  <c r="DM41" i="5" s="1"/>
  <c r="AP42" i="5"/>
  <c r="CY42" i="5" s="1"/>
  <c r="AN42" i="5"/>
  <c r="CW42" i="5" s="1"/>
  <c r="BQ41" i="5"/>
  <c r="BO41" i="5"/>
  <c r="BW40" i="5"/>
  <c r="BT41" i="5"/>
  <c r="BD41" i="3"/>
  <c r="DM41" i="3" s="1"/>
  <c r="CH40" i="3"/>
  <c r="BE41" i="3"/>
  <c r="DN41" i="3" s="1"/>
  <c r="DM40" i="3"/>
  <c r="DP40" i="3" s="1"/>
  <c r="DQ40" i="3" s="1"/>
  <c r="AP42" i="4"/>
  <c r="CY42" i="4" s="1"/>
  <c r="AN42" i="4"/>
  <c r="CW42" i="4" s="1"/>
  <c r="BB42" i="4"/>
  <c r="DK42" i="4" s="1"/>
  <c r="BQ41" i="4"/>
  <c r="CG41" i="4"/>
  <c r="AT42" i="4"/>
  <c r="DC42" i="4" s="1"/>
  <c r="AS42" i="4"/>
  <c r="DB42" i="4" s="1"/>
  <c r="AR42" i="4"/>
  <c r="DA42" i="4" s="1"/>
  <c r="BA42" i="4"/>
  <c r="DJ42" i="4" s="1"/>
  <c r="AV42" i="4"/>
  <c r="DE42" i="4" s="1"/>
  <c r="BV41" i="4"/>
  <c r="CB41" i="4"/>
  <c r="BO41" i="4"/>
  <c r="BI41" i="4"/>
  <c r="CE41" i="4"/>
  <c r="BM41" i="4"/>
  <c r="BY41" i="4"/>
  <c r="AU42" i="4"/>
  <c r="DD42" i="4" s="1"/>
  <c r="AO42" i="4"/>
  <c r="CX42" i="4" s="1"/>
  <c r="AK42" i="4"/>
  <c r="CT42" i="4" s="1"/>
  <c r="BC42" i="4"/>
  <c r="DL42" i="4" s="1"/>
  <c r="AY42" i="4"/>
  <c r="DH42" i="4" s="1"/>
  <c r="AG42" i="4"/>
  <c r="CP42" i="4" s="1"/>
  <c r="BJ41" i="4"/>
  <c r="BW41" i="4"/>
  <c r="BU41" i="4"/>
  <c r="BF41" i="3"/>
  <c r="AJ42" i="4"/>
  <c r="CS42" i="4" s="1"/>
  <c r="AI42" i="4"/>
  <c r="CR42" i="4" s="1"/>
  <c r="AX42" i="4"/>
  <c r="DG42" i="4" s="1"/>
  <c r="AW42" i="4"/>
  <c r="DF42" i="4" s="1"/>
  <c r="BL41" i="4"/>
  <c r="BX41" i="4"/>
  <c r="CC41" i="4"/>
  <c r="BR41" i="4"/>
  <c r="DP40" i="4"/>
  <c r="DQ40" i="4" s="1"/>
  <c r="BK41" i="4"/>
  <c r="BZ41" i="4"/>
  <c r="AQ42" i="4"/>
  <c r="CZ42" i="4" s="1"/>
  <c r="BS41" i="4"/>
  <c r="AE42" i="4"/>
  <c r="CN42" i="4" s="1"/>
  <c r="AD42" i="4"/>
  <c r="CM42" i="4" s="1"/>
  <c r="AH42" i="4"/>
  <c r="CQ42" i="4" s="1"/>
  <c r="AF42" i="4"/>
  <c r="CO42" i="4" s="1"/>
  <c r="AM42" i="4"/>
  <c r="CV42" i="4" s="1"/>
  <c r="BH41" i="4"/>
  <c r="BG40" i="3"/>
  <c r="CF41" i="4"/>
  <c r="CD41" i="4"/>
  <c r="CA41" i="4"/>
  <c r="AZ42" i="4"/>
  <c r="DI42" i="4" s="1"/>
  <c r="AL42" i="4"/>
  <c r="CU42" i="4" s="1"/>
  <c r="BN41" i="4"/>
  <c r="BP41" i="4"/>
  <c r="BT41" i="4"/>
  <c r="DF39" i="2"/>
  <c r="AH40" i="2"/>
  <c r="BL40" i="2" s="1"/>
  <c r="BA40" i="2"/>
  <c r="CE40" i="2" s="1"/>
  <c r="AM40" i="2"/>
  <c r="BQ40" i="2" s="1"/>
  <c r="AI40" i="2"/>
  <c r="BM40" i="2" s="1"/>
  <c r="AV40" i="2"/>
  <c r="BZ40" i="2" s="1"/>
  <c r="BB40" i="2"/>
  <c r="CF40" i="2" s="1"/>
  <c r="BR39" i="2"/>
  <c r="BR41" i="3"/>
  <c r="BW41" i="3"/>
  <c r="CA41" i="3"/>
  <c r="CF41" i="3"/>
  <c r="BX41" i="3"/>
  <c r="BK41" i="3"/>
  <c r="BZ41" i="3"/>
  <c r="BM41" i="3"/>
  <c r="CE41" i="3"/>
  <c r="DK39" i="2"/>
  <c r="CF39" i="2"/>
  <c r="AX40" i="2"/>
  <c r="CB40" i="2" s="1"/>
  <c r="BN39" i="2"/>
  <c r="AN42" i="3"/>
  <c r="CW42" i="3" s="1"/>
  <c r="BB42" i="3"/>
  <c r="DK42" i="3" s="1"/>
  <c r="BQ41" i="3"/>
  <c r="AN40" i="2"/>
  <c r="BI41" i="3"/>
  <c r="AP40" i="2"/>
  <c r="BT40" i="2" s="1"/>
  <c r="AO42" i="3"/>
  <c r="CX42" i="3" s="1"/>
  <c r="AK42" i="3"/>
  <c r="CT42" i="3" s="1"/>
  <c r="AG42" i="3"/>
  <c r="CP42" i="3" s="1"/>
  <c r="AU42" i="3"/>
  <c r="DD42" i="3" s="1"/>
  <c r="BJ41" i="3"/>
  <c r="CR39" i="2"/>
  <c r="AK40" i="2"/>
  <c r="BO40" i="2" s="1"/>
  <c r="BP39" i="2"/>
  <c r="AI42" i="3"/>
  <c r="CR42" i="3" s="1"/>
  <c r="AW42" i="3"/>
  <c r="DF42" i="3" s="1"/>
  <c r="BL41" i="3"/>
  <c r="BN41" i="3"/>
  <c r="CN40" i="2"/>
  <c r="BI40" i="2"/>
  <c r="BY41" i="3"/>
  <c r="DB40" i="2"/>
  <c r="BW40" i="2"/>
  <c r="DC40" i="2"/>
  <c r="BX40" i="2"/>
  <c r="AW40" i="2"/>
  <c r="CA40" i="2" s="1"/>
  <c r="BD40" i="2"/>
  <c r="CH40" i="2" s="1"/>
  <c r="BA42" i="3"/>
  <c r="DJ42" i="3" s="1"/>
  <c r="AV42" i="3"/>
  <c r="DE42" i="3" s="1"/>
  <c r="AT42" i="3"/>
  <c r="DC42" i="3" s="1"/>
  <c r="AR42" i="3"/>
  <c r="DA42" i="3" s="1"/>
  <c r="AS42" i="3"/>
  <c r="DB42" i="3" s="1"/>
  <c r="BV41" i="3"/>
  <c r="DD40" i="2"/>
  <c r="BY40" i="2"/>
  <c r="BP41" i="3"/>
  <c r="CP40" i="2"/>
  <c r="BK40" i="2"/>
  <c r="BU41" i="3"/>
  <c r="AH42" i="3"/>
  <c r="CQ42" i="3" s="1"/>
  <c r="AM42" i="3"/>
  <c r="CV42" i="3" s="1"/>
  <c r="AD42" i="3"/>
  <c r="CM42" i="3" s="1"/>
  <c r="AF42" i="3"/>
  <c r="CO42" i="3" s="1"/>
  <c r="AE42" i="3"/>
  <c r="CN42" i="3" s="1"/>
  <c r="BH41" i="3"/>
  <c r="AR41" i="2"/>
  <c r="BV41" i="2" s="1"/>
  <c r="AS41" i="2"/>
  <c r="AT41" i="2"/>
  <c r="BX41" i="2" s="1"/>
  <c r="DA40" i="2"/>
  <c r="BF40" i="2"/>
  <c r="AF41" i="2"/>
  <c r="BJ41" i="2" s="1"/>
  <c r="AD41" i="2"/>
  <c r="BH41" i="2" s="1"/>
  <c r="AE41" i="2"/>
  <c r="CM40" i="2"/>
  <c r="AJ40" i="2"/>
  <c r="BN40" i="2" s="1"/>
  <c r="BC40" i="2"/>
  <c r="CG40" i="2" s="1"/>
  <c r="AO40" i="2"/>
  <c r="BS40" i="2" s="1"/>
  <c r="AU41" i="2"/>
  <c r="AG41" i="2"/>
  <c r="CO40" i="2"/>
  <c r="AY40" i="2"/>
  <c r="CC40" i="2" s="1"/>
  <c r="AZ40" i="2"/>
  <c r="CD40" i="2" s="1"/>
  <c r="AL40" i="2"/>
  <c r="BE40" i="2"/>
  <c r="CI40" i="2" s="1"/>
  <c r="AQ40" i="2"/>
  <c r="CQ39" i="2"/>
  <c r="CW39" i="2"/>
  <c r="DE39" i="2"/>
  <c r="DJ39" i="2"/>
  <c r="CV39" i="2"/>
  <c r="DP38" i="2"/>
  <c r="DQ38" i="2" s="1"/>
  <c r="CK38" i="2"/>
  <c r="CL38" i="2" s="1"/>
  <c r="DM39" i="2"/>
  <c r="DI39" i="2"/>
  <c r="DG39" i="2"/>
  <c r="CS39" i="2"/>
  <c r="CJ39" i="2"/>
  <c r="DO39" i="2"/>
  <c r="CY39" i="2"/>
  <c r="CZ39" i="2"/>
  <c r="DN39" i="2"/>
  <c r="CT39" i="2"/>
  <c r="DL39" i="2"/>
  <c r="CU39" i="2"/>
  <c r="CX39" i="2"/>
  <c r="DH39" i="2"/>
  <c r="BG39" i="2"/>
  <c r="CF41" i="6" l="1"/>
  <c r="BB42" i="6"/>
  <c r="DK42" i="6" s="1"/>
  <c r="CG41" i="6"/>
  <c r="CC41" i="6"/>
  <c r="CA41" i="5"/>
  <c r="CK40" i="4"/>
  <c r="CL40" i="4" s="1"/>
  <c r="BT41" i="3"/>
  <c r="AQ42" i="3"/>
  <c r="CZ42" i="3" s="1"/>
  <c r="AP42" i="3"/>
  <c r="CY42" i="3" s="1"/>
  <c r="BS41" i="3"/>
  <c r="AL42" i="3"/>
  <c r="CU42" i="3" s="1"/>
  <c r="AJ42" i="3"/>
  <c r="CS42" i="3" s="1"/>
  <c r="CD41" i="3"/>
  <c r="BO41" i="3"/>
  <c r="CC41" i="3"/>
  <c r="BC42" i="3"/>
  <c r="DL42" i="3" s="1"/>
  <c r="CG41" i="3"/>
  <c r="AZ42" i="3"/>
  <c r="DI42" i="3" s="1"/>
  <c r="AY42" i="3"/>
  <c r="DH42" i="3" s="1"/>
  <c r="AX42" i="3"/>
  <c r="DG42" i="3" s="1"/>
  <c r="CB41" i="3"/>
  <c r="CH41" i="3"/>
  <c r="CK40" i="3"/>
  <c r="CL40" i="3" s="1"/>
  <c r="BP41" i="8"/>
  <c r="BT41" i="8"/>
  <c r="BK41" i="8"/>
  <c r="CK40" i="8"/>
  <c r="CL40" i="8" s="1"/>
  <c r="CK40" i="6"/>
  <c r="CL40" i="6" s="1"/>
  <c r="BY41" i="6"/>
  <c r="BX41" i="8"/>
  <c r="AU42" i="8"/>
  <c r="DD42" i="8" s="1"/>
  <c r="AG42" i="8"/>
  <c r="CP42" i="8" s="1"/>
  <c r="AY42" i="8"/>
  <c r="DH42" i="8" s="1"/>
  <c r="AO42" i="8"/>
  <c r="CX42" i="8" s="1"/>
  <c r="AK42" i="8"/>
  <c r="CT42" i="8" s="1"/>
  <c r="BC42" i="8"/>
  <c r="DL42" i="8" s="1"/>
  <c r="BJ41" i="8"/>
  <c r="CI41" i="8"/>
  <c r="BE42" i="8"/>
  <c r="DN42" i="8" s="1"/>
  <c r="AQ42" i="8"/>
  <c r="CZ42" i="8" s="1"/>
  <c r="BS41" i="8"/>
  <c r="DP40" i="8"/>
  <c r="DQ40" i="8" s="1"/>
  <c r="DP40" i="6"/>
  <c r="DQ40" i="6" s="1"/>
  <c r="BO41" i="8"/>
  <c r="BW41" i="8"/>
  <c r="BD42" i="8"/>
  <c r="DM42" i="8" s="1"/>
  <c r="BB42" i="8"/>
  <c r="DK42" i="8" s="1"/>
  <c r="AP42" i="8"/>
  <c r="CY42" i="8" s="1"/>
  <c r="AN42" i="8"/>
  <c r="CW42" i="8" s="1"/>
  <c r="BQ41" i="8"/>
  <c r="CG41" i="8"/>
  <c r="AT42" i="8"/>
  <c r="DC42" i="8" s="1"/>
  <c r="AS42" i="8"/>
  <c r="DB42" i="8" s="1"/>
  <c r="AV42" i="8"/>
  <c r="DE42" i="8" s="1"/>
  <c r="AR42" i="8"/>
  <c r="DA42" i="8" s="1"/>
  <c r="BA42" i="8"/>
  <c r="DJ42" i="8" s="1"/>
  <c r="BV41" i="8"/>
  <c r="DO41" i="8"/>
  <c r="CJ41" i="8"/>
  <c r="BU41" i="8"/>
  <c r="CC41" i="8"/>
  <c r="CA41" i="8"/>
  <c r="CE41" i="8"/>
  <c r="BR41" i="8"/>
  <c r="CB41" i="8"/>
  <c r="BZ41" i="8"/>
  <c r="BI41" i="8"/>
  <c r="CD41" i="8"/>
  <c r="CF41" i="8"/>
  <c r="BF42" i="4"/>
  <c r="DO42" i="4" s="1"/>
  <c r="BM41" i="8"/>
  <c r="AE42" i="8"/>
  <c r="CN42" i="8" s="1"/>
  <c r="AD42" i="8"/>
  <c r="CM42" i="8" s="1"/>
  <c r="AF42" i="8"/>
  <c r="CO42" i="8" s="1"/>
  <c r="AH42" i="8"/>
  <c r="CQ42" i="8" s="1"/>
  <c r="BF42" i="8"/>
  <c r="BG41" i="8"/>
  <c r="AM42" i="8"/>
  <c r="CV42" i="8" s="1"/>
  <c r="BH41" i="8"/>
  <c r="CH41" i="8"/>
  <c r="BY41" i="8"/>
  <c r="CJ41" i="4"/>
  <c r="CI41" i="5"/>
  <c r="AZ42" i="8"/>
  <c r="DI42" i="8" s="1"/>
  <c r="AL42" i="8"/>
  <c r="CU42" i="8" s="1"/>
  <c r="BN41" i="8"/>
  <c r="AW42" i="8"/>
  <c r="DF42" i="8" s="1"/>
  <c r="AI42" i="8"/>
  <c r="CR42" i="8" s="1"/>
  <c r="AJ42" i="8"/>
  <c r="CS42" i="8" s="1"/>
  <c r="AX42" i="8"/>
  <c r="DG42" i="8" s="1"/>
  <c r="BL41" i="8"/>
  <c r="CD41" i="6"/>
  <c r="AZ42" i="6"/>
  <c r="DI42" i="6" s="1"/>
  <c r="AX42" i="6"/>
  <c r="DG42" i="6" s="1"/>
  <c r="BD42" i="6"/>
  <c r="DM42" i="6" s="1"/>
  <c r="DN41" i="6"/>
  <c r="CH41" i="6"/>
  <c r="BX41" i="6"/>
  <c r="CA41" i="6"/>
  <c r="BK42" i="6"/>
  <c r="BZ41" i="6"/>
  <c r="AY42" i="6"/>
  <c r="DH42" i="6" s="1"/>
  <c r="CF42" i="6"/>
  <c r="BE42" i="3"/>
  <c r="DN42" i="3" s="1"/>
  <c r="BO42" i="6"/>
  <c r="BR42" i="6"/>
  <c r="BC42" i="6"/>
  <c r="DL42" i="6" s="1"/>
  <c r="BP42" i="6"/>
  <c r="BT42" i="6"/>
  <c r="AY42" i="5"/>
  <c r="DH42" i="5" s="1"/>
  <c r="DI41" i="5"/>
  <c r="AQ43" i="6"/>
  <c r="CZ43" i="6" s="1"/>
  <c r="BS42" i="6"/>
  <c r="CI41" i="6"/>
  <c r="AU42" i="6"/>
  <c r="DD42" i="6" s="1"/>
  <c r="AO43" i="6"/>
  <c r="CX43" i="6" s="1"/>
  <c r="AK43" i="6"/>
  <c r="CT43" i="6" s="1"/>
  <c r="AG43" i="6"/>
  <c r="CP43" i="6" s="1"/>
  <c r="BJ42" i="6"/>
  <c r="BE42" i="6"/>
  <c r="DN42" i="6" s="1"/>
  <c r="AJ43" i="6"/>
  <c r="CS43" i="6" s="1"/>
  <c r="AI43" i="6"/>
  <c r="CR43" i="6" s="1"/>
  <c r="BL42" i="6"/>
  <c r="BU42" i="6"/>
  <c r="BM42" i="6"/>
  <c r="BG41" i="6"/>
  <c r="CI41" i="3"/>
  <c r="AW42" i="6"/>
  <c r="DF42" i="6" s="1"/>
  <c r="AP43" i="6"/>
  <c r="CY43" i="6" s="1"/>
  <c r="AN43" i="6"/>
  <c r="CW43" i="6" s="1"/>
  <c r="BQ42" i="6"/>
  <c r="DO41" i="6"/>
  <c r="CJ41" i="6"/>
  <c r="AU42" i="5"/>
  <c r="DD42" i="5" s="1"/>
  <c r="AL43" i="6"/>
  <c r="CU43" i="6" s="1"/>
  <c r="BN42" i="6"/>
  <c r="BF42" i="6"/>
  <c r="CH41" i="4"/>
  <c r="BY41" i="5"/>
  <c r="CB41" i="6"/>
  <c r="AM43" i="6"/>
  <c r="CV43" i="6" s="1"/>
  <c r="AH43" i="6"/>
  <c r="CQ43" i="6" s="1"/>
  <c r="AF43" i="6"/>
  <c r="CO43" i="6" s="1"/>
  <c r="AE43" i="6"/>
  <c r="CN43" i="6" s="1"/>
  <c r="AD43" i="6"/>
  <c r="CM43" i="6" s="1"/>
  <c r="BH42" i="6"/>
  <c r="CE41" i="6"/>
  <c r="CC41" i="5"/>
  <c r="BI42" i="6"/>
  <c r="AT42" i="6"/>
  <c r="DC42" i="6" s="1"/>
  <c r="AS42" i="6"/>
  <c r="DB42" i="6" s="1"/>
  <c r="AR42" i="6"/>
  <c r="DA42" i="6" s="1"/>
  <c r="BA42" i="6"/>
  <c r="AV42" i="6"/>
  <c r="DE42" i="6" s="1"/>
  <c r="BV41" i="6"/>
  <c r="CF41" i="5"/>
  <c r="BW41" i="6"/>
  <c r="CK40" i="5"/>
  <c r="CL40" i="5" s="1"/>
  <c r="BE42" i="5"/>
  <c r="DN42" i="5" s="1"/>
  <c r="BF42" i="5"/>
  <c r="DO42" i="5" s="1"/>
  <c r="CJ41" i="5"/>
  <c r="BD42" i="5"/>
  <c r="DM42" i="5" s="1"/>
  <c r="BB42" i="5"/>
  <c r="DK42" i="5" s="1"/>
  <c r="CG41" i="5"/>
  <c r="AW42" i="5"/>
  <c r="DF42" i="5" s="1"/>
  <c r="BG41" i="5"/>
  <c r="CB41" i="5"/>
  <c r="AO43" i="5"/>
  <c r="CX43" i="5" s="1"/>
  <c r="AG43" i="5"/>
  <c r="CP43" i="5" s="1"/>
  <c r="AK43" i="5"/>
  <c r="CT43" i="5" s="1"/>
  <c r="BJ42" i="5"/>
  <c r="AZ42" i="5"/>
  <c r="DI42" i="5" s="1"/>
  <c r="CI41" i="4"/>
  <c r="BP42" i="5"/>
  <c r="AM43" i="5"/>
  <c r="CV43" i="5" s="1"/>
  <c r="AF43" i="5"/>
  <c r="CO43" i="5" s="1"/>
  <c r="AE43" i="5"/>
  <c r="CN43" i="5" s="1"/>
  <c r="AD43" i="5"/>
  <c r="CM43" i="5" s="1"/>
  <c r="AH43" i="5"/>
  <c r="CQ43" i="5" s="1"/>
  <c r="BH42" i="5"/>
  <c r="BU42" i="5"/>
  <c r="BD42" i="4"/>
  <c r="DM42" i="4" s="1"/>
  <c r="BR42" i="5"/>
  <c r="BI42" i="5"/>
  <c r="BG41" i="4"/>
  <c r="BT42" i="5"/>
  <c r="AP43" i="5"/>
  <c r="CY43" i="5" s="1"/>
  <c r="AN43" i="5"/>
  <c r="CW43" i="5" s="1"/>
  <c r="BQ42" i="5"/>
  <c r="BW41" i="5"/>
  <c r="BX41" i="5"/>
  <c r="BD42" i="3"/>
  <c r="DM42" i="3" s="1"/>
  <c r="AL43" i="5"/>
  <c r="CU43" i="5" s="1"/>
  <c r="BN42" i="5"/>
  <c r="CE41" i="5"/>
  <c r="CD41" i="5"/>
  <c r="CH41" i="5"/>
  <c r="BE42" i="4"/>
  <c r="DN42" i="4" s="1"/>
  <c r="BM42" i="5"/>
  <c r="BZ41" i="5"/>
  <c r="BK42" i="5"/>
  <c r="AQ43" i="5"/>
  <c r="CZ43" i="5" s="1"/>
  <c r="BS42" i="5"/>
  <c r="AT42" i="5"/>
  <c r="DC42" i="5" s="1"/>
  <c r="AR42" i="5"/>
  <c r="DA42" i="5" s="1"/>
  <c r="AS42" i="5"/>
  <c r="DB42" i="5" s="1"/>
  <c r="DP41" i="5"/>
  <c r="DQ41" i="5" s="1"/>
  <c r="BA42" i="5"/>
  <c r="DJ42" i="5" s="1"/>
  <c r="AV42" i="5"/>
  <c r="DE42" i="5" s="1"/>
  <c r="BV41" i="5"/>
  <c r="BO42" i="5"/>
  <c r="AX42" i="5"/>
  <c r="DG42" i="5" s="1"/>
  <c r="AJ43" i="5"/>
  <c r="CS43" i="5" s="1"/>
  <c r="AI43" i="5"/>
  <c r="CR43" i="5" s="1"/>
  <c r="BL42" i="5"/>
  <c r="BC42" i="5"/>
  <c r="DL42" i="5" s="1"/>
  <c r="BG41" i="3"/>
  <c r="DO41" i="3"/>
  <c r="DP41" i="3" s="1"/>
  <c r="DQ41" i="3" s="1"/>
  <c r="BF42" i="3"/>
  <c r="DO42" i="3" s="1"/>
  <c r="CJ41" i="3"/>
  <c r="CG42" i="4"/>
  <c r="BO42" i="4"/>
  <c r="AH41" i="2"/>
  <c r="BL41" i="2" s="1"/>
  <c r="BY42" i="4"/>
  <c r="BW42" i="4"/>
  <c r="AM41" i="2"/>
  <c r="BQ41" i="2" s="1"/>
  <c r="AJ43" i="4"/>
  <c r="CS43" i="4" s="1"/>
  <c r="AI43" i="4"/>
  <c r="CR43" i="4" s="1"/>
  <c r="AW43" i="4"/>
  <c r="DF43" i="4" s="1"/>
  <c r="AX43" i="4"/>
  <c r="DG43" i="4" s="1"/>
  <c r="BL42" i="4"/>
  <c r="BX42" i="4"/>
  <c r="CA42" i="4"/>
  <c r="AQ43" i="4"/>
  <c r="CZ43" i="4" s="1"/>
  <c r="BS42" i="4"/>
  <c r="CJ42" i="4"/>
  <c r="CD42" i="4"/>
  <c r="AM43" i="4"/>
  <c r="CV43" i="4" s="1"/>
  <c r="AF43" i="4"/>
  <c r="CO43" i="4" s="1"/>
  <c r="AE43" i="4"/>
  <c r="CN43" i="4" s="1"/>
  <c r="AD43" i="4"/>
  <c r="CM43" i="4" s="1"/>
  <c r="AH43" i="4"/>
  <c r="CQ43" i="4" s="1"/>
  <c r="BH42" i="4"/>
  <c r="CB42" i="4"/>
  <c r="AL43" i="4"/>
  <c r="CU43" i="4" s="1"/>
  <c r="AZ43" i="4"/>
  <c r="DI43" i="4" s="1"/>
  <c r="BN42" i="4"/>
  <c r="BA43" i="4"/>
  <c r="DJ43" i="4" s="1"/>
  <c r="AV43" i="4"/>
  <c r="DE43" i="4" s="1"/>
  <c r="AT43" i="4"/>
  <c r="DC43" i="4" s="1"/>
  <c r="AS43" i="4"/>
  <c r="DB43" i="4" s="1"/>
  <c r="AR43" i="4"/>
  <c r="DA43" i="4" s="1"/>
  <c r="BV42" i="4"/>
  <c r="AI41" i="2"/>
  <c r="BM41" i="2" s="1"/>
  <c r="BI42" i="4"/>
  <c r="CF42" i="4"/>
  <c r="BZ42" i="4"/>
  <c r="DP41" i="4"/>
  <c r="DQ41" i="4" s="1"/>
  <c r="BR42" i="4"/>
  <c r="BU42" i="4"/>
  <c r="CH42" i="4"/>
  <c r="AP43" i="4"/>
  <c r="CY43" i="4" s="1"/>
  <c r="AN43" i="4"/>
  <c r="CW43" i="4" s="1"/>
  <c r="BB43" i="4"/>
  <c r="DK43" i="4" s="1"/>
  <c r="BQ42" i="4"/>
  <c r="BK42" i="4"/>
  <c r="BT42" i="4"/>
  <c r="BM42" i="4"/>
  <c r="CE42" i="4"/>
  <c r="AO43" i="4"/>
  <c r="CX43" i="4" s="1"/>
  <c r="BC43" i="4"/>
  <c r="DL43" i="4" s="1"/>
  <c r="AK43" i="4"/>
  <c r="CT43" i="4" s="1"/>
  <c r="AY43" i="4"/>
  <c r="DH43" i="4" s="1"/>
  <c r="AU43" i="4"/>
  <c r="DD43" i="4" s="1"/>
  <c r="AG43" i="4"/>
  <c r="CP43" i="4" s="1"/>
  <c r="BJ42" i="4"/>
  <c r="BP42" i="4"/>
  <c r="CI42" i="4"/>
  <c r="CC42" i="4"/>
  <c r="BB41" i="2"/>
  <c r="CF41" i="2" s="1"/>
  <c r="AU43" i="3"/>
  <c r="DD43" i="3" s="1"/>
  <c r="BJ42" i="3"/>
  <c r="AK43" i="3"/>
  <c r="CT43" i="3" s="1"/>
  <c r="AG43" i="3"/>
  <c r="CP43" i="3" s="1"/>
  <c r="AP43" i="3"/>
  <c r="CY43" i="3" s="1"/>
  <c r="BB43" i="3"/>
  <c r="DK43" i="3" s="1"/>
  <c r="BQ42" i="3"/>
  <c r="AN43" i="3"/>
  <c r="CW43" i="3" s="1"/>
  <c r="AN41" i="2"/>
  <c r="BR41" i="2" s="1"/>
  <c r="BR40" i="2"/>
  <c r="CE42" i="3"/>
  <c r="CF42" i="3"/>
  <c r="BA41" i="2"/>
  <c r="CE41" i="2" s="1"/>
  <c r="BY42" i="3"/>
  <c r="BR42" i="3"/>
  <c r="BI42" i="3"/>
  <c r="AF43" i="3"/>
  <c r="CO43" i="3" s="1"/>
  <c r="AE43" i="3"/>
  <c r="CN43" i="3" s="1"/>
  <c r="BH42" i="3"/>
  <c r="AM43" i="3"/>
  <c r="CV43" i="3" s="1"/>
  <c r="AD43" i="3"/>
  <c r="CM43" i="3" s="1"/>
  <c r="AH43" i="3"/>
  <c r="CQ43" i="3" s="1"/>
  <c r="CN41" i="2"/>
  <c r="BI41" i="2"/>
  <c r="BW42" i="3"/>
  <c r="AP41" i="2"/>
  <c r="BT41" i="2" s="1"/>
  <c r="BU40" i="2"/>
  <c r="BT42" i="3"/>
  <c r="AQ43" i="3"/>
  <c r="CZ43" i="3" s="1"/>
  <c r="BS42" i="3"/>
  <c r="BU42" i="3"/>
  <c r="BX42" i="3"/>
  <c r="AO41" i="2"/>
  <c r="BS41" i="2" s="1"/>
  <c r="BP40" i="2"/>
  <c r="BK42" i="3"/>
  <c r="AV41" i="2"/>
  <c r="BZ41" i="2" s="1"/>
  <c r="DD41" i="2"/>
  <c r="BY41" i="2"/>
  <c r="BM42" i="3"/>
  <c r="AW41" i="2"/>
  <c r="CA41" i="2" s="1"/>
  <c r="AV43" i="3"/>
  <c r="DE43" i="3" s="1"/>
  <c r="AS43" i="3"/>
  <c r="DB43" i="3" s="1"/>
  <c r="AR43" i="3"/>
  <c r="DA43" i="3" s="1"/>
  <c r="BA43" i="3"/>
  <c r="DJ43" i="3" s="1"/>
  <c r="AT43" i="3"/>
  <c r="DC43" i="3" s="1"/>
  <c r="BV42" i="3"/>
  <c r="BL42" i="3"/>
  <c r="AW43" i="3"/>
  <c r="DF43" i="3" s="1"/>
  <c r="AI43" i="3"/>
  <c r="CR43" i="3" s="1"/>
  <c r="AJ43" i="3"/>
  <c r="CS43" i="3" s="1"/>
  <c r="BZ42" i="3"/>
  <c r="DB41" i="2"/>
  <c r="BW41" i="2"/>
  <c r="CP41" i="2"/>
  <c r="BK41" i="2"/>
  <c r="CA42" i="3"/>
  <c r="BO42" i="3"/>
  <c r="AU42" i="2"/>
  <c r="AG42" i="2"/>
  <c r="CO41" i="2"/>
  <c r="AK41" i="2"/>
  <c r="DC41" i="2"/>
  <c r="AX41" i="2"/>
  <c r="CB41" i="2" s="1"/>
  <c r="AY41" i="2"/>
  <c r="CC41" i="2" s="1"/>
  <c r="AZ41" i="2"/>
  <c r="CD41" i="2" s="1"/>
  <c r="AL41" i="2"/>
  <c r="BP41" i="2" s="1"/>
  <c r="BC41" i="2"/>
  <c r="CG41" i="2" s="1"/>
  <c r="AQ41" i="2"/>
  <c r="BE41" i="2"/>
  <c r="AF42" i="2"/>
  <c r="BJ42" i="2" s="1"/>
  <c r="AD42" i="2"/>
  <c r="BH42" i="2" s="1"/>
  <c r="AE42" i="2"/>
  <c r="CM41" i="2"/>
  <c r="BD41" i="2"/>
  <c r="CH41" i="2" s="1"/>
  <c r="AJ41" i="2"/>
  <c r="BF41" i="2"/>
  <c r="AS42" i="2"/>
  <c r="AT42" i="2"/>
  <c r="BX42" i="2" s="1"/>
  <c r="AR42" i="2"/>
  <c r="BV42" i="2" s="1"/>
  <c r="DA41" i="2"/>
  <c r="DE40" i="2"/>
  <c r="CR40" i="2"/>
  <c r="DK40" i="2"/>
  <c r="CV40" i="2"/>
  <c r="DF40" i="2"/>
  <c r="CW40" i="2"/>
  <c r="DJ40" i="2"/>
  <c r="CQ40" i="2"/>
  <c r="CK39" i="2"/>
  <c r="CL39" i="2" s="1"/>
  <c r="DP39" i="2"/>
  <c r="DQ39" i="2" s="1"/>
  <c r="CX40" i="2"/>
  <c r="DH40" i="2"/>
  <c r="CY40" i="2"/>
  <c r="DN40" i="2"/>
  <c r="CU40" i="2"/>
  <c r="DM40" i="2"/>
  <c r="CZ40" i="2"/>
  <c r="DL40" i="2"/>
  <c r="DG40" i="2"/>
  <c r="CT40" i="2"/>
  <c r="CJ40" i="2"/>
  <c r="DO40" i="2"/>
  <c r="CS40" i="2"/>
  <c r="DI40" i="2"/>
  <c r="BG40" i="2"/>
  <c r="DP41" i="6" l="1"/>
  <c r="DQ41" i="6" s="1"/>
  <c r="CB42" i="6"/>
  <c r="CH42" i="6"/>
  <c r="CI42" i="5"/>
  <c r="CK41" i="4"/>
  <c r="CL41" i="4" s="1"/>
  <c r="BN42" i="3"/>
  <c r="AL43" i="3"/>
  <c r="CU43" i="3" s="1"/>
  <c r="AO43" i="3"/>
  <c r="CX43" i="3" s="1"/>
  <c r="BP42" i="3"/>
  <c r="AZ43" i="3"/>
  <c r="DI43" i="3" s="1"/>
  <c r="CG42" i="3"/>
  <c r="CD42" i="3"/>
  <c r="AX43" i="3"/>
  <c r="DG43" i="3" s="1"/>
  <c r="CC42" i="3"/>
  <c r="CB42" i="3"/>
  <c r="BC43" i="3"/>
  <c r="DL43" i="3" s="1"/>
  <c r="AY43" i="3"/>
  <c r="DH43" i="3" s="1"/>
  <c r="CK41" i="3"/>
  <c r="CL41" i="3" s="1"/>
  <c r="CJ42" i="3"/>
  <c r="DO42" i="8"/>
  <c r="CJ42" i="8"/>
  <c r="DP41" i="8"/>
  <c r="DQ41" i="8" s="1"/>
  <c r="CE42" i="8"/>
  <c r="BY42" i="8"/>
  <c r="CA42" i="8"/>
  <c r="AX43" i="8"/>
  <c r="DG43" i="8" s="1"/>
  <c r="AJ43" i="8"/>
  <c r="CS43" i="8" s="1"/>
  <c r="AI43" i="8"/>
  <c r="CR43" i="8" s="1"/>
  <c r="AW43" i="8"/>
  <c r="DF43" i="8" s="1"/>
  <c r="BL42" i="8"/>
  <c r="AR43" i="8"/>
  <c r="DA43" i="8" s="1"/>
  <c r="AV43" i="8"/>
  <c r="DE43" i="8" s="1"/>
  <c r="AS43" i="8"/>
  <c r="DB43" i="8" s="1"/>
  <c r="BA43" i="8"/>
  <c r="DJ43" i="8" s="1"/>
  <c r="AT43" i="8"/>
  <c r="DC43" i="8" s="1"/>
  <c r="BV42" i="8"/>
  <c r="BK42" i="8"/>
  <c r="BW42" i="8"/>
  <c r="BU42" i="8"/>
  <c r="CD42" i="8"/>
  <c r="AP43" i="8"/>
  <c r="CY43" i="8" s="1"/>
  <c r="BD43" i="8"/>
  <c r="DM43" i="8" s="1"/>
  <c r="AN43" i="8"/>
  <c r="CW43" i="8" s="1"/>
  <c r="BB43" i="8"/>
  <c r="DK43" i="8" s="1"/>
  <c r="BQ42" i="8"/>
  <c r="BF43" i="3"/>
  <c r="DO43" i="3" s="1"/>
  <c r="BX42" i="8"/>
  <c r="CI42" i="3"/>
  <c r="BY42" i="5"/>
  <c r="CI42" i="8"/>
  <c r="AO43" i="8"/>
  <c r="CX43" i="8" s="1"/>
  <c r="AY43" i="8"/>
  <c r="DH43" i="8" s="1"/>
  <c r="AU43" i="8"/>
  <c r="DD43" i="8" s="1"/>
  <c r="AK43" i="8"/>
  <c r="CT43" i="8" s="1"/>
  <c r="AG43" i="8"/>
  <c r="CP43" i="8" s="1"/>
  <c r="BC43" i="8"/>
  <c r="DL43" i="8" s="1"/>
  <c r="BJ42" i="8"/>
  <c r="CC42" i="8"/>
  <c r="BZ42" i="8"/>
  <c r="BP42" i="8"/>
  <c r="BI42" i="8"/>
  <c r="BR42" i="8"/>
  <c r="CB42" i="8"/>
  <c r="BF43" i="8"/>
  <c r="AF43" i="8"/>
  <c r="CO43" i="8" s="1"/>
  <c r="AE43" i="8"/>
  <c r="CN43" i="8" s="1"/>
  <c r="AM43" i="8"/>
  <c r="CV43" i="8" s="1"/>
  <c r="BG42" i="8"/>
  <c r="AH43" i="8"/>
  <c r="CQ43" i="8" s="1"/>
  <c r="AD43" i="8"/>
  <c r="CM43" i="8" s="1"/>
  <c r="BH42" i="8"/>
  <c r="CH42" i="3"/>
  <c r="BT42" i="8"/>
  <c r="CK41" i="8"/>
  <c r="CL41" i="8" s="1"/>
  <c r="BE43" i="8"/>
  <c r="DN43" i="8" s="1"/>
  <c r="AQ43" i="8"/>
  <c r="CZ43" i="8" s="1"/>
  <c r="BS42" i="8"/>
  <c r="AZ43" i="8"/>
  <c r="DI43" i="8" s="1"/>
  <c r="AL43" i="8"/>
  <c r="CU43" i="8" s="1"/>
  <c r="BN42" i="8"/>
  <c r="CF42" i="8"/>
  <c r="CG42" i="8"/>
  <c r="BO42" i="8"/>
  <c r="BM42" i="8"/>
  <c r="CK41" i="6"/>
  <c r="CL41" i="6" s="1"/>
  <c r="CH42" i="8"/>
  <c r="BB43" i="6"/>
  <c r="DK43" i="6" s="1"/>
  <c r="DJ42" i="6"/>
  <c r="DP42" i="6" s="1"/>
  <c r="DQ42" i="6" s="1"/>
  <c r="AX43" i="6"/>
  <c r="DG43" i="6" s="1"/>
  <c r="CD42" i="6"/>
  <c r="BA43" i="6"/>
  <c r="DJ43" i="6" s="1"/>
  <c r="AV43" i="6"/>
  <c r="DE43" i="6" s="1"/>
  <c r="AT43" i="6"/>
  <c r="DC43" i="6" s="1"/>
  <c r="AS43" i="6"/>
  <c r="DB43" i="6" s="1"/>
  <c r="AR43" i="6"/>
  <c r="DA43" i="6" s="1"/>
  <c r="BV42" i="6"/>
  <c r="BF43" i="6"/>
  <c r="BR43" i="6"/>
  <c r="BM43" i="6"/>
  <c r="BW42" i="6"/>
  <c r="BD43" i="6"/>
  <c r="DM43" i="6" s="1"/>
  <c r="AL44" i="6"/>
  <c r="CU44" i="6" s="1"/>
  <c r="BN43" i="6"/>
  <c r="BU43" i="6"/>
  <c r="BX42" i="6"/>
  <c r="BT43" i="6"/>
  <c r="CI42" i="6"/>
  <c r="BE43" i="6"/>
  <c r="DN43" i="6" s="1"/>
  <c r="CC42" i="6"/>
  <c r="CJ42" i="6"/>
  <c r="DO42" i="6"/>
  <c r="AU43" i="6"/>
  <c r="DD43" i="6" s="1"/>
  <c r="CA42" i="6"/>
  <c r="BK43" i="6"/>
  <c r="AY43" i="6"/>
  <c r="DH43" i="6" s="1"/>
  <c r="CE42" i="6"/>
  <c r="AZ43" i="6"/>
  <c r="DI43" i="6" s="1"/>
  <c r="BO43" i="6"/>
  <c r="AH44" i="6"/>
  <c r="CQ44" i="6" s="1"/>
  <c r="AF44" i="6"/>
  <c r="CO44" i="6" s="1"/>
  <c r="AE44" i="6"/>
  <c r="CN44" i="6" s="1"/>
  <c r="AD44" i="6"/>
  <c r="CM44" i="6" s="1"/>
  <c r="AM44" i="6"/>
  <c r="CV44" i="6" s="1"/>
  <c r="BH43" i="6"/>
  <c r="BP43" i="6"/>
  <c r="BC43" i="6"/>
  <c r="BI43" i="6"/>
  <c r="CG42" i="6"/>
  <c r="CB43" i="6"/>
  <c r="AK44" i="6"/>
  <c r="CT44" i="6" s="1"/>
  <c r="AG44" i="6"/>
  <c r="CP44" i="6" s="1"/>
  <c r="AO44" i="6"/>
  <c r="CX44" i="6" s="1"/>
  <c r="BJ43" i="6"/>
  <c r="AQ44" i="6"/>
  <c r="CZ44" i="6" s="1"/>
  <c r="BS43" i="6"/>
  <c r="CK41" i="5"/>
  <c r="CL41" i="5" s="1"/>
  <c r="CF42" i="5"/>
  <c r="AJ44" i="6"/>
  <c r="CS44" i="6" s="1"/>
  <c r="AI44" i="6"/>
  <c r="CR44" i="6" s="1"/>
  <c r="BL43" i="6"/>
  <c r="BY42" i="6"/>
  <c r="CA42" i="5"/>
  <c r="CC42" i="5"/>
  <c r="CJ42" i="5"/>
  <c r="BZ42" i="6"/>
  <c r="BG42" i="6"/>
  <c r="AP44" i="6"/>
  <c r="CY44" i="6" s="1"/>
  <c r="AN44" i="6"/>
  <c r="CW44" i="6" s="1"/>
  <c r="BQ43" i="6"/>
  <c r="BE43" i="3"/>
  <c r="DN43" i="3" s="1"/>
  <c r="BD43" i="3"/>
  <c r="DM43" i="3" s="1"/>
  <c r="AW43" i="6"/>
  <c r="DF43" i="6" s="1"/>
  <c r="BD43" i="5"/>
  <c r="DM43" i="5" s="1"/>
  <c r="AW43" i="5"/>
  <c r="DF43" i="5" s="1"/>
  <c r="CH42" i="5"/>
  <c r="AX43" i="5"/>
  <c r="DG43" i="5" s="1"/>
  <c r="CH43" i="5"/>
  <c r="BX42" i="5"/>
  <c r="BO43" i="5"/>
  <c r="CD42" i="5"/>
  <c r="BU43" i="5"/>
  <c r="AJ44" i="5"/>
  <c r="CS44" i="5" s="1"/>
  <c r="AI44" i="5"/>
  <c r="CR44" i="5" s="1"/>
  <c r="BL43" i="5"/>
  <c r="AU43" i="5"/>
  <c r="DD43" i="5" s="1"/>
  <c r="CG42" i="5"/>
  <c r="BM43" i="5"/>
  <c r="DP42" i="5"/>
  <c r="DQ42" i="5" s="1"/>
  <c r="AV43" i="5"/>
  <c r="DE43" i="5" s="1"/>
  <c r="AR43" i="5"/>
  <c r="DA43" i="5" s="1"/>
  <c r="BA43" i="5"/>
  <c r="DJ43" i="5" s="1"/>
  <c r="AT43" i="5"/>
  <c r="DC43" i="5" s="1"/>
  <c r="AS43" i="5"/>
  <c r="DB43" i="5" s="1"/>
  <c r="BV42" i="5"/>
  <c r="BG42" i="4"/>
  <c r="CB42" i="5"/>
  <c r="AH44" i="5"/>
  <c r="CQ44" i="5" s="1"/>
  <c r="AM44" i="5"/>
  <c r="CV44" i="5" s="1"/>
  <c r="AE44" i="5"/>
  <c r="CN44" i="5" s="1"/>
  <c r="AF44" i="5"/>
  <c r="CO44" i="5" s="1"/>
  <c r="AD44" i="5"/>
  <c r="CM44" i="5" s="1"/>
  <c r="BH43" i="5"/>
  <c r="BK43" i="5"/>
  <c r="AL44" i="5"/>
  <c r="CU44" i="5" s="1"/>
  <c r="BN43" i="5"/>
  <c r="BP43" i="5"/>
  <c r="AP44" i="5"/>
  <c r="CY44" i="5" s="1"/>
  <c r="AN44" i="5"/>
  <c r="CW44" i="5" s="1"/>
  <c r="BQ43" i="5"/>
  <c r="CE42" i="5"/>
  <c r="BW42" i="5"/>
  <c r="CA43" i="5"/>
  <c r="BE43" i="5"/>
  <c r="DN43" i="5" s="1"/>
  <c r="BT43" i="5"/>
  <c r="AI42" i="2"/>
  <c r="BM42" i="2" s="1"/>
  <c r="BD43" i="4"/>
  <c r="DM43" i="4" s="1"/>
  <c r="BF43" i="5"/>
  <c r="BI43" i="5"/>
  <c r="BF43" i="4"/>
  <c r="DO43" i="4" s="1"/>
  <c r="AK44" i="5"/>
  <c r="CT44" i="5" s="1"/>
  <c r="AG44" i="5"/>
  <c r="CP44" i="5" s="1"/>
  <c r="AO44" i="5"/>
  <c r="CX44" i="5" s="1"/>
  <c r="BJ43" i="5"/>
  <c r="AZ43" i="5"/>
  <c r="DI43" i="5" s="1"/>
  <c r="BG42" i="5"/>
  <c r="BE43" i="4"/>
  <c r="DN43" i="4" s="1"/>
  <c r="BR43" i="5"/>
  <c r="BB43" i="5"/>
  <c r="DK43" i="5" s="1"/>
  <c r="AY43" i="5"/>
  <c r="DH43" i="5" s="1"/>
  <c r="BC43" i="5"/>
  <c r="DL43" i="5" s="1"/>
  <c r="AQ44" i="5"/>
  <c r="CZ44" i="5" s="1"/>
  <c r="BS43" i="5"/>
  <c r="AM42" i="2"/>
  <c r="BQ42" i="2" s="1"/>
  <c r="CQ41" i="2"/>
  <c r="AH42" i="2"/>
  <c r="BL42" i="2" s="1"/>
  <c r="BZ42" i="5"/>
  <c r="BG42" i="3"/>
  <c r="BM43" i="4"/>
  <c r="CD43" i="4"/>
  <c r="DP42" i="4"/>
  <c r="DQ42" i="4" s="1"/>
  <c r="CA43" i="4"/>
  <c r="AZ44" i="4"/>
  <c r="DI44" i="4" s="1"/>
  <c r="AL44" i="4"/>
  <c r="CU44" i="4" s="1"/>
  <c r="BN43" i="4"/>
  <c r="CW41" i="2"/>
  <c r="BK43" i="4"/>
  <c r="BU43" i="4"/>
  <c r="BX43" i="4"/>
  <c r="BZ43" i="4"/>
  <c r="BY43" i="4"/>
  <c r="CF43" i="4"/>
  <c r="CK42" i="4"/>
  <c r="CL42" i="4" s="1"/>
  <c r="CE43" i="4"/>
  <c r="CC43" i="4"/>
  <c r="BR43" i="4"/>
  <c r="AJ44" i="4"/>
  <c r="CS44" i="4" s="1"/>
  <c r="AI44" i="4"/>
  <c r="CR44" i="4" s="1"/>
  <c r="AX44" i="4"/>
  <c r="DG44" i="4" s="1"/>
  <c r="AW44" i="4"/>
  <c r="DF44" i="4" s="1"/>
  <c r="BL43" i="4"/>
  <c r="AQ44" i="4"/>
  <c r="CZ44" i="4" s="1"/>
  <c r="BS43" i="4"/>
  <c r="CB43" i="4"/>
  <c r="BO43" i="4"/>
  <c r="AH44" i="4"/>
  <c r="CQ44" i="4" s="1"/>
  <c r="AF44" i="4"/>
  <c r="CO44" i="4" s="1"/>
  <c r="AE44" i="4"/>
  <c r="CN44" i="4" s="1"/>
  <c r="AD44" i="4"/>
  <c r="CM44" i="4" s="1"/>
  <c r="AM44" i="4"/>
  <c r="CV44" i="4" s="1"/>
  <c r="BH43" i="4"/>
  <c r="BP43" i="4"/>
  <c r="CG43" i="4"/>
  <c r="BT43" i="4"/>
  <c r="BI43" i="4"/>
  <c r="BW43" i="4"/>
  <c r="AP44" i="4"/>
  <c r="CY44" i="4" s="1"/>
  <c r="AN44" i="4"/>
  <c r="CW44" i="4" s="1"/>
  <c r="BB44" i="4"/>
  <c r="DK44" i="4" s="1"/>
  <c r="BQ43" i="4"/>
  <c r="BA44" i="4"/>
  <c r="DJ44" i="4" s="1"/>
  <c r="AV44" i="4"/>
  <c r="DE44" i="4" s="1"/>
  <c r="AT44" i="4"/>
  <c r="DC44" i="4" s="1"/>
  <c r="AS44" i="4"/>
  <c r="DB44" i="4" s="1"/>
  <c r="AR44" i="4"/>
  <c r="DA44" i="4" s="1"/>
  <c r="BV43" i="4"/>
  <c r="AK44" i="4"/>
  <c r="CT44" i="4" s="1"/>
  <c r="AY44" i="4"/>
  <c r="DH44" i="4" s="1"/>
  <c r="AG44" i="4"/>
  <c r="CP44" i="4" s="1"/>
  <c r="AU44" i="4"/>
  <c r="DD44" i="4" s="1"/>
  <c r="AO44" i="4"/>
  <c r="CX44" i="4" s="1"/>
  <c r="BC44" i="4"/>
  <c r="DL44" i="4" s="1"/>
  <c r="BJ43" i="4"/>
  <c r="BA42" i="2"/>
  <c r="CE42" i="2" s="1"/>
  <c r="AW42" i="2"/>
  <c r="CA42" i="2" s="1"/>
  <c r="AN42" i="2"/>
  <c r="BR42" i="2" s="1"/>
  <c r="AV42" i="2"/>
  <c r="BZ42" i="2" s="1"/>
  <c r="AL44" i="3"/>
  <c r="CU44" i="3" s="1"/>
  <c r="BN43" i="3"/>
  <c r="DD42" i="2"/>
  <c r="BY42" i="2"/>
  <c r="AW44" i="3"/>
  <c r="DF44" i="3" s="1"/>
  <c r="AJ44" i="3"/>
  <c r="AI44" i="3"/>
  <c r="CR44" i="3" s="1"/>
  <c r="BL43" i="3"/>
  <c r="CD43" i="3"/>
  <c r="BD42" i="2"/>
  <c r="CH42" i="2" s="1"/>
  <c r="CI41" i="2"/>
  <c r="BT43" i="3"/>
  <c r="BE42" i="2"/>
  <c r="CI42" i="2" s="1"/>
  <c r="BU41" i="2"/>
  <c r="AN44" i="3"/>
  <c r="CW44" i="3" s="1"/>
  <c r="AP44" i="3"/>
  <c r="CY44" i="3" s="1"/>
  <c r="BB44" i="3"/>
  <c r="DK44" i="3" s="1"/>
  <c r="BQ43" i="3"/>
  <c r="BX43" i="3"/>
  <c r="CE43" i="3"/>
  <c r="BU43" i="3"/>
  <c r="BI43" i="3"/>
  <c r="DB42" i="2"/>
  <c r="BW42" i="2"/>
  <c r="AS44" i="3"/>
  <c r="DB44" i="3" s="1"/>
  <c r="AR44" i="3"/>
  <c r="AT44" i="3"/>
  <c r="DC44" i="3" s="1"/>
  <c r="AV44" i="3"/>
  <c r="DE44" i="3" s="1"/>
  <c r="BA44" i="3"/>
  <c r="DJ44" i="3" s="1"/>
  <c r="BV43" i="3"/>
  <c r="AG44" i="3"/>
  <c r="CP44" i="3" s="1"/>
  <c r="AO44" i="3"/>
  <c r="AU44" i="3"/>
  <c r="DD44" i="3" s="1"/>
  <c r="AK44" i="3"/>
  <c r="CT44" i="3" s="1"/>
  <c r="BJ43" i="3"/>
  <c r="BK43" i="3"/>
  <c r="BW43" i="3"/>
  <c r="BO43" i="3"/>
  <c r="BR43" i="3"/>
  <c r="CP42" i="2"/>
  <c r="BK42" i="2"/>
  <c r="BM43" i="3"/>
  <c r="CF43" i="3"/>
  <c r="CA43" i="3"/>
  <c r="AF44" i="3"/>
  <c r="AE44" i="3"/>
  <c r="CN44" i="3" s="1"/>
  <c r="AD44" i="3"/>
  <c r="AM44" i="3"/>
  <c r="AH44" i="3"/>
  <c r="BH43" i="3"/>
  <c r="DP42" i="3"/>
  <c r="DQ42" i="3" s="1"/>
  <c r="BP43" i="3"/>
  <c r="AX42" i="2"/>
  <c r="CB42" i="2" s="1"/>
  <c r="BN41" i="2"/>
  <c r="AQ42" i="2"/>
  <c r="BU42" i="2" s="1"/>
  <c r="BZ43" i="3"/>
  <c r="AJ42" i="2"/>
  <c r="BN42" i="2" s="1"/>
  <c r="BO41" i="2"/>
  <c r="AQ44" i="3"/>
  <c r="CZ44" i="3" s="1"/>
  <c r="BS43" i="3"/>
  <c r="DF41" i="2"/>
  <c r="CN42" i="2"/>
  <c r="BI42" i="2"/>
  <c r="BB42" i="2"/>
  <c r="CF42" i="2" s="1"/>
  <c r="BY43" i="3"/>
  <c r="AD43" i="2"/>
  <c r="BH43" i="2" s="1"/>
  <c r="AE43" i="2"/>
  <c r="AF43" i="2"/>
  <c r="BJ43" i="2" s="1"/>
  <c r="CM42" i="2"/>
  <c r="AG43" i="2"/>
  <c r="CO42" i="2"/>
  <c r="AP42" i="2"/>
  <c r="AR43" i="2"/>
  <c r="BV43" i="2" s="1"/>
  <c r="AS43" i="2"/>
  <c r="AT43" i="2"/>
  <c r="DA42" i="2"/>
  <c r="AK42" i="2"/>
  <c r="AY42" i="2"/>
  <c r="AU43" i="2"/>
  <c r="DC42" i="2"/>
  <c r="AL42" i="2"/>
  <c r="AZ42" i="2"/>
  <c r="CD42" i="2" s="1"/>
  <c r="BF42" i="2"/>
  <c r="BC42" i="2"/>
  <c r="CG42" i="2" s="1"/>
  <c r="AO42" i="2"/>
  <c r="BS42" i="2" s="1"/>
  <c r="DK41" i="2"/>
  <c r="DP40" i="2"/>
  <c r="DQ40" i="2" s="1"/>
  <c r="CR41" i="2"/>
  <c r="DJ41" i="2"/>
  <c r="CV41" i="2"/>
  <c r="DE41" i="2"/>
  <c r="CK40" i="2"/>
  <c r="CL40" i="2" s="1"/>
  <c r="DH41" i="2"/>
  <c r="CT41" i="2"/>
  <c r="CZ41" i="2"/>
  <c r="DI41" i="2"/>
  <c r="DL41" i="2"/>
  <c r="CU41" i="2"/>
  <c r="DG41" i="2"/>
  <c r="CJ41" i="2"/>
  <c r="DO41" i="2"/>
  <c r="DN41" i="2"/>
  <c r="DM41" i="2"/>
  <c r="CX41" i="2"/>
  <c r="CS41" i="2"/>
  <c r="CY41" i="2"/>
  <c r="BG41" i="2"/>
  <c r="AU44" i="6" l="1"/>
  <c r="DD44" i="6" s="1"/>
  <c r="CK42" i="6"/>
  <c r="CL42" i="6" s="1"/>
  <c r="BB44" i="6"/>
  <c r="DK44" i="6" s="1"/>
  <c r="CJ43" i="4"/>
  <c r="CB43" i="3"/>
  <c r="CV44" i="3"/>
  <c r="AP45" i="3"/>
  <c r="AN45" i="3"/>
  <c r="BB45" i="3"/>
  <c r="CX44" i="3"/>
  <c r="AQ45" i="3"/>
  <c r="CO44" i="3"/>
  <c r="AO45" i="3"/>
  <c r="AU45" i="3"/>
  <c r="AG45" i="3"/>
  <c r="AK45" i="3"/>
  <c r="BC45" i="3"/>
  <c r="CM44" i="3"/>
  <c r="AD45" i="3"/>
  <c r="AE45" i="3"/>
  <c r="AF45" i="3"/>
  <c r="AH45" i="3"/>
  <c r="AM45" i="3"/>
  <c r="DA44" i="3"/>
  <c r="AR45" i="3"/>
  <c r="AS45" i="3"/>
  <c r="AT45" i="3"/>
  <c r="AV45" i="3"/>
  <c r="BA45" i="3"/>
  <c r="CQ44" i="3"/>
  <c r="AW45" i="3"/>
  <c r="AI45" i="3"/>
  <c r="AJ45" i="3"/>
  <c r="CS44" i="3"/>
  <c r="AL45" i="3"/>
  <c r="CG43" i="3"/>
  <c r="AY44" i="3"/>
  <c r="DH44" i="3" s="1"/>
  <c r="AZ44" i="3"/>
  <c r="DI44" i="3" s="1"/>
  <c r="BC44" i="3"/>
  <c r="DL44" i="3" s="1"/>
  <c r="CC43" i="3"/>
  <c r="AX44" i="3"/>
  <c r="DG44" i="3" s="1"/>
  <c r="BE44" i="3"/>
  <c r="DN44" i="3" s="1"/>
  <c r="CI43" i="3"/>
  <c r="BF44" i="3"/>
  <c r="DO44" i="3" s="1"/>
  <c r="BD44" i="3"/>
  <c r="DM44" i="3" s="1"/>
  <c r="BG43" i="3"/>
  <c r="CJ43" i="3"/>
  <c r="CK42" i="3"/>
  <c r="CL42" i="3" s="1"/>
  <c r="CI43" i="8"/>
  <c r="AQ44" i="8"/>
  <c r="CZ44" i="8" s="1"/>
  <c r="BE44" i="8"/>
  <c r="DN44" i="8" s="1"/>
  <c r="BS43" i="8"/>
  <c r="AZ44" i="8"/>
  <c r="DI44" i="8" s="1"/>
  <c r="AL44" i="8"/>
  <c r="CU44" i="8" s="1"/>
  <c r="BN43" i="8"/>
  <c r="CB43" i="8"/>
  <c r="BO43" i="8"/>
  <c r="BM43" i="8"/>
  <c r="AJ44" i="8"/>
  <c r="CS44" i="8" s="1"/>
  <c r="AI44" i="8"/>
  <c r="CR44" i="8" s="1"/>
  <c r="AX44" i="8"/>
  <c r="DG44" i="8" s="1"/>
  <c r="AW44" i="8"/>
  <c r="DF44" i="8" s="1"/>
  <c r="BL43" i="8"/>
  <c r="CJ43" i="8"/>
  <c r="DO43" i="8"/>
  <c r="BY43" i="8"/>
  <c r="BX43" i="8"/>
  <c r="CC43" i="8"/>
  <c r="CK42" i="8"/>
  <c r="CL42" i="8" s="1"/>
  <c r="CF43" i="6"/>
  <c r="DP42" i="8"/>
  <c r="DQ42" i="8" s="1"/>
  <c r="CH43" i="8"/>
  <c r="BT43" i="8"/>
  <c r="DJ42" i="2"/>
  <c r="AF44" i="8"/>
  <c r="CO44" i="8" s="1"/>
  <c r="AE44" i="8"/>
  <c r="CN44" i="8" s="1"/>
  <c r="AM44" i="8"/>
  <c r="CV44" i="8" s="1"/>
  <c r="AH44" i="8"/>
  <c r="CQ44" i="8" s="1"/>
  <c r="BF44" i="8"/>
  <c r="BG43" i="8"/>
  <c r="AD44" i="8"/>
  <c r="CM44" i="8" s="1"/>
  <c r="BH43" i="8"/>
  <c r="CR42" i="2"/>
  <c r="BB44" i="8"/>
  <c r="DK44" i="8" s="1"/>
  <c r="AN44" i="8"/>
  <c r="CW44" i="8" s="1"/>
  <c r="AP44" i="8"/>
  <c r="CY44" i="8" s="1"/>
  <c r="BD44" i="8"/>
  <c r="DM44" i="8" s="1"/>
  <c r="BQ43" i="8"/>
  <c r="CE43" i="8"/>
  <c r="CA43" i="8"/>
  <c r="BA44" i="8"/>
  <c r="DJ44" i="8" s="1"/>
  <c r="AT44" i="8"/>
  <c r="DC44" i="8" s="1"/>
  <c r="AR44" i="8"/>
  <c r="DA44" i="8" s="1"/>
  <c r="AV44" i="8"/>
  <c r="DE44" i="8" s="1"/>
  <c r="AS44" i="8"/>
  <c r="DB44" i="8" s="1"/>
  <c r="BV43" i="8"/>
  <c r="BU43" i="8"/>
  <c r="BP43" i="8"/>
  <c r="BI43" i="8"/>
  <c r="CG43" i="8"/>
  <c r="CF43" i="8"/>
  <c r="BW43" i="8"/>
  <c r="CH43" i="3"/>
  <c r="CD43" i="8"/>
  <c r="AK44" i="8"/>
  <c r="CT44" i="8" s="1"/>
  <c r="AY44" i="8"/>
  <c r="DH44" i="8" s="1"/>
  <c r="BC44" i="8"/>
  <c r="DL44" i="8" s="1"/>
  <c r="AU44" i="8"/>
  <c r="DD44" i="8" s="1"/>
  <c r="AO44" i="8"/>
  <c r="CX44" i="8" s="1"/>
  <c r="AG44" i="8"/>
  <c r="CP44" i="8" s="1"/>
  <c r="BJ43" i="8"/>
  <c r="BK43" i="8"/>
  <c r="BR43" i="8"/>
  <c r="BZ43" i="8"/>
  <c r="BE44" i="6"/>
  <c r="DN44" i="6" s="1"/>
  <c r="DL43" i="6"/>
  <c r="BD44" i="6"/>
  <c r="DM44" i="6" s="1"/>
  <c r="BL44" i="6"/>
  <c r="BN44" i="6"/>
  <c r="BT44" i="6"/>
  <c r="CI43" i="6"/>
  <c r="BG43" i="4"/>
  <c r="BF44" i="4"/>
  <c r="DO44" i="4" s="1"/>
  <c r="CD43" i="6"/>
  <c r="AU44" i="5"/>
  <c r="DD44" i="5" s="1"/>
  <c r="CB43" i="5"/>
  <c r="BM44" i="6"/>
  <c r="BU44" i="6"/>
  <c r="CG43" i="6"/>
  <c r="CJ43" i="6"/>
  <c r="DO43" i="6"/>
  <c r="CC43" i="6"/>
  <c r="BA44" i="6"/>
  <c r="DJ44" i="6" s="1"/>
  <c r="AV44" i="6"/>
  <c r="DE44" i="6" s="1"/>
  <c r="AT44" i="6"/>
  <c r="DC44" i="6" s="1"/>
  <c r="AS44" i="6"/>
  <c r="AR44" i="6"/>
  <c r="DA44" i="6" s="1"/>
  <c r="BV43" i="6"/>
  <c r="BD44" i="4"/>
  <c r="DM44" i="4" s="1"/>
  <c r="BW43" i="6"/>
  <c r="CA43" i="6"/>
  <c r="BS44" i="6"/>
  <c r="BX43" i="6"/>
  <c r="BC44" i="6"/>
  <c r="DL44" i="6" s="1"/>
  <c r="BQ44" i="6"/>
  <c r="BZ43" i="6"/>
  <c r="BY44" i="6"/>
  <c r="BG43" i="6"/>
  <c r="BP44" i="6"/>
  <c r="CF44" i="6"/>
  <c r="BE44" i="4"/>
  <c r="DN44" i="4" s="1"/>
  <c r="BK44" i="6"/>
  <c r="BF44" i="6"/>
  <c r="BY43" i="6"/>
  <c r="CE43" i="6"/>
  <c r="BJ44" i="6"/>
  <c r="AW44" i="5"/>
  <c r="DF44" i="5" s="1"/>
  <c r="AW44" i="6"/>
  <c r="DF44" i="6" s="1"/>
  <c r="AY44" i="6"/>
  <c r="DH44" i="6" s="1"/>
  <c r="BH44" i="6"/>
  <c r="AZ44" i="6"/>
  <c r="DI44" i="6" s="1"/>
  <c r="BR44" i="6"/>
  <c r="AX44" i="6"/>
  <c r="DG44" i="6" s="1"/>
  <c r="BO44" i="6"/>
  <c r="BI44" i="6"/>
  <c r="CH43" i="6"/>
  <c r="CK42" i="5"/>
  <c r="CL42" i="5" s="1"/>
  <c r="AY44" i="5"/>
  <c r="DH44" i="5" s="1"/>
  <c r="BC44" i="5"/>
  <c r="DL44" i="5" s="1"/>
  <c r="BE44" i="5"/>
  <c r="DN44" i="5" s="1"/>
  <c r="AX44" i="5"/>
  <c r="DG44" i="5" s="1"/>
  <c r="AZ44" i="5"/>
  <c r="DI44" i="5" s="1"/>
  <c r="BW43" i="5"/>
  <c r="CE43" i="5"/>
  <c r="BU44" i="5"/>
  <c r="BK44" i="5"/>
  <c r="BA44" i="5"/>
  <c r="DJ44" i="5" s="1"/>
  <c r="AR44" i="5"/>
  <c r="DA44" i="5" s="1"/>
  <c r="AV44" i="5"/>
  <c r="DE44" i="5" s="1"/>
  <c r="AS44" i="5"/>
  <c r="DB44" i="5" s="1"/>
  <c r="AT44" i="5"/>
  <c r="DC44" i="5" s="1"/>
  <c r="BV43" i="5"/>
  <c r="BX43" i="5"/>
  <c r="CG43" i="5"/>
  <c r="BG43" i="5"/>
  <c r="BF44" i="5"/>
  <c r="DP43" i="5"/>
  <c r="DQ43" i="5" s="1"/>
  <c r="CF43" i="5"/>
  <c r="BB44" i="5"/>
  <c r="DK44" i="5" s="1"/>
  <c r="BH44" i="5"/>
  <c r="CA44" i="5"/>
  <c r="BR44" i="5"/>
  <c r="BI44" i="5"/>
  <c r="DO43" i="5"/>
  <c r="CJ43" i="5"/>
  <c r="BT44" i="5"/>
  <c r="BQ44" i="5"/>
  <c r="BY43" i="5"/>
  <c r="BN44" i="5"/>
  <c r="CV42" i="2"/>
  <c r="BJ44" i="5"/>
  <c r="CI43" i="4"/>
  <c r="CK43" i="4" s="1"/>
  <c r="CL43" i="4" s="1"/>
  <c r="BL44" i="5"/>
  <c r="CI43" i="5"/>
  <c r="BP44" i="5"/>
  <c r="BZ43" i="5"/>
  <c r="AM43" i="2"/>
  <c r="BQ43" i="2" s="1"/>
  <c r="CC43" i="5"/>
  <c r="AI43" i="2"/>
  <c r="BM43" i="2" s="1"/>
  <c r="CD43" i="5"/>
  <c r="BM44" i="5"/>
  <c r="BS44" i="5"/>
  <c r="AH43" i="2"/>
  <c r="BL43" i="2" s="1"/>
  <c r="BO44" i="5"/>
  <c r="BD44" i="5"/>
  <c r="DM44" i="5" s="1"/>
  <c r="CH43" i="4"/>
  <c r="BA43" i="2"/>
  <c r="CE43" i="2" s="1"/>
  <c r="AV43" i="2"/>
  <c r="BZ43" i="2" s="1"/>
  <c r="BR44" i="4"/>
  <c r="BU44" i="4"/>
  <c r="BP44" i="4"/>
  <c r="CG44" i="4"/>
  <c r="CD44" i="4"/>
  <c r="BY44" i="4"/>
  <c r="BQ44" i="4"/>
  <c r="DF42" i="2"/>
  <c r="BK44" i="4"/>
  <c r="DP43" i="4"/>
  <c r="DQ43" i="4" s="1"/>
  <c r="BS44" i="4"/>
  <c r="BT44" i="4"/>
  <c r="CC44" i="4"/>
  <c r="BH44" i="4"/>
  <c r="CA44" i="4"/>
  <c r="BZ44" i="4"/>
  <c r="BO44" i="4"/>
  <c r="BI44" i="4"/>
  <c r="CB44" i="4"/>
  <c r="BM44" i="4"/>
  <c r="CI44" i="4"/>
  <c r="BJ44" i="4"/>
  <c r="BV44" i="4"/>
  <c r="BL44" i="4"/>
  <c r="BN44" i="4"/>
  <c r="BX44" i="4"/>
  <c r="CE44" i="4"/>
  <c r="CF44" i="4"/>
  <c r="AW43" i="2"/>
  <c r="CA43" i="2" s="1"/>
  <c r="BW44" i="4"/>
  <c r="AN43" i="2"/>
  <c r="BR43" i="2" s="1"/>
  <c r="AY43" i="2"/>
  <c r="CC43" i="2" s="1"/>
  <c r="CC42" i="2"/>
  <c r="CC44" i="3"/>
  <c r="AX43" i="2"/>
  <c r="CB43" i="2" s="1"/>
  <c r="BO42" i="2"/>
  <c r="CN43" i="2"/>
  <c r="BI43" i="2"/>
  <c r="BL44" i="3"/>
  <c r="BQ44" i="3"/>
  <c r="CE44" i="3"/>
  <c r="BH44" i="3"/>
  <c r="BZ44" i="3"/>
  <c r="DC43" i="2"/>
  <c r="BX43" i="2"/>
  <c r="BI44" i="3"/>
  <c r="BX44" i="3"/>
  <c r="BM44" i="3"/>
  <c r="DB43" i="2"/>
  <c r="BW43" i="2"/>
  <c r="BJ44" i="3"/>
  <c r="BV44" i="3"/>
  <c r="BN44" i="3"/>
  <c r="BW44" i="3"/>
  <c r="CF44" i="3"/>
  <c r="CA44" i="3"/>
  <c r="DP43" i="3"/>
  <c r="DQ43" i="3" s="1"/>
  <c r="AL43" i="2"/>
  <c r="BP43" i="2" s="1"/>
  <c r="BP42" i="2"/>
  <c r="BF43" i="2"/>
  <c r="BT42" i="2"/>
  <c r="BT44" i="3"/>
  <c r="BO44" i="3"/>
  <c r="CH44" i="3"/>
  <c r="AJ43" i="2"/>
  <c r="BN43" i="2" s="1"/>
  <c r="AO43" i="2"/>
  <c r="BS43" i="2" s="1"/>
  <c r="BU44" i="3"/>
  <c r="CG44" i="3"/>
  <c r="BR44" i="3"/>
  <c r="CP43" i="2"/>
  <c r="BK43" i="2"/>
  <c r="BY44" i="3"/>
  <c r="DD43" i="2"/>
  <c r="BY43" i="2"/>
  <c r="BS44" i="3"/>
  <c r="CD44" i="3"/>
  <c r="BB43" i="2"/>
  <c r="CF43" i="2" s="1"/>
  <c r="BK44" i="3"/>
  <c r="BP44" i="3"/>
  <c r="AK43" i="2"/>
  <c r="BC43" i="2"/>
  <c r="CG43" i="2" s="1"/>
  <c r="AQ43" i="2"/>
  <c r="BU43" i="2" s="1"/>
  <c r="AU44" i="2"/>
  <c r="AG44" i="2"/>
  <c r="CO43" i="2"/>
  <c r="AT44" i="2"/>
  <c r="AR44" i="2"/>
  <c r="AS44" i="2"/>
  <c r="DA43" i="2"/>
  <c r="CT42" i="2"/>
  <c r="BD43" i="2"/>
  <c r="CH43" i="2" s="1"/>
  <c r="AZ43" i="2"/>
  <c r="AD44" i="2"/>
  <c r="AF44" i="2"/>
  <c r="AE44" i="2"/>
  <c r="CM43" i="2"/>
  <c r="AP43" i="2"/>
  <c r="BE43" i="2"/>
  <c r="CI43" i="2" s="1"/>
  <c r="DE42" i="2"/>
  <c r="CW42" i="2"/>
  <c r="DK42" i="2"/>
  <c r="CX42" i="2"/>
  <c r="CQ42" i="2"/>
  <c r="DI42" i="2"/>
  <c r="CK41" i="2"/>
  <c r="CL41" i="2" s="1"/>
  <c r="DP41" i="2"/>
  <c r="DQ41" i="2" s="1"/>
  <c r="DL42" i="2"/>
  <c r="CZ42" i="2"/>
  <c r="DM42" i="2"/>
  <c r="DN42" i="2"/>
  <c r="CY42" i="2"/>
  <c r="DH42" i="2"/>
  <c r="DG42" i="2"/>
  <c r="CU42" i="2"/>
  <c r="CS42" i="2"/>
  <c r="CJ42" i="2"/>
  <c r="DO42" i="2"/>
  <c r="BG42" i="2"/>
  <c r="CH44" i="6" l="1"/>
  <c r="DP43" i="6"/>
  <c r="DQ43" i="6" s="1"/>
  <c r="CI44" i="5"/>
  <c r="CW43" i="2"/>
  <c r="CH44" i="4"/>
  <c r="AX45" i="3"/>
  <c r="DG45" i="3" s="1"/>
  <c r="CB44" i="3"/>
  <c r="CI44" i="3"/>
  <c r="CT45" i="3"/>
  <c r="BO45" i="3"/>
  <c r="AY45" i="3"/>
  <c r="CA45" i="3"/>
  <c r="DF45" i="3"/>
  <c r="DJ45" i="3"/>
  <c r="CE45" i="3"/>
  <c r="BK45" i="3"/>
  <c r="CP45" i="3"/>
  <c r="BZ45" i="3"/>
  <c r="DE45" i="3"/>
  <c r="DD45" i="3"/>
  <c r="BY45" i="3"/>
  <c r="DC45" i="3"/>
  <c r="BX45" i="3"/>
  <c r="CX45" i="3"/>
  <c r="AQ46" i="3"/>
  <c r="BS45" i="3"/>
  <c r="DB45" i="3"/>
  <c r="BW45" i="3"/>
  <c r="DA45" i="3"/>
  <c r="BV45" i="3"/>
  <c r="AR46" i="3"/>
  <c r="AS46" i="3"/>
  <c r="AT46" i="3"/>
  <c r="AV46" i="3"/>
  <c r="BA46" i="3"/>
  <c r="CZ45" i="3"/>
  <c r="BU45" i="3"/>
  <c r="BE45" i="3"/>
  <c r="CV45" i="3"/>
  <c r="AN46" i="3"/>
  <c r="BQ45" i="3"/>
  <c r="AP46" i="3"/>
  <c r="BB46" i="3"/>
  <c r="AI46" i="3"/>
  <c r="AJ46" i="3"/>
  <c r="CQ45" i="3"/>
  <c r="AW46" i="3"/>
  <c r="BL45" i="3"/>
  <c r="BD45" i="3"/>
  <c r="BP45" i="3"/>
  <c r="CU45" i="3"/>
  <c r="BJ45" i="3"/>
  <c r="AO46" i="3"/>
  <c r="AK46" i="3"/>
  <c r="AU46" i="3"/>
  <c r="CO45" i="3"/>
  <c r="AG46" i="3"/>
  <c r="DK45" i="3"/>
  <c r="CF45" i="3"/>
  <c r="CG45" i="3"/>
  <c r="DL45" i="3"/>
  <c r="AZ45" i="3"/>
  <c r="BI45" i="3"/>
  <c r="CN45" i="3"/>
  <c r="BR45" i="3"/>
  <c r="CW45" i="3"/>
  <c r="AM46" i="3"/>
  <c r="AH46" i="3"/>
  <c r="AF46" i="3"/>
  <c r="AD46" i="3"/>
  <c r="CM45" i="3"/>
  <c r="BH45" i="3"/>
  <c r="AE46" i="3"/>
  <c r="BT45" i="3"/>
  <c r="CY45" i="3"/>
  <c r="BM45" i="3"/>
  <c r="CR45" i="3"/>
  <c r="BN45" i="3"/>
  <c r="CS45" i="3"/>
  <c r="AL46" i="3"/>
  <c r="BF45" i="3"/>
  <c r="CK43" i="3"/>
  <c r="CL43" i="3" s="1"/>
  <c r="CJ44" i="3"/>
  <c r="BG44" i="3"/>
  <c r="CE44" i="8"/>
  <c r="BQ44" i="8"/>
  <c r="DP43" i="8"/>
  <c r="DQ43" i="8" s="1"/>
  <c r="BZ44" i="8"/>
  <c r="BX44" i="8"/>
  <c r="CD44" i="8"/>
  <c r="BS44" i="8"/>
  <c r="BW44" i="8"/>
  <c r="BV44" i="8"/>
  <c r="BG44" i="8"/>
  <c r="BH44" i="8"/>
  <c r="BK44" i="8"/>
  <c r="BY44" i="5"/>
  <c r="CH44" i="8"/>
  <c r="CA44" i="8"/>
  <c r="CI44" i="8"/>
  <c r="DO44" i="8"/>
  <c r="CJ44" i="8"/>
  <c r="BI44" i="8"/>
  <c r="BY44" i="8"/>
  <c r="CB44" i="5"/>
  <c r="CG44" i="8"/>
  <c r="BT44" i="8"/>
  <c r="CB44" i="8"/>
  <c r="BU44" i="8"/>
  <c r="BL44" i="8"/>
  <c r="BP44" i="8"/>
  <c r="CI44" i="6"/>
  <c r="CC44" i="8"/>
  <c r="BR44" i="8"/>
  <c r="BM44" i="8"/>
  <c r="CK43" i="8"/>
  <c r="CL43" i="8" s="1"/>
  <c r="BJ44" i="8"/>
  <c r="BO44" i="8"/>
  <c r="CF44" i="8"/>
  <c r="BN44" i="8"/>
  <c r="CK43" i="6"/>
  <c r="CL43" i="6" s="1"/>
  <c r="BG44" i="6"/>
  <c r="DB44" i="6"/>
  <c r="CJ44" i="6"/>
  <c r="DO44" i="6"/>
  <c r="DP44" i="6" s="1"/>
  <c r="DP68" i="6" s="1"/>
  <c r="DP70" i="6" s="1"/>
  <c r="CB44" i="6"/>
  <c r="CE44" i="6"/>
  <c r="BG44" i="4"/>
  <c r="CD44" i="6"/>
  <c r="CC44" i="6"/>
  <c r="CA44" i="6"/>
  <c r="BX44" i="6"/>
  <c r="CJ44" i="4"/>
  <c r="CK44" i="4" s="1"/>
  <c r="CG44" i="6"/>
  <c r="AN44" i="2"/>
  <c r="BR44" i="2" s="1"/>
  <c r="BZ44" i="6"/>
  <c r="CV43" i="2"/>
  <c r="BV44" i="6"/>
  <c r="BW44" i="6"/>
  <c r="CC44" i="5"/>
  <c r="CK43" i="5"/>
  <c r="CL43" i="5" s="1"/>
  <c r="CD44" i="5"/>
  <c r="CG44" i="5"/>
  <c r="DO44" i="5"/>
  <c r="DP44" i="5" s="1"/>
  <c r="CJ44" i="5"/>
  <c r="CR43" i="2"/>
  <c r="CE44" i="5"/>
  <c r="AV44" i="2"/>
  <c r="BZ44" i="2" s="1"/>
  <c r="BV44" i="5"/>
  <c r="AM44" i="2"/>
  <c r="BQ44" i="2" s="1"/>
  <c r="AI44" i="2"/>
  <c r="BM44" i="2" s="1"/>
  <c r="CH44" i="5"/>
  <c r="BG44" i="5"/>
  <c r="BX44" i="5"/>
  <c r="CF44" i="5"/>
  <c r="BW44" i="5"/>
  <c r="AH44" i="2"/>
  <c r="BL44" i="2" s="1"/>
  <c r="BZ44" i="5"/>
  <c r="AW44" i="2"/>
  <c r="CA44" i="2" s="1"/>
  <c r="DF43" i="2"/>
  <c r="DP44" i="4"/>
  <c r="BA44" i="2"/>
  <c r="CE44" i="2" s="1"/>
  <c r="CN44" i="2"/>
  <c r="BI44" i="2"/>
  <c r="CO44" i="2"/>
  <c r="BJ44" i="2"/>
  <c r="AO44" i="2"/>
  <c r="BS44" i="2" s="1"/>
  <c r="AL44" i="2"/>
  <c r="BP44" i="2" s="1"/>
  <c r="DD44" i="2"/>
  <c r="BY44" i="2"/>
  <c r="AK44" i="2"/>
  <c r="BO44" i="2" s="1"/>
  <c r="DI43" i="2"/>
  <c r="CD43" i="2"/>
  <c r="DA44" i="2"/>
  <c r="BV44" i="2"/>
  <c r="DP44" i="3"/>
  <c r="DC44" i="2"/>
  <c r="BX44" i="2"/>
  <c r="BC44" i="2"/>
  <c r="CG44" i="2" s="1"/>
  <c r="CM44" i="2"/>
  <c r="BH44" i="2"/>
  <c r="BB44" i="2"/>
  <c r="CF44" i="2" s="1"/>
  <c r="CP44" i="2"/>
  <c r="BK44" i="2"/>
  <c r="AZ44" i="2"/>
  <c r="CD44" i="2" s="1"/>
  <c r="AJ44" i="2"/>
  <c r="BN44" i="2" s="1"/>
  <c r="BO43" i="2"/>
  <c r="DB44" i="2"/>
  <c r="BW44" i="2"/>
  <c r="AP44" i="2"/>
  <c r="BT44" i="2" s="1"/>
  <c r="BT43" i="2"/>
  <c r="AX44" i="2"/>
  <c r="CB44" i="2" s="1"/>
  <c r="BF44" i="2"/>
  <c r="AY44" i="2"/>
  <c r="CC44" i="2" s="1"/>
  <c r="BD44" i="2"/>
  <c r="CH44" i="2" s="1"/>
  <c r="AQ44" i="2"/>
  <c r="BU44" i="2" s="1"/>
  <c r="BE44" i="2"/>
  <c r="CI44" i="2" s="1"/>
  <c r="CQ43" i="2"/>
  <c r="DJ43" i="2"/>
  <c r="DE43" i="2"/>
  <c r="DK43" i="2"/>
  <c r="DP42" i="2"/>
  <c r="DQ42" i="2" s="1"/>
  <c r="DL43" i="2"/>
  <c r="CS43" i="2"/>
  <c r="CK42" i="2"/>
  <c r="CL42" i="2" s="1"/>
  <c r="CU43" i="2"/>
  <c r="CT43" i="2"/>
  <c r="DN43" i="2"/>
  <c r="DG43" i="2"/>
  <c r="CJ43" i="2"/>
  <c r="DO43" i="2"/>
  <c r="DH43" i="2"/>
  <c r="CY43" i="2"/>
  <c r="CX43" i="2"/>
  <c r="CZ43" i="2"/>
  <c r="DM43" i="2"/>
  <c r="BG43" i="2"/>
  <c r="CB45" i="3" l="1"/>
  <c r="AZ46" i="3"/>
  <c r="CK44" i="3"/>
  <c r="DI45" i="3"/>
  <c r="CD45" i="3"/>
  <c r="DF46" i="3"/>
  <c r="CA46" i="3"/>
  <c r="DJ46" i="3"/>
  <c r="CE46" i="3"/>
  <c r="CH45" i="3"/>
  <c r="DM45" i="3"/>
  <c r="AW47" i="3"/>
  <c r="DE46" i="3"/>
  <c r="BZ46" i="3"/>
  <c r="CN46" i="3"/>
  <c r="BI46" i="3"/>
  <c r="AX46" i="3"/>
  <c r="BX46" i="3"/>
  <c r="DC46" i="3"/>
  <c r="BF46" i="3"/>
  <c r="CS46" i="3"/>
  <c r="AL47" i="3"/>
  <c r="BN46" i="3"/>
  <c r="BW46" i="3"/>
  <c r="DB46" i="3"/>
  <c r="BG45" i="3"/>
  <c r="BC46" i="3"/>
  <c r="CR46" i="3"/>
  <c r="BM46" i="3"/>
  <c r="DA46" i="3"/>
  <c r="BA47" i="3"/>
  <c r="AR47" i="3"/>
  <c r="AS47" i="3"/>
  <c r="AT47" i="3"/>
  <c r="BV46" i="3"/>
  <c r="AV47" i="3"/>
  <c r="CP46" i="3"/>
  <c r="BK46" i="3"/>
  <c r="CD46" i="3"/>
  <c r="DI46" i="3"/>
  <c r="BH46" i="3"/>
  <c r="AD47" i="3"/>
  <c r="AE47" i="3"/>
  <c r="AH47" i="3"/>
  <c r="AF47" i="3"/>
  <c r="CM46" i="3"/>
  <c r="AM47" i="3"/>
  <c r="DD46" i="3"/>
  <c r="BY46" i="3"/>
  <c r="BD46" i="3"/>
  <c r="CI45" i="3"/>
  <c r="DN45" i="3"/>
  <c r="CO46" i="3"/>
  <c r="BJ46" i="3"/>
  <c r="AG47" i="3"/>
  <c r="AK47" i="3"/>
  <c r="AO47" i="3"/>
  <c r="AU47" i="3"/>
  <c r="AY46" i="3"/>
  <c r="CF46" i="3"/>
  <c r="DK46" i="3"/>
  <c r="CJ45" i="3"/>
  <c r="DO45" i="3"/>
  <c r="AI47" i="3"/>
  <c r="AJ47" i="3"/>
  <c r="CQ46" i="3"/>
  <c r="BL46" i="3"/>
  <c r="CT46" i="3"/>
  <c r="BO46" i="3"/>
  <c r="CY46" i="3"/>
  <c r="BT46" i="3"/>
  <c r="DH45" i="3"/>
  <c r="CC45" i="3"/>
  <c r="CU46" i="3"/>
  <c r="BP46" i="3"/>
  <c r="BQ46" i="3"/>
  <c r="CV46" i="3"/>
  <c r="AN47" i="3"/>
  <c r="AP47" i="3"/>
  <c r="BB47" i="3"/>
  <c r="AQ47" i="3"/>
  <c r="CX46" i="3"/>
  <c r="BS46" i="3"/>
  <c r="BE46" i="3"/>
  <c r="CW46" i="3"/>
  <c r="BR46" i="3"/>
  <c r="BU46" i="3"/>
  <c r="CZ46" i="3"/>
  <c r="CK44" i="8"/>
  <c r="CW44" i="2"/>
  <c r="DP44" i="8"/>
  <c r="DP68" i="8" s="1"/>
  <c r="DP70" i="8" s="1"/>
  <c r="CK44" i="6"/>
  <c r="CK68" i="6" s="1"/>
  <c r="CK70" i="6" s="1"/>
  <c r="DQ44" i="6"/>
  <c r="DQ68" i="6" s="1"/>
  <c r="DQ70" i="6" s="1"/>
  <c r="C4" i="7" s="1"/>
  <c r="CK44" i="5"/>
  <c r="CL44" i="5" s="1"/>
  <c r="DQ44" i="5"/>
  <c r="CR44" i="2"/>
  <c r="CL44" i="4"/>
  <c r="DQ44" i="4"/>
  <c r="DQ44" i="3"/>
  <c r="CL44" i="3"/>
  <c r="DJ44" i="2"/>
  <c r="DE44" i="2"/>
  <c r="DF44" i="2"/>
  <c r="DK44" i="2"/>
  <c r="CV44" i="2"/>
  <c r="CQ44" i="2"/>
  <c r="DP43" i="2"/>
  <c r="DQ43" i="2" s="1"/>
  <c r="CU44" i="2"/>
  <c r="CS44" i="2"/>
  <c r="DG44" i="2"/>
  <c r="DI44" i="2"/>
  <c r="CJ44" i="2"/>
  <c r="DO44" i="2"/>
  <c r="CT44" i="2"/>
  <c r="DL44" i="2"/>
  <c r="CY44" i="2"/>
  <c r="CZ44" i="2"/>
  <c r="DN44" i="2"/>
  <c r="DM44" i="2"/>
  <c r="CX44" i="2"/>
  <c r="DH44" i="2"/>
  <c r="BG44" i="2"/>
  <c r="CK43" i="2"/>
  <c r="CL43" i="2" s="1"/>
  <c r="CL44" i="6" l="1"/>
  <c r="CL68" i="6" s="1"/>
  <c r="CL70" i="6" s="1"/>
  <c r="B4" i="7" s="1"/>
  <c r="B44" i="7" s="1"/>
  <c r="BC47" i="3"/>
  <c r="DP45" i="3"/>
  <c r="DQ45" i="3" s="1"/>
  <c r="CK45" i="3"/>
  <c r="CL45" i="3" s="1"/>
  <c r="AX47" i="3"/>
  <c r="CB47" i="3" s="1"/>
  <c r="AY47" i="3"/>
  <c r="DJ47" i="3"/>
  <c r="CE47" i="3"/>
  <c r="CB46" i="3"/>
  <c r="DG46" i="3"/>
  <c r="CG46" i="3"/>
  <c r="DL46" i="3"/>
  <c r="BA48" i="3"/>
  <c r="AS48" i="3"/>
  <c r="AT48" i="3"/>
  <c r="AV48" i="3"/>
  <c r="AR48" i="3"/>
  <c r="BV47" i="3"/>
  <c r="DA47" i="3"/>
  <c r="DF47" i="3"/>
  <c r="CA47" i="3"/>
  <c r="AQ48" i="3"/>
  <c r="BS47" i="3"/>
  <c r="CX47" i="3"/>
  <c r="AD48" i="3"/>
  <c r="AE48" i="3"/>
  <c r="AF48" i="3"/>
  <c r="AH48" i="3"/>
  <c r="AM48" i="3"/>
  <c r="CM47" i="3"/>
  <c r="BH47" i="3"/>
  <c r="CQ47" i="3"/>
  <c r="AI48" i="3"/>
  <c r="AJ48" i="3"/>
  <c r="BL47" i="3"/>
  <c r="AW48" i="3"/>
  <c r="BE47" i="3"/>
  <c r="CZ47" i="3"/>
  <c r="BU47" i="3"/>
  <c r="AG48" i="3"/>
  <c r="CO47" i="3"/>
  <c r="BJ47" i="3"/>
  <c r="AK48" i="3"/>
  <c r="AO48" i="3"/>
  <c r="AU48" i="3"/>
  <c r="BI47" i="3"/>
  <c r="CN47" i="3"/>
  <c r="CS47" i="3"/>
  <c r="BN47" i="3"/>
  <c r="AL48" i="3"/>
  <c r="DM46" i="3"/>
  <c r="CH46" i="3"/>
  <c r="BP47" i="3"/>
  <c r="CU47" i="3"/>
  <c r="DL47" i="3"/>
  <c r="CG47" i="3"/>
  <c r="BO47" i="3"/>
  <c r="CT47" i="3"/>
  <c r="AZ47" i="3"/>
  <c r="AX48" i="3" s="1"/>
  <c r="BD47" i="3"/>
  <c r="BE48" i="3" s="1"/>
  <c r="BY47" i="3"/>
  <c r="DD47" i="3"/>
  <c r="BM47" i="3"/>
  <c r="CR47" i="3"/>
  <c r="BR47" i="3"/>
  <c r="CW47" i="3"/>
  <c r="DE47" i="3"/>
  <c r="BZ47" i="3"/>
  <c r="DO46" i="3"/>
  <c r="CJ46" i="3"/>
  <c r="CP47" i="3"/>
  <c r="BK47" i="3"/>
  <c r="DK47" i="3"/>
  <c r="CF47" i="3"/>
  <c r="BF47" i="3"/>
  <c r="DC47" i="3"/>
  <c r="BX47" i="3"/>
  <c r="DH46" i="3"/>
  <c r="CC46" i="3"/>
  <c r="DN46" i="3"/>
  <c r="CI46" i="3"/>
  <c r="BT47" i="3"/>
  <c r="CY47" i="3"/>
  <c r="BG46" i="3"/>
  <c r="AN48" i="3"/>
  <c r="BB48" i="3"/>
  <c r="CV47" i="3"/>
  <c r="AP48" i="3"/>
  <c r="BQ47" i="3"/>
  <c r="BW47" i="3"/>
  <c r="DB47" i="3"/>
  <c r="DQ44" i="8"/>
  <c r="DQ68" i="8" s="1"/>
  <c r="DQ70" i="8" s="1"/>
  <c r="C6" i="7" s="1"/>
  <c r="C42" i="7" s="1"/>
  <c r="CL44" i="8"/>
  <c r="CK44" i="2"/>
  <c r="CL44" i="2" s="1"/>
  <c r="DP44" i="2"/>
  <c r="DQ44" i="2" s="1"/>
  <c r="E43" i="7" l="1"/>
  <c r="D44" i="7"/>
  <c r="B42" i="7"/>
  <c r="C44" i="7"/>
  <c r="DG47" i="3"/>
  <c r="CK46" i="3"/>
  <c r="CL46" i="3" s="1"/>
  <c r="DP46" i="3"/>
  <c r="DQ46" i="3" s="1"/>
  <c r="CI48" i="3"/>
  <c r="DN48" i="3"/>
  <c r="DG48" i="3"/>
  <c r="CB48" i="3"/>
  <c r="AY48" i="3"/>
  <c r="AS49" i="3"/>
  <c r="AT49" i="3"/>
  <c r="BV48" i="3"/>
  <c r="DA48" i="3"/>
  <c r="BA49" i="3"/>
  <c r="AR49" i="3"/>
  <c r="AV49" i="3"/>
  <c r="BZ48" i="3"/>
  <c r="DE48" i="3"/>
  <c r="CJ47" i="3"/>
  <c r="DO47" i="3"/>
  <c r="DB48" i="3"/>
  <c r="BW48" i="3"/>
  <c r="BB49" i="3"/>
  <c r="DJ48" i="3"/>
  <c r="CE48" i="3"/>
  <c r="BG47" i="3"/>
  <c r="BX48" i="3"/>
  <c r="DC48" i="3"/>
  <c r="CN48" i="3"/>
  <c r="BI48" i="3"/>
  <c r="BY48" i="3"/>
  <c r="DD48" i="3"/>
  <c r="DK48" i="3"/>
  <c r="CF48" i="3"/>
  <c r="AD49" i="3"/>
  <c r="CM48" i="3"/>
  <c r="AE49" i="3"/>
  <c r="AF49" i="3"/>
  <c r="AH49" i="3"/>
  <c r="BH48" i="3"/>
  <c r="AM49" i="3"/>
  <c r="CX48" i="3"/>
  <c r="BS48" i="3"/>
  <c r="AQ49" i="3"/>
  <c r="AO49" i="3"/>
  <c r="BJ48" i="3"/>
  <c r="AG49" i="3"/>
  <c r="CO48" i="3"/>
  <c r="AK49" i="3"/>
  <c r="AU49" i="3"/>
  <c r="BF48" i="3"/>
  <c r="AZ48" i="3"/>
  <c r="CI47" i="3"/>
  <c r="DN47" i="3"/>
  <c r="BC48" i="3"/>
  <c r="AJ49" i="3"/>
  <c r="BL48" i="3"/>
  <c r="CQ48" i="3"/>
  <c r="AI49" i="3"/>
  <c r="AW49" i="3"/>
  <c r="CW48" i="3"/>
  <c r="BR48" i="3"/>
  <c r="CD47" i="3"/>
  <c r="DI47" i="3"/>
  <c r="CT48" i="3"/>
  <c r="BO48" i="3"/>
  <c r="DF48" i="3"/>
  <c r="CA48" i="3"/>
  <c r="CZ48" i="3"/>
  <c r="BU48" i="3"/>
  <c r="CH47" i="3"/>
  <c r="DM47" i="3"/>
  <c r="CV48" i="3"/>
  <c r="BQ48" i="3"/>
  <c r="AP49" i="3"/>
  <c r="AN49" i="3"/>
  <c r="CP48" i="3"/>
  <c r="BK48" i="3"/>
  <c r="CC47" i="3"/>
  <c r="DH47" i="3"/>
  <c r="BD48" i="3"/>
  <c r="BN48" i="3"/>
  <c r="CS48" i="3"/>
  <c r="AL49" i="3"/>
  <c r="CY48" i="3"/>
  <c r="BT48" i="3"/>
  <c r="CU48" i="3"/>
  <c r="BP48" i="3"/>
  <c r="CR48" i="3"/>
  <c r="BM48" i="3"/>
  <c r="DP70" i="4"/>
  <c r="D43" i="7" l="1"/>
  <c r="H44" i="7"/>
  <c r="E44" i="7"/>
  <c r="G44" i="7"/>
  <c r="CL70" i="4"/>
  <c r="B3" i="7" s="1"/>
  <c r="DQ70" i="4"/>
  <c r="C3" i="7" s="1"/>
  <c r="BC49" i="3"/>
  <c r="DL49" i="3" s="1"/>
  <c r="AX49" i="3"/>
  <c r="DP47" i="3"/>
  <c r="DQ47" i="3" s="1"/>
  <c r="BD49" i="3"/>
  <c r="DM49" i="3" s="1"/>
  <c r="CK47" i="3"/>
  <c r="CL47" i="3" s="1"/>
  <c r="BG48" i="3"/>
  <c r="AZ49" i="3"/>
  <c r="CD49" i="3" s="1"/>
  <c r="BF49" i="3"/>
  <c r="CJ49" i="3" s="1"/>
  <c r="CG49" i="3"/>
  <c r="DE49" i="3"/>
  <c r="BZ49" i="3"/>
  <c r="CR49" i="3"/>
  <c r="BM49" i="3"/>
  <c r="BS49" i="3"/>
  <c r="CX49" i="3"/>
  <c r="AQ50" i="3"/>
  <c r="AV50" i="3"/>
  <c r="AT50" i="3"/>
  <c r="BA50" i="3"/>
  <c r="AR50" i="3"/>
  <c r="AS50" i="3"/>
  <c r="BV49" i="3"/>
  <c r="DA49" i="3"/>
  <c r="DJ49" i="3"/>
  <c r="CE49" i="3"/>
  <c r="AD50" i="3"/>
  <c r="BH49" i="3"/>
  <c r="AF50" i="3"/>
  <c r="AH50" i="3"/>
  <c r="AM50" i="3"/>
  <c r="CM49" i="3"/>
  <c r="AE50" i="3"/>
  <c r="BU49" i="3"/>
  <c r="CZ49" i="3"/>
  <c r="CA49" i="3"/>
  <c r="DF49" i="3"/>
  <c r="CS49" i="3"/>
  <c r="AL50" i="3"/>
  <c r="BN49" i="3"/>
  <c r="CH49" i="3"/>
  <c r="DC49" i="3"/>
  <c r="BX49" i="3"/>
  <c r="CU49" i="3"/>
  <c r="BP49" i="3"/>
  <c r="BW49" i="3"/>
  <c r="DB49" i="3"/>
  <c r="BK49" i="3"/>
  <c r="CP49" i="3"/>
  <c r="CW49" i="3"/>
  <c r="BR49" i="3"/>
  <c r="BE49" i="3"/>
  <c r="BE50" i="3" s="1"/>
  <c r="CG48" i="3"/>
  <c r="DL48" i="3"/>
  <c r="CV49" i="3"/>
  <c r="AN50" i="3"/>
  <c r="BQ49" i="3"/>
  <c r="AP50" i="3"/>
  <c r="BB50" i="3"/>
  <c r="BT49" i="3"/>
  <c r="CY49" i="3"/>
  <c r="CD48" i="3"/>
  <c r="DI48" i="3"/>
  <c r="DH48" i="3"/>
  <c r="CC48" i="3"/>
  <c r="DO48" i="3"/>
  <c r="CJ48" i="3"/>
  <c r="CQ49" i="3"/>
  <c r="BL49" i="3"/>
  <c r="AW50" i="3"/>
  <c r="AJ50" i="3"/>
  <c r="AI50" i="3"/>
  <c r="DK49" i="3"/>
  <c r="CF49" i="3"/>
  <c r="DG49" i="3"/>
  <c r="CB49" i="3"/>
  <c r="BY49" i="3"/>
  <c r="DD49" i="3"/>
  <c r="AG50" i="3"/>
  <c r="AO50" i="3"/>
  <c r="BJ49" i="3"/>
  <c r="AU50" i="3"/>
  <c r="CO49" i="3"/>
  <c r="AK50" i="3"/>
  <c r="CH48" i="3"/>
  <c r="DM48" i="3"/>
  <c r="AY49" i="3"/>
  <c r="BI49" i="3"/>
  <c r="CN49" i="3"/>
  <c r="BO49" i="3"/>
  <c r="CT49" i="3"/>
  <c r="CK70" i="4"/>
  <c r="C36" i="7" l="1"/>
  <c r="C35" i="7"/>
  <c r="C34" i="7"/>
  <c r="BD50" i="3"/>
  <c r="DI49" i="3"/>
  <c r="BC50" i="3"/>
  <c r="DL50" i="3" s="1"/>
  <c r="BF50" i="3"/>
  <c r="DO50" i="3" s="1"/>
  <c r="AX50" i="3"/>
  <c r="DG50" i="3" s="1"/>
  <c r="DO49" i="3"/>
  <c r="DP48" i="3"/>
  <c r="DQ48" i="3" s="1"/>
  <c r="CK48" i="3"/>
  <c r="CL48" i="3" s="1"/>
  <c r="BE51" i="3"/>
  <c r="CG50" i="3"/>
  <c r="DN50" i="3"/>
  <c r="CI50" i="3"/>
  <c r="CZ50" i="3"/>
  <c r="BU50" i="3"/>
  <c r="DH49" i="3"/>
  <c r="CC49" i="3"/>
  <c r="BZ50" i="3"/>
  <c r="DE50" i="3"/>
  <c r="CQ50" i="3"/>
  <c r="BL50" i="3"/>
  <c r="AI51" i="3"/>
  <c r="AW51" i="3"/>
  <c r="AJ51" i="3"/>
  <c r="CA50" i="3"/>
  <c r="DF50" i="3"/>
  <c r="AU51" i="3"/>
  <c r="AK51" i="3"/>
  <c r="AG51" i="3"/>
  <c r="BJ50" i="3"/>
  <c r="CO50" i="3"/>
  <c r="AO51" i="3"/>
  <c r="CB50" i="3"/>
  <c r="CY50" i="3"/>
  <c r="BT50" i="3"/>
  <c r="AZ50" i="3"/>
  <c r="AH51" i="3"/>
  <c r="BH50" i="3"/>
  <c r="AD51" i="3"/>
  <c r="AE51" i="3"/>
  <c r="AF51" i="3"/>
  <c r="AM51" i="3"/>
  <c r="CM50" i="3"/>
  <c r="CR50" i="3"/>
  <c r="BM50" i="3"/>
  <c r="BN50" i="3"/>
  <c r="CS50" i="3"/>
  <c r="AL51" i="3"/>
  <c r="BP50" i="3"/>
  <c r="CU50" i="3"/>
  <c r="DC50" i="3"/>
  <c r="BX50" i="3"/>
  <c r="CW50" i="3"/>
  <c r="BR50" i="3"/>
  <c r="DN49" i="3"/>
  <c r="CI49" i="3"/>
  <c r="CF50" i="3"/>
  <c r="DK50" i="3"/>
  <c r="BI50" i="3"/>
  <c r="CN50" i="3"/>
  <c r="BY50" i="3"/>
  <c r="DD50" i="3"/>
  <c r="CH50" i="3"/>
  <c r="DM50" i="3"/>
  <c r="BO50" i="3"/>
  <c r="CT50" i="3"/>
  <c r="CP50" i="3"/>
  <c r="BK50" i="3"/>
  <c r="BG49" i="3"/>
  <c r="DB50" i="3"/>
  <c r="BW50" i="3"/>
  <c r="CE50" i="3"/>
  <c r="DJ50" i="3"/>
  <c r="BQ50" i="3"/>
  <c r="AP51" i="3"/>
  <c r="AN51" i="3"/>
  <c r="CV50" i="3"/>
  <c r="BB51" i="3"/>
  <c r="BD51" i="3"/>
  <c r="AQ51" i="3"/>
  <c r="CX50" i="3"/>
  <c r="BS50" i="3"/>
  <c r="AY50" i="3"/>
  <c r="AT51" i="3"/>
  <c r="AS51" i="3"/>
  <c r="BA51" i="3"/>
  <c r="AV51" i="3"/>
  <c r="DA50" i="3"/>
  <c r="AR51" i="3"/>
  <c r="BV50" i="3"/>
  <c r="CJ50" i="3" l="1"/>
  <c r="DP49" i="3"/>
  <c r="DQ49" i="3" s="1"/>
  <c r="CK49" i="3"/>
  <c r="CL49" i="3" s="1"/>
  <c r="BF51" i="3"/>
  <c r="CJ51" i="3" s="1"/>
  <c r="BG50" i="3"/>
  <c r="AZ51" i="3"/>
  <c r="DI51" i="3" s="1"/>
  <c r="CR51" i="3"/>
  <c r="BM51" i="3"/>
  <c r="AW52" i="3"/>
  <c r="BZ51" i="3"/>
  <c r="DE51" i="3"/>
  <c r="AQ52" i="3"/>
  <c r="BS51" i="3"/>
  <c r="CX51" i="3"/>
  <c r="CA51" i="3"/>
  <c r="DF51" i="3"/>
  <c r="DJ51" i="3"/>
  <c r="CE51" i="3"/>
  <c r="AX51" i="3"/>
  <c r="CY51" i="3"/>
  <c r="BT51" i="3"/>
  <c r="BW51" i="3"/>
  <c r="DB51" i="3"/>
  <c r="AY51" i="3"/>
  <c r="DK51" i="3"/>
  <c r="CF51" i="3"/>
  <c r="BR51" i="3"/>
  <c r="CW51" i="3"/>
  <c r="AS52" i="3"/>
  <c r="BV51" i="3"/>
  <c r="AR52" i="3"/>
  <c r="AV52" i="3"/>
  <c r="BA52" i="3"/>
  <c r="DA51" i="3"/>
  <c r="AT52" i="3"/>
  <c r="BC51" i="3"/>
  <c r="BE52" i="3" s="1"/>
  <c r="BP51" i="3"/>
  <c r="CU51" i="3"/>
  <c r="BX51" i="3"/>
  <c r="DC51" i="3"/>
  <c r="AP52" i="3"/>
  <c r="CV51" i="3"/>
  <c r="AN52" i="3"/>
  <c r="BQ51" i="3"/>
  <c r="BB52" i="3"/>
  <c r="DH50" i="3"/>
  <c r="CC50" i="3"/>
  <c r="BJ51" i="3"/>
  <c r="AK52" i="3"/>
  <c r="AO52" i="3"/>
  <c r="CO51" i="3"/>
  <c r="AG52" i="3"/>
  <c r="AU52" i="3"/>
  <c r="CP51" i="3"/>
  <c r="BK51" i="3"/>
  <c r="BO51" i="3"/>
  <c r="CT51" i="3"/>
  <c r="DD51" i="3"/>
  <c r="BY51" i="3"/>
  <c r="CN51" i="3"/>
  <c r="BI51" i="3"/>
  <c r="BU51" i="3"/>
  <c r="CZ51" i="3"/>
  <c r="AH52" i="3"/>
  <c r="CM51" i="3"/>
  <c r="BH51" i="3"/>
  <c r="AF52" i="3"/>
  <c r="AD52" i="3"/>
  <c r="AE52" i="3"/>
  <c r="AM52" i="3"/>
  <c r="DM51" i="3"/>
  <c r="CH51" i="3"/>
  <c r="CQ51" i="3"/>
  <c r="BL51" i="3"/>
  <c r="AJ52" i="3"/>
  <c r="AI52" i="3"/>
  <c r="DI50" i="3"/>
  <c r="CD50" i="3"/>
  <c r="CS51" i="3"/>
  <c r="BN51" i="3"/>
  <c r="AL52" i="3"/>
  <c r="DN51" i="3"/>
  <c r="CI51" i="3"/>
  <c r="BD52" i="3" l="1"/>
  <c r="CD51" i="3"/>
  <c r="DO51" i="3"/>
  <c r="DP50" i="3"/>
  <c r="DQ50" i="3" s="1"/>
  <c r="BG51" i="3"/>
  <c r="CK50" i="3"/>
  <c r="CL50" i="3" s="1"/>
  <c r="DN52" i="3"/>
  <c r="CI52" i="3"/>
  <c r="CV52" i="3"/>
  <c r="AN53" i="3"/>
  <c r="AP53" i="3"/>
  <c r="BQ52" i="3"/>
  <c r="BB53" i="3"/>
  <c r="BV52" i="3"/>
  <c r="BA53" i="3"/>
  <c r="AT53" i="3"/>
  <c r="AS53" i="3"/>
  <c r="AV53" i="3"/>
  <c r="AR53" i="3"/>
  <c r="DA52" i="3"/>
  <c r="AZ52" i="3"/>
  <c r="CH52" i="3"/>
  <c r="DM52" i="3"/>
  <c r="BC52" i="3"/>
  <c r="BD53" i="3" s="1"/>
  <c r="BU52" i="3"/>
  <c r="CZ52" i="3"/>
  <c r="BF52" i="3"/>
  <c r="BR52" i="3"/>
  <c r="CW52" i="3"/>
  <c r="BI52" i="3"/>
  <c r="CN52" i="3"/>
  <c r="AY52" i="3"/>
  <c r="DK52" i="3"/>
  <c r="CF52" i="3"/>
  <c r="DD52" i="3"/>
  <c r="BY52" i="3"/>
  <c r="CA52" i="3"/>
  <c r="DF52" i="3"/>
  <c r="CG51" i="3"/>
  <c r="DL51" i="3"/>
  <c r="DG51" i="3"/>
  <c r="CB51" i="3"/>
  <c r="CY52" i="3"/>
  <c r="BT52" i="3"/>
  <c r="BK52" i="3"/>
  <c r="CP52" i="3"/>
  <c r="DC52" i="3"/>
  <c r="BX52" i="3"/>
  <c r="DE52" i="3"/>
  <c r="BZ52" i="3"/>
  <c r="CU52" i="3"/>
  <c r="BP52" i="3"/>
  <c r="AM53" i="3"/>
  <c r="AE53" i="3"/>
  <c r="AF53" i="3"/>
  <c r="AH53" i="3"/>
  <c r="AD53" i="3"/>
  <c r="CM52" i="3"/>
  <c r="BH52" i="3"/>
  <c r="AK53" i="3"/>
  <c r="BJ52" i="3"/>
  <c r="AU53" i="3"/>
  <c r="AO53" i="3"/>
  <c r="AG53" i="3"/>
  <c r="CO52" i="3"/>
  <c r="AI53" i="3"/>
  <c r="AJ53" i="3"/>
  <c r="BL52" i="3"/>
  <c r="CQ52" i="3"/>
  <c r="AW53" i="3"/>
  <c r="AX52" i="3"/>
  <c r="CR52" i="3"/>
  <c r="BM52" i="3"/>
  <c r="CT52" i="3"/>
  <c r="BO52" i="3"/>
  <c r="DB52" i="3"/>
  <c r="BW52" i="3"/>
  <c r="CC51" i="3"/>
  <c r="DH51" i="3"/>
  <c r="BS52" i="3"/>
  <c r="CX52" i="3"/>
  <c r="AQ53" i="3"/>
  <c r="BN52" i="3"/>
  <c r="CS52" i="3"/>
  <c r="AL53" i="3"/>
  <c r="CE52" i="3"/>
  <c r="DJ52" i="3"/>
  <c r="CK51" i="3" l="1"/>
  <c r="CL51" i="3" s="1"/>
  <c r="DP51" i="3"/>
  <c r="DQ51" i="3" s="1"/>
  <c r="CH53" i="3"/>
  <c r="DM53" i="3"/>
  <c r="BW53" i="3"/>
  <c r="DB53" i="3"/>
  <c r="CT53" i="3"/>
  <c r="BO53" i="3"/>
  <c r="AU54" i="3"/>
  <c r="BX53" i="3"/>
  <c r="DC53" i="3"/>
  <c r="DJ53" i="3"/>
  <c r="CE53" i="3"/>
  <c r="AS54" i="3"/>
  <c r="AT54" i="3"/>
  <c r="AV54" i="3"/>
  <c r="BV53" i="3"/>
  <c r="AR54" i="3"/>
  <c r="DA53" i="3"/>
  <c r="BA54" i="3"/>
  <c r="CU53" i="3"/>
  <c r="BP53" i="3"/>
  <c r="CD52" i="3"/>
  <c r="DI52" i="3"/>
  <c r="DG52" i="3"/>
  <c r="CB52" i="3"/>
  <c r="DO52" i="3"/>
  <c r="CJ52" i="3"/>
  <c r="BF53" i="3"/>
  <c r="BG52" i="3"/>
  <c r="AX53" i="3"/>
  <c r="AE54" i="3"/>
  <c r="AD54" i="3"/>
  <c r="AF54" i="3"/>
  <c r="AM54" i="3"/>
  <c r="CM53" i="3"/>
  <c r="BH53" i="3"/>
  <c r="AH54" i="3"/>
  <c r="AK54" i="3"/>
  <c r="AG54" i="3"/>
  <c r="BJ53" i="3"/>
  <c r="CO53" i="3"/>
  <c r="AO54" i="3"/>
  <c r="CF53" i="3"/>
  <c r="DK53" i="3"/>
  <c r="BI53" i="3"/>
  <c r="CN53" i="3"/>
  <c r="CY53" i="3"/>
  <c r="BT53" i="3"/>
  <c r="AW54" i="3"/>
  <c r="CA53" i="3"/>
  <c r="DF53" i="3"/>
  <c r="DL52" i="3"/>
  <c r="CG52" i="3"/>
  <c r="BR53" i="3"/>
  <c r="CW53" i="3"/>
  <c r="DE53" i="3"/>
  <c r="BZ53" i="3"/>
  <c r="AI54" i="3"/>
  <c r="AJ54" i="3"/>
  <c r="BL53" i="3"/>
  <c r="CQ53" i="3"/>
  <c r="AY53" i="3"/>
  <c r="AQ54" i="3"/>
  <c r="BS53" i="3"/>
  <c r="CX53" i="3"/>
  <c r="CC52" i="3"/>
  <c r="DH52" i="3"/>
  <c r="CZ53" i="3"/>
  <c r="BU53" i="3"/>
  <c r="CV53" i="3"/>
  <c r="BQ53" i="3"/>
  <c r="BB54" i="3"/>
  <c r="AN54" i="3"/>
  <c r="AP54" i="3"/>
  <c r="BY53" i="3"/>
  <c r="DD53" i="3"/>
  <c r="BC53" i="3"/>
  <c r="AZ53" i="3"/>
  <c r="AL54" i="3"/>
  <c r="CS53" i="3"/>
  <c r="BN53" i="3"/>
  <c r="CR53" i="3"/>
  <c r="BM53" i="3"/>
  <c r="BK53" i="3"/>
  <c r="CP53" i="3"/>
  <c r="BE53" i="3"/>
  <c r="CK52" i="3" l="1"/>
  <c r="CL52" i="3" s="1"/>
  <c r="AZ54" i="3"/>
  <c r="DI54" i="3" s="1"/>
  <c r="DP52" i="3"/>
  <c r="DQ52" i="3" s="1"/>
  <c r="BE54" i="3"/>
  <c r="DN54" i="3" s="1"/>
  <c r="CX54" i="3"/>
  <c r="BS54" i="3"/>
  <c r="AQ55" i="3"/>
  <c r="AY54" i="3"/>
  <c r="CW54" i="3"/>
  <c r="BR54" i="3"/>
  <c r="BK54" i="3"/>
  <c r="CP54" i="3"/>
  <c r="BW54" i="3"/>
  <c r="DB54" i="3"/>
  <c r="BY54" i="3"/>
  <c r="DD54" i="3"/>
  <c r="AL55" i="3"/>
  <c r="BN54" i="3"/>
  <c r="CS54" i="3"/>
  <c r="BO54" i="3"/>
  <c r="CT54" i="3"/>
  <c r="BG53" i="3"/>
  <c r="CF54" i="3"/>
  <c r="DK54" i="3"/>
  <c r="BP54" i="3"/>
  <c r="CU54" i="3"/>
  <c r="AI55" i="3"/>
  <c r="AJ55" i="3"/>
  <c r="BL54" i="3"/>
  <c r="CQ54" i="3"/>
  <c r="AW55" i="3"/>
  <c r="DO53" i="3"/>
  <c r="CJ53" i="3"/>
  <c r="DG53" i="3"/>
  <c r="CB53" i="3"/>
  <c r="DJ54" i="3"/>
  <c r="CE54" i="3"/>
  <c r="DF54" i="3"/>
  <c r="CA54" i="3"/>
  <c r="BF54" i="3"/>
  <c r="BM54" i="3"/>
  <c r="CR54" i="3"/>
  <c r="CD53" i="3"/>
  <c r="DI53" i="3"/>
  <c r="DL53" i="3"/>
  <c r="CG53" i="3"/>
  <c r="AX54" i="3"/>
  <c r="BF55" i="3" s="1"/>
  <c r="AK55" i="3"/>
  <c r="AO55" i="3"/>
  <c r="CO54" i="3"/>
  <c r="AG55" i="3"/>
  <c r="BJ54" i="3"/>
  <c r="AV55" i="3"/>
  <c r="DA54" i="3"/>
  <c r="BA55" i="3"/>
  <c r="AR55" i="3"/>
  <c r="AT55" i="3"/>
  <c r="AS55" i="3"/>
  <c r="BV54" i="3"/>
  <c r="CI53" i="3"/>
  <c r="DN53" i="3"/>
  <c r="BU54" i="3"/>
  <c r="CZ54" i="3"/>
  <c r="BC54" i="3"/>
  <c r="CC53" i="3"/>
  <c r="DH53" i="3"/>
  <c r="CV54" i="3"/>
  <c r="BQ54" i="3"/>
  <c r="AN55" i="3"/>
  <c r="AP55" i="3"/>
  <c r="BB55" i="3"/>
  <c r="AH55" i="3"/>
  <c r="CM54" i="3"/>
  <c r="AD55" i="3"/>
  <c r="AF55" i="3"/>
  <c r="AE55" i="3"/>
  <c r="AM55" i="3"/>
  <c r="BH54" i="3"/>
  <c r="AU55" i="3"/>
  <c r="BX54" i="3"/>
  <c r="DC54" i="3"/>
  <c r="CY54" i="3"/>
  <c r="BT54" i="3"/>
  <c r="CN54" i="3"/>
  <c r="BI54" i="3"/>
  <c r="DE54" i="3"/>
  <c r="BZ54" i="3"/>
  <c r="BD54" i="3"/>
  <c r="BD55" i="3" l="1"/>
  <c r="BC55" i="3"/>
  <c r="AX55" i="3"/>
  <c r="CD54" i="3"/>
  <c r="BE55" i="3"/>
  <c r="DN55" i="3" s="1"/>
  <c r="CK53" i="3"/>
  <c r="CL53" i="3" s="1"/>
  <c r="AY55" i="3"/>
  <c r="CC55" i="3" s="1"/>
  <c r="AZ55" i="3"/>
  <c r="AZ56" i="3" s="1"/>
  <c r="CI54" i="3"/>
  <c r="CE55" i="3"/>
  <c r="DJ55" i="3"/>
  <c r="CJ54" i="3"/>
  <c r="DO54" i="3"/>
  <c r="DO55" i="3"/>
  <c r="CJ55" i="3"/>
  <c r="DH54" i="3"/>
  <c r="CC54" i="3"/>
  <c r="CR55" i="3"/>
  <c r="BM55" i="3"/>
  <c r="AL56" i="3"/>
  <c r="BN55" i="3"/>
  <c r="CS55" i="3"/>
  <c r="CF55" i="3"/>
  <c r="DK55" i="3"/>
  <c r="BY55" i="3"/>
  <c r="DD55" i="3"/>
  <c r="BU55" i="3"/>
  <c r="CZ55" i="3"/>
  <c r="CB55" i="3"/>
  <c r="DG55" i="3"/>
  <c r="CY55" i="3"/>
  <c r="BT55" i="3"/>
  <c r="DL54" i="3"/>
  <c r="CG54" i="3"/>
  <c r="DP53" i="3"/>
  <c r="DQ53" i="3" s="1"/>
  <c r="AH56" i="3"/>
  <c r="AM56" i="3"/>
  <c r="BH55" i="3"/>
  <c r="AF56" i="3"/>
  <c r="AD56" i="3"/>
  <c r="AE56" i="3"/>
  <c r="CM55" i="3"/>
  <c r="BE56" i="3"/>
  <c r="DM55" i="3"/>
  <c r="CH55" i="3"/>
  <c r="BR55" i="3"/>
  <c r="CW55" i="3"/>
  <c r="AQ56" i="3"/>
  <c r="BS55" i="3"/>
  <c r="CX55" i="3"/>
  <c r="BX55" i="3"/>
  <c r="DC55" i="3"/>
  <c r="BZ55" i="3"/>
  <c r="DE55" i="3"/>
  <c r="BK55" i="3"/>
  <c r="CP55" i="3"/>
  <c r="BG54" i="3"/>
  <c r="CT55" i="3"/>
  <c r="BO55" i="3"/>
  <c r="CU55" i="3"/>
  <c r="BP55" i="3"/>
  <c r="CG55" i="3"/>
  <c r="DL55" i="3"/>
  <c r="CA55" i="3"/>
  <c r="DF55" i="3"/>
  <c r="DB55" i="3"/>
  <c r="BW55" i="3"/>
  <c r="AI56" i="3"/>
  <c r="BL55" i="3"/>
  <c r="CQ55" i="3"/>
  <c r="AJ56" i="3"/>
  <c r="AW56" i="3"/>
  <c r="DA55" i="3"/>
  <c r="BV55" i="3"/>
  <c r="AV56" i="3"/>
  <c r="BA56" i="3"/>
  <c r="AS56" i="3"/>
  <c r="AT56" i="3"/>
  <c r="AR56" i="3"/>
  <c r="BQ55" i="3"/>
  <c r="BB56" i="3"/>
  <c r="AN56" i="3"/>
  <c r="AP56" i="3"/>
  <c r="CV55" i="3"/>
  <c r="BD56" i="3"/>
  <c r="BI55" i="3"/>
  <c r="CN55" i="3"/>
  <c r="DG54" i="3"/>
  <c r="CB54" i="3"/>
  <c r="DM54" i="3"/>
  <c r="CH54" i="3"/>
  <c r="AK56" i="3"/>
  <c r="AO56" i="3"/>
  <c r="AG56" i="3"/>
  <c r="CO55" i="3"/>
  <c r="BJ55" i="3"/>
  <c r="AU56" i="3"/>
  <c r="CI55" i="3" l="1"/>
  <c r="BF56" i="3"/>
  <c r="DO56" i="3" s="1"/>
  <c r="DI55" i="3"/>
  <c r="BG55" i="3"/>
  <c r="CD55" i="3"/>
  <c r="CK55" i="3" s="1"/>
  <c r="CL55" i="3" s="1"/>
  <c r="AX56" i="3"/>
  <c r="DG56" i="3" s="1"/>
  <c r="AY56" i="3"/>
  <c r="AZ57" i="3" s="1"/>
  <c r="BC56" i="3"/>
  <c r="BE57" i="3" s="1"/>
  <c r="DH55" i="3"/>
  <c r="DP55" i="3" s="1"/>
  <c r="DQ55" i="3" s="1"/>
  <c r="CK54" i="3"/>
  <c r="CL54" i="3" s="1"/>
  <c r="DP54" i="3"/>
  <c r="DQ54" i="3" s="1"/>
  <c r="BW56" i="3"/>
  <c r="DB56" i="3"/>
  <c r="CA56" i="3"/>
  <c r="DF56" i="3"/>
  <c r="BO56" i="3"/>
  <c r="CT56" i="3"/>
  <c r="BI56" i="3"/>
  <c r="CN56" i="3"/>
  <c r="BH56" i="3"/>
  <c r="AD57" i="3"/>
  <c r="AH57" i="3"/>
  <c r="AF57" i="3"/>
  <c r="AE57" i="3"/>
  <c r="CM56" i="3"/>
  <c r="AM57" i="3"/>
  <c r="BF57" i="3"/>
  <c r="BP56" i="3"/>
  <c r="CU56" i="3"/>
  <c r="AL57" i="3"/>
  <c r="CS56" i="3"/>
  <c r="BN56" i="3"/>
  <c r="CH56" i="3"/>
  <c r="DM56" i="3"/>
  <c r="BJ56" i="3"/>
  <c r="AK57" i="3"/>
  <c r="AG57" i="3"/>
  <c r="AO57" i="3"/>
  <c r="CO56" i="3"/>
  <c r="AU57" i="3"/>
  <c r="CX56" i="3"/>
  <c r="BS56" i="3"/>
  <c r="AQ57" i="3"/>
  <c r="DN56" i="3"/>
  <c r="CI56" i="3"/>
  <c r="CY56" i="3"/>
  <c r="BT56" i="3"/>
  <c r="CR56" i="3"/>
  <c r="BM56" i="3"/>
  <c r="AN57" i="3"/>
  <c r="BQ56" i="3"/>
  <c r="AP57" i="3"/>
  <c r="BB57" i="3"/>
  <c r="CV56" i="3"/>
  <c r="AY57" i="3"/>
  <c r="BY56" i="3"/>
  <c r="DD56" i="3"/>
  <c r="AI57" i="3"/>
  <c r="AJ57" i="3"/>
  <c r="CQ56" i="3"/>
  <c r="BL56" i="3"/>
  <c r="AW57" i="3"/>
  <c r="BZ56" i="3"/>
  <c r="DE56" i="3"/>
  <c r="CW56" i="3"/>
  <c r="BR56" i="3"/>
  <c r="DK56" i="3"/>
  <c r="CF56" i="3"/>
  <c r="DJ56" i="3"/>
  <c r="CE56" i="3"/>
  <c r="BC57" i="3"/>
  <c r="BA57" i="3"/>
  <c r="AT57" i="3"/>
  <c r="AR57" i="3"/>
  <c r="AS57" i="3"/>
  <c r="BV56" i="3"/>
  <c r="AV57" i="3"/>
  <c r="DA56" i="3"/>
  <c r="CZ56" i="3"/>
  <c r="BU56" i="3"/>
  <c r="CP56" i="3"/>
  <c r="BK56" i="3"/>
  <c r="BX56" i="3"/>
  <c r="DC56" i="3"/>
  <c r="DI56" i="3"/>
  <c r="CD56" i="3"/>
  <c r="CC56" i="3" l="1"/>
  <c r="AX57" i="3"/>
  <c r="DH56" i="3"/>
  <c r="CB56" i="3"/>
  <c r="CJ56" i="3"/>
  <c r="BG56" i="3"/>
  <c r="BD57" i="3"/>
  <c r="BG57" i="3" s="1"/>
  <c r="CG56" i="3"/>
  <c r="DL56" i="3"/>
  <c r="DP56" i="3" s="1"/>
  <c r="DQ56" i="3" s="1"/>
  <c r="AS58" i="3"/>
  <c r="BA58" i="3"/>
  <c r="AT58" i="3"/>
  <c r="BV57" i="3"/>
  <c r="DA57" i="3"/>
  <c r="AR58" i="3"/>
  <c r="AV58" i="3"/>
  <c r="CA57" i="3"/>
  <c r="DF57" i="3"/>
  <c r="CU57" i="3"/>
  <c r="BP57" i="3"/>
  <c r="CD57" i="3"/>
  <c r="DI57" i="3"/>
  <c r="CZ57" i="3"/>
  <c r="BU57" i="3"/>
  <c r="CW57" i="3"/>
  <c r="BR57" i="3"/>
  <c r="BB58" i="3"/>
  <c r="CE57" i="3"/>
  <c r="DJ57" i="3"/>
  <c r="DL57" i="3"/>
  <c r="CG57" i="3"/>
  <c r="AZ58" i="3"/>
  <c r="CS57" i="3"/>
  <c r="BN57" i="3"/>
  <c r="AL58" i="3"/>
  <c r="CC57" i="3"/>
  <c r="DH57" i="3"/>
  <c r="DO57" i="3"/>
  <c r="CJ57" i="3"/>
  <c r="CB57" i="3"/>
  <c r="DG57" i="3"/>
  <c r="BW57" i="3"/>
  <c r="DB57" i="3"/>
  <c r="CI57" i="3"/>
  <c r="DN57" i="3"/>
  <c r="CK56" i="3"/>
  <c r="CL56" i="3" s="1"/>
  <c r="DK57" i="3"/>
  <c r="CF57" i="3"/>
  <c r="BQ57" i="3"/>
  <c r="AN58" i="3"/>
  <c r="CV57" i="3"/>
  <c r="AP58" i="3"/>
  <c r="DC57" i="3"/>
  <c r="BX57" i="3"/>
  <c r="BS57" i="3"/>
  <c r="BE58" i="3"/>
  <c r="CX57" i="3"/>
  <c r="AQ58" i="3"/>
  <c r="AM58" i="3"/>
  <c r="CM57" i="3"/>
  <c r="AD58" i="3"/>
  <c r="AF58" i="3"/>
  <c r="BH57" i="3"/>
  <c r="AE58" i="3"/>
  <c r="AH58" i="3"/>
  <c r="AU58" i="3"/>
  <c r="DD57" i="3"/>
  <c r="BY57" i="3"/>
  <c r="BT57" i="3"/>
  <c r="CY57" i="3"/>
  <c r="BK57" i="3"/>
  <c r="CP57" i="3"/>
  <c r="BI57" i="3"/>
  <c r="CN57" i="3"/>
  <c r="CQ57" i="3"/>
  <c r="BL57" i="3"/>
  <c r="AJ58" i="3"/>
  <c r="AI58" i="3"/>
  <c r="AX58" i="3"/>
  <c r="CR57" i="3"/>
  <c r="BM57" i="3"/>
  <c r="AW58" i="3"/>
  <c r="DE57" i="3"/>
  <c r="BZ57" i="3"/>
  <c r="BO57" i="3"/>
  <c r="CT57" i="3"/>
  <c r="AG58" i="3"/>
  <c r="AK58" i="3"/>
  <c r="BC58" i="3"/>
  <c r="AO58" i="3"/>
  <c r="BJ57" i="3"/>
  <c r="CO57" i="3"/>
  <c r="AY58" i="3"/>
  <c r="DM57" i="3" l="1"/>
  <c r="CH57" i="3"/>
  <c r="BF58" i="3"/>
  <c r="DO58" i="3" s="1"/>
  <c r="BD58" i="3"/>
  <c r="CW58" i="3"/>
  <c r="BR58" i="3"/>
  <c r="CR58" i="3"/>
  <c r="BM58" i="3"/>
  <c r="DH58" i="3"/>
  <c r="CC58" i="3"/>
  <c r="DD58" i="3"/>
  <c r="BY58" i="3"/>
  <c r="DM58" i="3"/>
  <c r="CH58" i="3"/>
  <c r="BZ58" i="3"/>
  <c r="DE58" i="3"/>
  <c r="DI58" i="3"/>
  <c r="CD58" i="3"/>
  <c r="CM58" i="3"/>
  <c r="BH58" i="3"/>
  <c r="DA58" i="3"/>
  <c r="BV58" i="3"/>
  <c r="BP58" i="3"/>
  <c r="CU58" i="3"/>
  <c r="BO58" i="3"/>
  <c r="CT58" i="3"/>
  <c r="DP57" i="3"/>
  <c r="DQ57" i="3" s="1"/>
  <c r="BT58" i="3"/>
  <c r="CY58" i="3"/>
  <c r="DG58" i="3"/>
  <c r="CB58" i="3"/>
  <c r="BN58" i="3"/>
  <c r="CS58" i="3"/>
  <c r="CO58" i="3"/>
  <c r="BJ58" i="3"/>
  <c r="BQ58" i="3"/>
  <c r="CV58" i="3"/>
  <c r="CK57" i="3"/>
  <c r="CL57" i="3" s="1"/>
  <c r="CG58" i="3"/>
  <c r="DL58" i="3"/>
  <c r="CZ58" i="3"/>
  <c r="BU58" i="3"/>
  <c r="BX58" i="3"/>
  <c r="DC58" i="3"/>
  <c r="DF58" i="3"/>
  <c r="CA58" i="3"/>
  <c r="CQ58" i="3"/>
  <c r="BL58" i="3"/>
  <c r="CN58" i="3"/>
  <c r="BI58" i="3"/>
  <c r="CP58" i="3"/>
  <c r="BK58" i="3"/>
  <c r="DK58" i="3"/>
  <c r="CF58" i="3"/>
  <c r="DJ58" i="3"/>
  <c r="CE58" i="3"/>
  <c r="BS58" i="3"/>
  <c r="CX58" i="3"/>
  <c r="CI58" i="3"/>
  <c r="DN58" i="3"/>
  <c r="BW58" i="3"/>
  <c r="DB58" i="3"/>
  <c r="BG58" i="3" l="1"/>
  <c r="CJ58" i="3"/>
  <c r="CK58" i="3"/>
  <c r="DP58" i="3"/>
  <c r="DQ58" i="3" l="1"/>
  <c r="DQ70" i="3" s="1"/>
  <c r="C7" i="7" s="1"/>
  <c r="C41" i="7" s="1"/>
  <c r="DP70" i="3"/>
  <c r="CL58" i="3"/>
  <c r="CL70" i="3" s="1"/>
  <c r="B7" i="7" s="1"/>
  <c r="B41" i="7" s="1"/>
  <c r="CK70" i="3"/>
  <c r="J44" i="7" l="1"/>
  <c r="D42" i="7"/>
  <c r="G42" i="7"/>
  <c r="E42" i="7"/>
  <c r="H42" i="7"/>
  <c r="K44" i="7"/>
  <c r="L44" i="7" s="1"/>
  <c r="B45" i="7"/>
  <c r="B24" i="7"/>
  <c r="B23" i="7"/>
  <c r="B22" i="7"/>
  <c r="B21" i="7"/>
  <c r="C45" i="7"/>
  <c r="C23" i="7"/>
  <c r="C32" i="7" s="1"/>
  <c r="C22" i="7"/>
  <c r="C31" i="7" s="1"/>
  <c r="C24" i="7"/>
  <c r="C33" i="7" s="1"/>
  <c r="C21" i="7"/>
  <c r="C30" i="7" s="1"/>
  <c r="H45" i="7" l="1"/>
  <c r="E45" i="7"/>
  <c r="K45" i="7"/>
  <c r="G45" i="7"/>
  <c r="D45" i="7"/>
  <c r="J45" i="7"/>
  <c r="L45" i="7" l="1"/>
</calcChain>
</file>

<file path=xl/sharedStrings.xml><?xml version="1.0" encoding="utf-8"?>
<sst xmlns="http://schemas.openxmlformats.org/spreadsheetml/2006/main" count="979" uniqueCount="230">
  <si>
    <t>Name</t>
  </si>
  <si>
    <t>Description</t>
  </si>
  <si>
    <t>Value</t>
  </si>
  <si>
    <t>PREV_FEMALE</t>
  </si>
  <si>
    <t>Prevalence of female patients</t>
  </si>
  <si>
    <t>Age at BL</t>
  </si>
  <si>
    <t>BMI</t>
  </si>
  <si>
    <t>BMI at BL</t>
  </si>
  <si>
    <t>AGE_BL</t>
  </si>
  <si>
    <t>BMI_BL</t>
  </si>
  <si>
    <t>SBP_BL</t>
  </si>
  <si>
    <t>Systolic Blood Pressure at BL</t>
  </si>
  <si>
    <t>HbA1C</t>
  </si>
  <si>
    <t>HbA1C_BL</t>
  </si>
  <si>
    <t>Discounting Rate</t>
  </si>
  <si>
    <t>Time</t>
  </si>
  <si>
    <t>Healthy</t>
  </si>
  <si>
    <t>CVD</t>
  </si>
  <si>
    <t>DM</t>
  </si>
  <si>
    <t>CVD with DM</t>
  </si>
  <si>
    <t>Death</t>
  </si>
  <si>
    <t>r_</t>
  </si>
  <si>
    <t>Age</t>
  </si>
  <si>
    <t>All cause death probability for males</t>
  </si>
  <si>
    <t>All cause death probability for females</t>
  </si>
  <si>
    <t>Weighted all cause mortality</t>
  </si>
  <si>
    <t>CVD Probability</t>
  </si>
  <si>
    <t>SBP</t>
  </si>
  <si>
    <t>With Diabetes</t>
  </si>
  <si>
    <t>Without Diabetes</t>
  </si>
  <si>
    <t>CVD Risk Smoking Female w/out HT</t>
  </si>
  <si>
    <t>CVD Risk Smoking Female w HT</t>
  </si>
  <si>
    <t>CVD Risk Non-Smoking Female w/out HT</t>
  </si>
  <si>
    <t>CVD Risk Non-Smoking Female w HT</t>
  </si>
  <si>
    <t>CVD Risk Smoking Male w/out HT</t>
  </si>
  <si>
    <t>CVD Risk Smoking Male w HT</t>
  </si>
  <si>
    <t>CVD Risk Non-Smoking Male w/out HT</t>
  </si>
  <si>
    <t>CVD Risk Non-Smoking Male w HT</t>
  </si>
  <si>
    <t>PREV_HT</t>
  </si>
  <si>
    <t>Prevalence of diagnosed hypertension</t>
  </si>
  <si>
    <t>Prevalence of smoking</t>
  </si>
  <si>
    <t>PREV_SMOKE</t>
  </si>
  <si>
    <t>CVD Events Probabilities</t>
  </si>
  <si>
    <t>Probability of MI given CVD</t>
  </si>
  <si>
    <t>Probability of Stroke given CVD</t>
  </si>
  <si>
    <t>Probability of Other given CVD</t>
  </si>
  <si>
    <t>p_MI</t>
  </si>
  <si>
    <t>p_Stroke</t>
  </si>
  <si>
    <t>p_Other</t>
  </si>
  <si>
    <t>Acute MI Probabilities</t>
  </si>
  <si>
    <t>Probability of Mortality</t>
  </si>
  <si>
    <t>p_MI_mort</t>
  </si>
  <si>
    <t>p_MI_HF_young</t>
  </si>
  <si>
    <t>Probability of Developing HF, age 25-54</t>
  </si>
  <si>
    <t>p_MI_HF_mid</t>
  </si>
  <si>
    <t>Probability of Developing HF, age 55-74</t>
  </si>
  <si>
    <t>Probability of Developing HF, age 75-85</t>
  </si>
  <si>
    <t>p_MI_HF_old</t>
  </si>
  <si>
    <t>Probability of Recovery, age 25-54</t>
  </si>
  <si>
    <t>p_MI_rec_young</t>
  </si>
  <si>
    <t>p_MI_rec_mid</t>
  </si>
  <si>
    <t>p_MI_rec_old</t>
  </si>
  <si>
    <t>Probability of Recovery, age 75-85</t>
  </si>
  <si>
    <t>Probability of Recovery, age 55-74</t>
  </si>
  <si>
    <t>Acute Stroke Probabilities</t>
  </si>
  <si>
    <t>p_Stroke_mort</t>
  </si>
  <si>
    <t>Probability of Recovery</t>
  </si>
  <si>
    <t>p_Stroke_rec</t>
  </si>
  <si>
    <t>HF 1</t>
  </si>
  <si>
    <t>HF 2</t>
  </si>
  <si>
    <t>HF 2 with DM</t>
  </si>
  <si>
    <t>HF 1 with DM</t>
  </si>
  <si>
    <t>Relative Risks of Mortality</t>
  </si>
  <si>
    <t>Post MI</t>
  </si>
  <si>
    <t>rr_MI</t>
  </si>
  <si>
    <t>Post Stroke</t>
  </si>
  <si>
    <t>rr_Stroke</t>
  </si>
  <si>
    <t>Post Other CVD</t>
  </si>
  <si>
    <t>rr_Other</t>
  </si>
  <si>
    <t>Post HF</t>
  </si>
  <si>
    <t>rr_HF</t>
  </si>
  <si>
    <t>Post DM</t>
  </si>
  <si>
    <t>rr_DM</t>
  </si>
  <si>
    <t>Probability of Diabetes Onset</t>
  </si>
  <si>
    <t>Glycated hemoglobin percentage at BL (%)</t>
  </si>
  <si>
    <t>MI 1</t>
  </si>
  <si>
    <t>MI 2</t>
  </si>
  <si>
    <t>Stroke 1</t>
  </si>
  <si>
    <t>Stroke 2</t>
  </si>
  <si>
    <t>Stroke 1 &amp; MI 2</t>
  </si>
  <si>
    <t>Stroke 2 &amp; MI 2</t>
  </si>
  <si>
    <t>Stroke 1 with DM</t>
  </si>
  <si>
    <t>Stroke 2 with DM</t>
  </si>
  <si>
    <t>MI 1 with DM</t>
  </si>
  <si>
    <t>MI 2 with DM</t>
  </si>
  <si>
    <t>Stroke 1 &amp; MI 2 with DM</t>
  </si>
  <si>
    <t>Stroke 2 &amp; MI 1 with DM</t>
  </si>
  <si>
    <t>Stroke 2 &amp; MI  2 with DM</t>
  </si>
  <si>
    <t>Recurrent CVD Probabilities</t>
  </si>
  <si>
    <t>p_recur_Stroke</t>
  </si>
  <si>
    <t>Probability of Recurrent Stroke</t>
  </si>
  <si>
    <t>Probability of Reccurent MI in males</t>
  </si>
  <si>
    <t>Probability of Reccurent MI in females</t>
  </si>
  <si>
    <t>p_recur_MI_F</t>
  </si>
  <si>
    <t>p_recur_MI_M</t>
  </si>
  <si>
    <t>Stroke 2 &amp; MI 1</t>
  </si>
  <si>
    <t>MI to HF Probbilities</t>
  </si>
  <si>
    <t>Transition probability MI --&gt; HF, age 25-54</t>
  </si>
  <si>
    <t>Transition probability MI --&gt; HF, age 75-85</t>
  </si>
  <si>
    <t>Transition probability MI --&gt; HF, age 55-74</t>
  </si>
  <si>
    <t>p_toHF_young</t>
  </si>
  <si>
    <t>p_toHF_mid</t>
  </si>
  <si>
    <t>p_toHF_old</t>
  </si>
  <si>
    <t>Sanity Check</t>
  </si>
  <si>
    <t>Utility</t>
  </si>
  <si>
    <t>Total Undiscounted</t>
  </si>
  <si>
    <t>Total Discounted</t>
  </si>
  <si>
    <t>Stroke 1 &amp; HF 2</t>
  </si>
  <si>
    <t>Stroke 2 &amp; HF 1</t>
  </si>
  <si>
    <t>Stroke 2 &amp; HF 2</t>
  </si>
  <si>
    <t>Stroke 2 &amp; HF 1 with DM</t>
  </si>
  <si>
    <t>Stroke 1 &amp; HF 2 with DM</t>
  </si>
  <si>
    <t>Stroke 2 &amp; HF 2 with DM</t>
  </si>
  <si>
    <t>Costs</t>
  </si>
  <si>
    <t>Comorbidity Costs</t>
  </si>
  <si>
    <t>Cost Acute Stroke</t>
  </si>
  <si>
    <t xml:space="preserve">Cost Post Stroke </t>
  </si>
  <si>
    <t>Cost Acute MI</t>
  </si>
  <si>
    <t>Cost Post MI</t>
  </si>
  <si>
    <t>Cost HF First Year</t>
  </si>
  <si>
    <t xml:space="preserve">Cost Other CVD   </t>
  </si>
  <si>
    <t>Cost HF, Second Year or Later</t>
  </si>
  <si>
    <t>Cost DM</t>
  </si>
  <si>
    <t>c_DM</t>
  </si>
  <si>
    <t>c_Other</t>
  </si>
  <si>
    <t>c_Stroke1</t>
  </si>
  <si>
    <t>c_Stroke2</t>
  </si>
  <si>
    <t>c_MI1</t>
  </si>
  <si>
    <t>c_MI2</t>
  </si>
  <si>
    <t>c_HF1</t>
  </si>
  <si>
    <t>c_HF2</t>
  </si>
  <si>
    <t>Drug Costs</t>
  </si>
  <si>
    <t>Semaglutide</t>
  </si>
  <si>
    <t>c_SEM</t>
  </si>
  <si>
    <t>Liraglutide, First Year</t>
  </si>
  <si>
    <t>Liraglutide,  Year 2+</t>
  </si>
  <si>
    <t>c_LIR_1</t>
  </si>
  <si>
    <t>c_LIR_2</t>
  </si>
  <si>
    <t>Phentermine/ Topiramate, First Year</t>
  </si>
  <si>
    <t>Phentermine/ Topiramate, Year 2+</t>
  </si>
  <si>
    <t>Bupropion/ Naltrexone, First Year</t>
  </si>
  <si>
    <t>Bupropion/ Naltrexone,  Year 2+</t>
  </si>
  <si>
    <t>c_PT_1</t>
  </si>
  <si>
    <t>c_PT_2</t>
  </si>
  <si>
    <t>c_BN_1</t>
  </si>
  <si>
    <t>c_BN_2</t>
  </si>
  <si>
    <t>Baseline Chacteristics and Modeling Parameters</t>
  </si>
  <si>
    <t>Disutility per BMI gain</t>
  </si>
  <si>
    <t>dis_BMI</t>
  </si>
  <si>
    <t>Weight Reduction</t>
  </si>
  <si>
    <t>w_red_LSM</t>
  </si>
  <si>
    <t>Weight Reduction LSM</t>
  </si>
  <si>
    <t>Absolute Difference in % Weight Change, SEM vs. LSM</t>
  </si>
  <si>
    <t>w_red_SEM</t>
  </si>
  <si>
    <t>Absolute Difference in % Weight Change, LIR vs. LSM</t>
  </si>
  <si>
    <t>w_red_LIR</t>
  </si>
  <si>
    <t>Absolute Difference in % Weight Change, P/T vs. LSM</t>
  </si>
  <si>
    <t>w_red_PT</t>
  </si>
  <si>
    <t>Absolute Difference in % Weight Change, B/N vs. LSM</t>
  </si>
  <si>
    <t>w_red_BN</t>
  </si>
  <si>
    <t>Glycated Hemoglobin Percentage Change</t>
  </si>
  <si>
    <t>h_red_LSM</t>
  </si>
  <si>
    <t>h_red_SEM</t>
  </si>
  <si>
    <t>h_red_LIR</t>
  </si>
  <si>
    <t>h_red_PT</t>
  </si>
  <si>
    <t>h_red_BN</t>
  </si>
  <si>
    <t>Absolute Difference in HbA1C Change, SEM vs. LSM</t>
  </si>
  <si>
    <t>HbA1C Change LSM</t>
  </si>
  <si>
    <t>Absolute Difference in HbA1C Change, LIR vs. LSM</t>
  </si>
  <si>
    <t>Absolute Difference in HbA1C Change, P/T vs. LSM</t>
  </si>
  <si>
    <t>Absolute Difference in HbA1C Change, B/N vs. LSM</t>
  </si>
  <si>
    <t>Treatment Discontinuation Rates</t>
  </si>
  <si>
    <t>Treatment Discontinuation, SEM</t>
  </si>
  <si>
    <t>Treatment Discontinuation, LSM</t>
  </si>
  <si>
    <t>Treatment Discontinuation, LIR</t>
  </si>
  <si>
    <t>Treatment Discontinuation, P/T</t>
  </si>
  <si>
    <t>Treatment Discontinuation, B/N</t>
  </si>
  <si>
    <t>disc_LSM</t>
  </si>
  <si>
    <t>disc_SEM</t>
  </si>
  <si>
    <t>disc_LIR</t>
  </si>
  <si>
    <t>disc_PT</t>
  </si>
  <si>
    <t>disc_BN</t>
  </si>
  <si>
    <t>Total Utility from patients continuing treatment</t>
  </si>
  <si>
    <t>Total Utility from patients discontinuing treatment</t>
  </si>
  <si>
    <t>Total QALYs</t>
  </si>
  <si>
    <t>Total Costs from patients discontinuing treatment</t>
  </si>
  <si>
    <t>Total Costs from patients continuing treatment</t>
  </si>
  <si>
    <t>Total Costs</t>
  </si>
  <si>
    <t>Prevalence HT in Male</t>
  </si>
  <si>
    <t>Prevalence HT in Female</t>
  </si>
  <si>
    <t>Prevalence of HT by BMI and Sex</t>
  </si>
  <si>
    <t>Proportion of Male Patients with Hypertension, BMI &lt; 25</t>
  </si>
  <si>
    <t>Proportion of Male Patients with Hypertension, BMI 25 to 30</t>
  </si>
  <si>
    <t>Proportion of Male Patients with Hypertension, BMI &gt; 35</t>
  </si>
  <si>
    <t>HT_m_low</t>
  </si>
  <si>
    <t>HT_m_high</t>
  </si>
  <si>
    <t>HT_m_mod</t>
  </si>
  <si>
    <t>Proportion of Female Patients with Hypertension, BMI &lt; 25</t>
  </si>
  <si>
    <t>Proportion of Female Patients with Hypertension, BMI 25 to 30</t>
  </si>
  <si>
    <t>Proportion of Female Patients with Hypertension, BMI &gt; 35</t>
  </si>
  <si>
    <t>HT_f_low</t>
  </si>
  <si>
    <t>HT_f_mod</t>
  </si>
  <si>
    <t>HT_f_high</t>
  </si>
  <si>
    <t>Treatment</t>
  </si>
  <si>
    <t>Discounted QALYs</t>
  </si>
  <si>
    <t>Discounted Cost (USD)</t>
  </si>
  <si>
    <t>Discounted Base-case Results</t>
  </si>
  <si>
    <t>Discounted Incremental Results for the Base Case vs. Lifestyle Modification</t>
  </si>
  <si>
    <t xml:space="preserve">Liraglutide </t>
  </si>
  <si>
    <t>Bupropion/Naltrexone</t>
  </si>
  <si>
    <t>Lifestyle Modification</t>
  </si>
  <si>
    <t xml:space="preserve">Phentermine/Topiramate </t>
  </si>
  <si>
    <t>Incremental Cost-Effectiveness Ratios for the Base Case</t>
  </si>
  <si>
    <t>Comparator</t>
  </si>
  <si>
    <t>Cost per QALY gained</t>
  </si>
  <si>
    <t>Incremental QALYs</t>
  </si>
  <si>
    <t>Incremental Cost</t>
  </si>
  <si>
    <t>Notes</t>
  </si>
  <si>
    <t>ICER</t>
  </si>
  <si>
    <t>"Full" Incremental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</si>
</sst>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70" formatCode="&quot;$&quot;#,##0.00"/>
    <numFmt numFmtId="172" formatCode="&quot;$&quot;#,##0"/>
    <numFmt numFmtId="173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6" fontId="0" fillId="0" borderId="0" xfId="0" applyNumberFormat="1"/>
    <xf numFmtId="3" fontId="0" fillId="0" borderId="0" xfId="0" applyNumberFormat="1"/>
    <xf numFmtId="170" fontId="0" fillId="0" borderId="0" xfId="0" applyNumberFormat="1"/>
    <xf numFmtId="172" fontId="0" fillId="0" borderId="0" xfId="0" applyNumberFormat="1"/>
    <xf numFmtId="10" fontId="0" fillId="0" borderId="0" xfId="0" applyNumberFormat="1" applyFill="1" applyBorder="1"/>
    <xf numFmtId="10" fontId="0" fillId="0" borderId="0" xfId="0" applyNumberFormat="1"/>
    <xf numFmtId="9" fontId="0" fillId="0" borderId="0" xfId="0" applyNumberFormat="1"/>
    <xf numFmtId="2" fontId="0" fillId="0" borderId="0" xfId="0" applyNumberFormat="1" applyFill="1" applyBorder="1"/>
    <xf numFmtId="173" fontId="0" fillId="0" borderId="0" xfId="0" applyNumberForma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170" fontId="4" fillId="0" borderId="0" xfId="0" applyNumberFormat="1" applyFont="1"/>
    <xf numFmtId="0" fontId="1" fillId="0" borderId="0" xfId="0" applyFont="1" applyAlignment="1">
      <alignment wrapText="1"/>
    </xf>
    <xf numFmtId="2" fontId="4" fillId="0" borderId="0" xfId="0" applyNumberFormat="1" applyFont="1"/>
    <xf numFmtId="44" fontId="0" fillId="0" borderId="0" xfId="1" applyFont="1"/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Cost-Effectiveness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Base_Case!$C$2</c:f>
              <c:strCache>
                <c:ptCount val="1"/>
                <c:pt idx="0">
                  <c:v>Discounted Cost (USD)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SEM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CC-4A8F-B1F7-5200A80352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P/T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CC-4A8F-B1F7-5200A80352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CC-4A8F-B1F7-5200A8035250}"/>
                </c:ext>
              </c:extLst>
            </c:dLbl>
            <c:dLbl>
              <c:idx val="3"/>
              <c:layout>
                <c:manualLayout>
                  <c:x val="-4.3305555555555555E-2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B/N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CC-4A8F-B1F7-5200A8035250}"/>
                </c:ext>
              </c:extLst>
            </c:dLbl>
            <c:dLbl>
              <c:idx val="4"/>
              <c:layout>
                <c:manualLayout>
                  <c:x val="-4.2520997375328107E-2"/>
                  <c:y val="4.8645742198891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LSM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CC-4A8F-B1F7-5200A8035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Base_Case!$B$3:$B$7</c:f>
              <c:numCache>
                <c:formatCode>0.00</c:formatCode>
                <c:ptCount val="5"/>
                <c:pt idx="0">
                  <c:v>17.928691910740998</c:v>
                </c:pt>
                <c:pt idx="1">
                  <c:v>17.274874514939409</c:v>
                </c:pt>
                <c:pt idx="2">
                  <c:v>17.241579094434609</c:v>
                </c:pt>
                <c:pt idx="3">
                  <c:v>17.175952632769761</c:v>
                </c:pt>
                <c:pt idx="4">
                  <c:v>17.174366325981961</c:v>
                </c:pt>
              </c:numCache>
            </c:numRef>
          </c:xVal>
          <c:yVal>
            <c:numRef>
              <c:f>Base_Case!$C$3:$C$7</c:f>
              <c:numCache>
                <c:formatCode>"$"#,##0</c:formatCode>
                <c:ptCount val="5"/>
                <c:pt idx="0">
                  <c:v>361712.20502878056</c:v>
                </c:pt>
                <c:pt idx="1">
                  <c:v>160140.25183954576</c:v>
                </c:pt>
                <c:pt idx="2">
                  <c:v>342772.71669083007</c:v>
                </c:pt>
                <c:pt idx="3">
                  <c:v>182980.04671628756</c:v>
                </c:pt>
                <c:pt idx="4">
                  <c:v>156747.97442087246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A8F-B1F7-5200A80352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5231040"/>
        <c:axId val="1645228160"/>
      </c:scatterChart>
      <c:valAx>
        <c:axId val="16452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</a:t>
                </a:r>
                <a:r>
                  <a:rPr lang="en-US" baseline="0"/>
                  <a:t> QALYs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8160"/>
        <c:crosses val="autoZero"/>
        <c:crossBetween val="midCat"/>
      </c:valAx>
      <c:valAx>
        <c:axId val="16452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Cost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26670</xdr:rowOff>
    </xdr:from>
    <xdr:to>
      <xdr:col>11</xdr:col>
      <xdr:colOff>304800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BA076-AF2C-1220-C5CB-978BDEDA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opLeftCell="A53" workbookViewId="0">
      <selection activeCell="C72" sqref="C72"/>
    </sheetView>
  </sheetViews>
  <sheetFormatPr defaultRowHeight="14.4" x14ac:dyDescent="0.3"/>
  <cols>
    <col min="1" max="1" width="47.88671875" bestFit="1" customWidth="1"/>
    <col min="2" max="2" width="14.33203125" bestFit="1" customWidth="1"/>
    <col min="3" max="3" width="12.6640625" customWidth="1"/>
  </cols>
  <sheetData>
    <row r="1" spans="1:3" ht="18" x14ac:dyDescent="0.35">
      <c r="A1" s="5" t="s">
        <v>156</v>
      </c>
      <c r="B1" s="5"/>
      <c r="C1" s="5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t="s">
        <v>4</v>
      </c>
      <c r="B3" t="s">
        <v>3</v>
      </c>
      <c r="C3">
        <v>0.8</v>
      </c>
    </row>
    <row r="4" spans="1:3" x14ac:dyDescent="0.3">
      <c r="A4" t="s">
        <v>39</v>
      </c>
      <c r="B4" t="s">
        <v>38</v>
      </c>
      <c r="C4">
        <v>0.35</v>
      </c>
    </row>
    <row r="5" spans="1:3" x14ac:dyDescent="0.3">
      <c r="A5" t="s">
        <v>40</v>
      </c>
      <c r="B5" t="s">
        <v>41</v>
      </c>
      <c r="C5">
        <v>0.125</v>
      </c>
    </row>
    <row r="6" spans="1:3" x14ac:dyDescent="0.3">
      <c r="A6" t="s">
        <v>5</v>
      </c>
      <c r="B6" t="s">
        <v>8</v>
      </c>
      <c r="C6">
        <v>45</v>
      </c>
    </row>
    <row r="7" spans="1:3" x14ac:dyDescent="0.3">
      <c r="A7" t="s">
        <v>7</v>
      </c>
      <c r="B7" t="s">
        <v>9</v>
      </c>
      <c r="C7">
        <v>38</v>
      </c>
    </row>
    <row r="8" spans="1:3" x14ac:dyDescent="0.3">
      <c r="A8" t="s">
        <v>11</v>
      </c>
      <c r="B8" t="s">
        <v>10</v>
      </c>
      <c r="C8">
        <v>125</v>
      </c>
    </row>
    <row r="9" spans="1:3" x14ac:dyDescent="0.3">
      <c r="A9" t="s">
        <v>84</v>
      </c>
      <c r="B9" t="s">
        <v>13</v>
      </c>
      <c r="C9" s="3">
        <v>5.7</v>
      </c>
    </row>
    <row r="10" spans="1:3" x14ac:dyDescent="0.3">
      <c r="A10" t="s">
        <v>14</v>
      </c>
      <c r="B10" t="s">
        <v>21</v>
      </c>
      <c r="C10">
        <v>0.03</v>
      </c>
    </row>
    <row r="11" spans="1:3" x14ac:dyDescent="0.3">
      <c r="A11" t="s">
        <v>157</v>
      </c>
      <c r="B11" t="s">
        <v>158</v>
      </c>
      <c r="C11">
        <v>3.3E-3</v>
      </c>
    </row>
    <row r="13" spans="1:3" ht="18" x14ac:dyDescent="0.35">
      <c r="A13" s="5" t="s">
        <v>42</v>
      </c>
      <c r="B13" s="5"/>
      <c r="C13" s="5"/>
    </row>
    <row r="14" spans="1:3" x14ac:dyDescent="0.3">
      <c r="A14" t="s">
        <v>43</v>
      </c>
      <c r="B14" t="s">
        <v>46</v>
      </c>
      <c r="C14">
        <v>0.22</v>
      </c>
    </row>
    <row r="15" spans="1:3" x14ac:dyDescent="0.3">
      <c r="A15" t="s">
        <v>44</v>
      </c>
      <c r="B15" t="s">
        <v>47</v>
      </c>
      <c r="C15">
        <v>0.23</v>
      </c>
    </row>
    <row r="16" spans="1:3" x14ac:dyDescent="0.3">
      <c r="A16" t="s">
        <v>45</v>
      </c>
      <c r="B16" t="s">
        <v>48</v>
      </c>
      <c r="C16">
        <f>1-C14-C15</f>
        <v>0.55000000000000004</v>
      </c>
    </row>
    <row r="18" spans="1:3" ht="18" x14ac:dyDescent="0.35">
      <c r="A18" s="5" t="s">
        <v>49</v>
      </c>
      <c r="B18" s="5"/>
      <c r="C18" s="5"/>
    </row>
    <row r="19" spans="1:3" x14ac:dyDescent="0.3">
      <c r="A19" t="s">
        <v>50</v>
      </c>
      <c r="B19" t="s">
        <v>51</v>
      </c>
      <c r="C19">
        <v>0.08</v>
      </c>
    </row>
    <row r="20" spans="1:3" x14ac:dyDescent="0.3">
      <c r="A20" t="s">
        <v>53</v>
      </c>
      <c r="B20" t="s">
        <v>52</v>
      </c>
      <c r="C20">
        <v>9.9400000000000002E-2</v>
      </c>
    </row>
    <row r="21" spans="1:3" x14ac:dyDescent="0.3">
      <c r="A21" t="s">
        <v>55</v>
      </c>
      <c r="B21" t="s">
        <v>54</v>
      </c>
      <c r="C21">
        <v>0.1648</v>
      </c>
    </row>
    <row r="22" spans="1:3" x14ac:dyDescent="0.3">
      <c r="A22" t="s">
        <v>56</v>
      </c>
      <c r="B22" t="s">
        <v>57</v>
      </c>
      <c r="C22">
        <v>0.26800000000000002</v>
      </c>
    </row>
    <row r="23" spans="1:3" x14ac:dyDescent="0.3">
      <c r="A23" t="s">
        <v>58</v>
      </c>
      <c r="B23" t="s">
        <v>59</v>
      </c>
      <c r="C23">
        <f>1-C20-C$19</f>
        <v>0.8206</v>
      </c>
    </row>
    <row r="24" spans="1:3" x14ac:dyDescent="0.3">
      <c r="A24" t="s">
        <v>63</v>
      </c>
      <c r="B24" t="s">
        <v>60</v>
      </c>
      <c r="C24">
        <f>1-C21-C$19</f>
        <v>0.75519999999999998</v>
      </c>
    </row>
    <row r="25" spans="1:3" x14ac:dyDescent="0.3">
      <c r="A25" t="s">
        <v>62</v>
      </c>
      <c r="B25" t="s">
        <v>61</v>
      </c>
      <c r="C25">
        <f>1-C22-C$19</f>
        <v>0.65200000000000002</v>
      </c>
    </row>
    <row r="27" spans="1:3" ht="18" x14ac:dyDescent="0.35">
      <c r="A27" s="5" t="s">
        <v>64</v>
      </c>
      <c r="B27" s="5"/>
      <c r="C27" s="5"/>
    </row>
    <row r="28" spans="1:3" x14ac:dyDescent="0.3">
      <c r="A28" t="s">
        <v>50</v>
      </c>
      <c r="B28" t="s">
        <v>65</v>
      </c>
      <c r="C28">
        <v>0.08</v>
      </c>
    </row>
    <row r="29" spans="1:3" x14ac:dyDescent="0.3">
      <c r="A29" t="s">
        <v>66</v>
      </c>
      <c r="B29" t="s">
        <v>67</v>
      </c>
      <c r="C29">
        <f>1-C28</f>
        <v>0.92</v>
      </c>
    </row>
    <row r="31" spans="1:3" ht="18" x14ac:dyDescent="0.35">
      <c r="A31" s="5" t="s">
        <v>72</v>
      </c>
      <c r="B31" s="5"/>
      <c r="C31" s="5"/>
    </row>
    <row r="32" spans="1:3" x14ac:dyDescent="0.3">
      <c r="A32" t="s">
        <v>73</v>
      </c>
      <c r="B32" t="s">
        <v>74</v>
      </c>
      <c r="C32">
        <v>1.58</v>
      </c>
    </row>
    <row r="33" spans="1:3" x14ac:dyDescent="0.3">
      <c r="A33" t="s">
        <v>75</v>
      </c>
      <c r="B33" t="s">
        <v>76</v>
      </c>
      <c r="C33">
        <v>3.13</v>
      </c>
    </row>
    <row r="34" spans="1:3" x14ac:dyDescent="0.3">
      <c r="A34" t="s">
        <v>77</v>
      </c>
      <c r="B34" t="s">
        <v>78</v>
      </c>
      <c r="C34">
        <v>1.9</v>
      </c>
    </row>
    <row r="35" spans="1:3" x14ac:dyDescent="0.3">
      <c r="A35" t="s">
        <v>79</v>
      </c>
      <c r="B35" t="s">
        <v>80</v>
      </c>
      <c r="C35">
        <v>1.82</v>
      </c>
    </row>
    <row r="36" spans="1:3" x14ac:dyDescent="0.3">
      <c r="A36" t="s">
        <v>81</v>
      </c>
      <c r="B36" t="s">
        <v>82</v>
      </c>
      <c r="C36">
        <v>1.1499999999999999</v>
      </c>
    </row>
    <row r="38" spans="1:3" ht="18" x14ac:dyDescent="0.35">
      <c r="A38" s="5" t="s">
        <v>98</v>
      </c>
      <c r="B38" s="5"/>
      <c r="C38" s="5"/>
    </row>
    <row r="39" spans="1:3" x14ac:dyDescent="0.3">
      <c r="A39" t="s">
        <v>100</v>
      </c>
      <c r="B39" t="s">
        <v>99</v>
      </c>
      <c r="C39">
        <v>0.12</v>
      </c>
    </row>
    <row r="40" spans="1:3" x14ac:dyDescent="0.3">
      <c r="A40" t="s">
        <v>102</v>
      </c>
      <c r="B40" t="s">
        <v>103</v>
      </c>
      <c r="C40">
        <v>7.2300000000000003E-2</v>
      </c>
    </row>
    <row r="41" spans="1:3" x14ac:dyDescent="0.3">
      <c r="A41" t="s">
        <v>101</v>
      </c>
      <c r="B41" t="s">
        <v>104</v>
      </c>
      <c r="C41">
        <v>8.1299999999999997E-2</v>
      </c>
    </row>
    <row r="43" spans="1:3" ht="18" x14ac:dyDescent="0.35">
      <c r="A43" s="5" t="s">
        <v>106</v>
      </c>
      <c r="B43" s="5"/>
      <c r="C43" s="5"/>
    </row>
    <row r="44" spans="1:3" x14ac:dyDescent="0.3">
      <c r="A44" t="s">
        <v>107</v>
      </c>
      <c r="B44" t="s">
        <v>110</v>
      </c>
      <c r="C44">
        <v>1.2E-2</v>
      </c>
    </row>
    <row r="45" spans="1:3" x14ac:dyDescent="0.3">
      <c r="A45" t="s">
        <v>109</v>
      </c>
      <c r="B45" t="s">
        <v>111</v>
      </c>
      <c r="C45">
        <v>3.1E-2</v>
      </c>
    </row>
    <row r="46" spans="1:3" x14ac:dyDescent="0.3">
      <c r="A46" t="s">
        <v>108</v>
      </c>
      <c r="B46" t="s">
        <v>112</v>
      </c>
      <c r="C46">
        <v>0.08</v>
      </c>
    </row>
    <row r="48" spans="1:3" ht="18" x14ac:dyDescent="0.35">
      <c r="A48" s="5" t="s">
        <v>124</v>
      </c>
      <c r="B48" s="5"/>
      <c r="C48" s="5"/>
    </row>
    <row r="49" spans="1:4" x14ac:dyDescent="0.3">
      <c r="A49" t="s">
        <v>130</v>
      </c>
      <c r="B49" t="s">
        <v>134</v>
      </c>
      <c r="C49" s="9">
        <v>14279</v>
      </c>
    </row>
    <row r="50" spans="1:4" x14ac:dyDescent="0.3">
      <c r="A50" t="s">
        <v>125</v>
      </c>
      <c r="B50" t="s">
        <v>135</v>
      </c>
      <c r="C50" s="9">
        <v>17316</v>
      </c>
    </row>
    <row r="51" spans="1:4" x14ac:dyDescent="0.3">
      <c r="A51" t="s">
        <v>126</v>
      </c>
      <c r="B51" t="s">
        <v>136</v>
      </c>
      <c r="C51" s="9">
        <v>6500</v>
      </c>
    </row>
    <row r="52" spans="1:4" x14ac:dyDescent="0.3">
      <c r="A52" t="s">
        <v>127</v>
      </c>
      <c r="B52" t="s">
        <v>137</v>
      </c>
      <c r="C52" s="9">
        <v>26034</v>
      </c>
    </row>
    <row r="53" spans="1:4" x14ac:dyDescent="0.3">
      <c r="A53" t="s">
        <v>128</v>
      </c>
      <c r="B53" t="s">
        <v>138</v>
      </c>
      <c r="C53" s="9">
        <v>3117</v>
      </c>
    </row>
    <row r="54" spans="1:4" x14ac:dyDescent="0.3">
      <c r="A54" t="s">
        <v>129</v>
      </c>
      <c r="B54" t="s">
        <v>139</v>
      </c>
      <c r="C54" s="9">
        <v>27030</v>
      </c>
    </row>
    <row r="55" spans="1:4" x14ac:dyDescent="0.3">
      <c r="A55" t="s">
        <v>131</v>
      </c>
      <c r="B55" t="s">
        <v>140</v>
      </c>
      <c r="C55" s="9">
        <v>15605</v>
      </c>
    </row>
    <row r="56" spans="1:4" x14ac:dyDescent="0.3">
      <c r="A56" t="s">
        <v>132</v>
      </c>
      <c r="B56" t="s">
        <v>133</v>
      </c>
      <c r="C56" s="9">
        <v>11425</v>
      </c>
    </row>
    <row r="58" spans="1:4" ht="18" x14ac:dyDescent="0.35">
      <c r="A58" s="5" t="s">
        <v>141</v>
      </c>
      <c r="B58" s="5"/>
      <c r="C58" s="5"/>
    </row>
    <row r="59" spans="1:4" x14ac:dyDescent="0.3">
      <c r="A59" t="s">
        <v>142</v>
      </c>
      <c r="B59" t="s">
        <v>143</v>
      </c>
      <c r="C59" s="9">
        <v>13618</v>
      </c>
    </row>
    <row r="60" spans="1:4" x14ac:dyDescent="0.3">
      <c r="A60" t="s">
        <v>144</v>
      </c>
      <c r="B60" t="s">
        <v>146</v>
      </c>
      <c r="C60" s="12">
        <v>11309</v>
      </c>
      <c r="D60" s="10"/>
    </row>
    <row r="61" spans="1:4" x14ac:dyDescent="0.3">
      <c r="A61" t="s">
        <v>145</v>
      </c>
      <c r="B61" t="s">
        <v>147</v>
      </c>
      <c r="C61" s="12">
        <v>11760</v>
      </c>
      <c r="D61" s="10"/>
    </row>
    <row r="62" spans="1:4" x14ac:dyDescent="0.3">
      <c r="A62" t="s">
        <v>148</v>
      </c>
      <c r="B62" t="s">
        <v>152</v>
      </c>
      <c r="C62" s="12">
        <v>1355</v>
      </c>
      <c r="D62" s="10"/>
    </row>
    <row r="63" spans="1:4" x14ac:dyDescent="0.3">
      <c r="A63" t="s">
        <v>149</v>
      </c>
      <c r="B63" t="s">
        <v>153</v>
      </c>
      <c r="C63" s="12">
        <v>1465</v>
      </c>
      <c r="D63" s="10"/>
    </row>
    <row r="64" spans="1:4" x14ac:dyDescent="0.3">
      <c r="A64" t="s">
        <v>150</v>
      </c>
      <c r="B64" t="s">
        <v>154</v>
      </c>
      <c r="C64" s="12">
        <v>2034</v>
      </c>
    </row>
    <row r="65" spans="1:3" x14ac:dyDescent="0.3">
      <c r="A65" t="s">
        <v>151</v>
      </c>
      <c r="B65" t="s">
        <v>155</v>
      </c>
      <c r="C65" s="12">
        <v>2095</v>
      </c>
    </row>
    <row r="67" spans="1:3" ht="18" x14ac:dyDescent="0.35">
      <c r="A67" s="5" t="s">
        <v>159</v>
      </c>
      <c r="B67" s="5"/>
      <c r="C67" s="5"/>
    </row>
    <row r="68" spans="1:3" x14ac:dyDescent="0.3">
      <c r="A68" t="s">
        <v>161</v>
      </c>
      <c r="B68" t="s">
        <v>160</v>
      </c>
      <c r="C68" s="13">
        <v>0</v>
      </c>
    </row>
    <row r="69" spans="1:3" x14ac:dyDescent="0.3">
      <c r="A69" t="s">
        <v>162</v>
      </c>
      <c r="B69" t="s">
        <v>163</v>
      </c>
      <c r="C69" s="14">
        <v>-0.13700000000000001</v>
      </c>
    </row>
    <row r="70" spans="1:3" x14ac:dyDescent="0.3">
      <c r="A70" t="s">
        <v>164</v>
      </c>
      <c r="B70" t="s">
        <v>165</v>
      </c>
      <c r="C70" s="15">
        <v>-0.05</v>
      </c>
    </row>
    <row r="71" spans="1:3" x14ac:dyDescent="0.3">
      <c r="A71" t="s">
        <v>166</v>
      </c>
      <c r="B71" t="s">
        <v>167</v>
      </c>
      <c r="C71" s="14">
        <v>-9.0999999999999998E-2</v>
      </c>
    </row>
    <row r="72" spans="1:3" x14ac:dyDescent="0.3">
      <c r="A72" t="s">
        <v>168</v>
      </c>
      <c r="B72" t="s">
        <v>169</v>
      </c>
      <c r="C72" s="14">
        <v>-4.5999999999999999E-2</v>
      </c>
    </row>
    <row r="74" spans="1:3" ht="18" x14ac:dyDescent="0.35">
      <c r="A74" s="5" t="s">
        <v>170</v>
      </c>
      <c r="B74" s="5"/>
      <c r="C74" s="5"/>
    </row>
    <row r="75" spans="1:3" x14ac:dyDescent="0.3">
      <c r="A75" t="s">
        <v>177</v>
      </c>
      <c r="B75" t="s">
        <v>171</v>
      </c>
      <c r="C75" s="16">
        <v>0</v>
      </c>
    </row>
    <row r="76" spans="1:3" x14ac:dyDescent="0.3">
      <c r="A76" t="s">
        <v>176</v>
      </c>
      <c r="B76" t="s">
        <v>172</v>
      </c>
      <c r="C76" s="3">
        <v>-0.3</v>
      </c>
    </row>
    <row r="77" spans="1:3" x14ac:dyDescent="0.3">
      <c r="A77" t="s">
        <v>178</v>
      </c>
      <c r="B77" t="s">
        <v>173</v>
      </c>
      <c r="C77" s="3">
        <v>-0.2</v>
      </c>
    </row>
    <row r="78" spans="1:3" x14ac:dyDescent="0.3">
      <c r="A78" t="s">
        <v>179</v>
      </c>
      <c r="B78" t="s">
        <v>174</v>
      </c>
      <c r="C78" s="3">
        <v>0</v>
      </c>
    </row>
    <row r="79" spans="1:3" x14ac:dyDescent="0.3">
      <c r="A79" t="s">
        <v>180</v>
      </c>
      <c r="B79" t="s">
        <v>175</v>
      </c>
      <c r="C79" s="3">
        <v>0</v>
      </c>
    </row>
    <row r="80" spans="1:3" x14ac:dyDescent="0.3">
      <c r="C80" s="3"/>
    </row>
    <row r="81" spans="1:3" ht="18" x14ac:dyDescent="0.35">
      <c r="A81" s="5" t="s">
        <v>181</v>
      </c>
      <c r="B81" s="5"/>
      <c r="C81" s="5"/>
    </row>
    <row r="82" spans="1:3" x14ac:dyDescent="0.3">
      <c r="A82" t="s">
        <v>183</v>
      </c>
      <c r="B82" t="s">
        <v>187</v>
      </c>
      <c r="C82" s="17">
        <v>2.5000000000000001E-2</v>
      </c>
    </row>
    <row r="83" spans="1:3" x14ac:dyDescent="0.3">
      <c r="A83" t="s">
        <v>182</v>
      </c>
      <c r="B83" t="s">
        <v>188</v>
      </c>
      <c r="C83">
        <v>4.2000000000000003E-2</v>
      </c>
    </row>
    <row r="84" spans="1:3" x14ac:dyDescent="0.3">
      <c r="A84" t="s">
        <v>184</v>
      </c>
      <c r="B84" t="s">
        <v>189</v>
      </c>
      <c r="C84">
        <v>5.8000000000000003E-2</v>
      </c>
    </row>
    <row r="85" spans="1:3" x14ac:dyDescent="0.3">
      <c r="A85" t="s">
        <v>185</v>
      </c>
      <c r="B85" t="s">
        <v>190</v>
      </c>
      <c r="C85">
        <v>5.8000000000000003E-2</v>
      </c>
    </row>
    <row r="86" spans="1:3" x14ac:dyDescent="0.3">
      <c r="A86" t="s">
        <v>186</v>
      </c>
      <c r="B86" t="s">
        <v>191</v>
      </c>
      <c r="C86">
        <v>5.2999999999999999E-2</v>
      </c>
    </row>
    <row r="88" spans="1:3" ht="18" x14ac:dyDescent="0.35">
      <c r="A88" s="5" t="s">
        <v>200</v>
      </c>
      <c r="B88" s="5"/>
      <c r="C88" s="5"/>
    </row>
    <row r="89" spans="1:3" x14ac:dyDescent="0.3">
      <c r="A89" t="s">
        <v>201</v>
      </c>
      <c r="B89" t="s">
        <v>204</v>
      </c>
      <c r="C89">
        <v>0.14000000000000001</v>
      </c>
    </row>
    <row r="90" spans="1:3" x14ac:dyDescent="0.3">
      <c r="A90" t="s">
        <v>202</v>
      </c>
      <c r="B90" t="s">
        <v>206</v>
      </c>
      <c r="C90">
        <v>0.26800000000000002</v>
      </c>
    </row>
    <row r="91" spans="1:3" x14ac:dyDescent="0.3">
      <c r="A91" t="s">
        <v>203</v>
      </c>
      <c r="B91" t="s">
        <v>205</v>
      </c>
      <c r="C91">
        <v>0.43099999999999999</v>
      </c>
    </row>
    <row r="92" spans="1:3" x14ac:dyDescent="0.3">
      <c r="A92" t="s">
        <v>207</v>
      </c>
      <c r="B92" t="s">
        <v>210</v>
      </c>
      <c r="C92">
        <v>0.16400000000000001</v>
      </c>
    </row>
    <row r="93" spans="1:3" x14ac:dyDescent="0.3">
      <c r="A93" t="s">
        <v>208</v>
      </c>
      <c r="B93" t="s">
        <v>211</v>
      </c>
      <c r="C93">
        <v>0.29199999999999998</v>
      </c>
    </row>
    <row r="94" spans="1:3" x14ac:dyDescent="0.3">
      <c r="A94" t="s">
        <v>209</v>
      </c>
      <c r="B94" t="s">
        <v>212</v>
      </c>
      <c r="C94">
        <v>0.42</v>
      </c>
    </row>
  </sheetData>
  <mergeCells count="13">
    <mergeCell ref="A88:C88"/>
    <mergeCell ref="A48:C48"/>
    <mergeCell ref="A58:C58"/>
    <mergeCell ref="A67:C67"/>
    <mergeCell ref="A74:C74"/>
    <mergeCell ref="A81:C81"/>
    <mergeCell ref="A43:C43"/>
    <mergeCell ref="A1:C1"/>
    <mergeCell ref="A13:C13"/>
    <mergeCell ref="A18:C18"/>
    <mergeCell ref="A27:C27"/>
    <mergeCell ref="A31:C31"/>
    <mergeCell ref="A38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A265-A6B7-4B02-937A-C87C4D323BCD}">
  <dimension ref="A1:DQ68"/>
  <sheetViews>
    <sheetView topLeftCell="CK39" workbookViewId="0">
      <selection activeCell="CK69" sqref="CK69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66" si="0">BMI_BL</f>
        <v>38</v>
      </c>
      <c r="D3">
        <f t="shared" ref="D3:D66" si="1">SBP_BL</f>
        <v>125</v>
      </c>
      <c r="E3">
        <f t="shared" ref="E3:E66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1</v>
      </c>
      <c r="BH3">
        <f>(0.9442 - 0.0007*$B3 - dis_BMI*($C3-21.75))*AD3</f>
        <v>0.85907500000000003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0.85907500000000003</v>
      </c>
      <c r="CL3">
        <f>CK3/(1+r_)^A3</f>
        <v>0.85907500000000003</v>
      </c>
      <c r="CM3">
        <f>AD3*0</f>
        <v>0</v>
      </c>
      <c r="CN3">
        <f>AE3*c_Other</f>
        <v>0</v>
      </c>
      <c r="CO3">
        <f>AF3*(c_Stroke1+c_Stroke2)</f>
        <v>0</v>
      </c>
      <c r="CP3">
        <f>AG3*c_Stroke2</f>
        <v>0</v>
      </c>
      <c r="CQ3">
        <f>AH3*(c_MI1+c_MI2)</f>
        <v>0</v>
      </c>
      <c r="CR3">
        <f>AI3*c_MI2</f>
        <v>0</v>
      </c>
      <c r="CS3">
        <f>AJ3*(c_Stroke1+c_Stroke2+c_MI2)</f>
        <v>0</v>
      </c>
      <c r="CT3">
        <f>AK3*(c_Stroke2+c_MI1+c_MI2)</f>
        <v>0</v>
      </c>
      <c r="CU3">
        <f>AL3*(c_Stroke2+c_MI2)</f>
        <v>0</v>
      </c>
      <c r="CV3">
        <f>AM3*(c_HF1)</f>
        <v>0</v>
      </c>
      <c r="CW3">
        <f>AN3*(c_HF2)</f>
        <v>0</v>
      </c>
      <c r="CX3">
        <f>AO3*(c_Stroke2+c_HF1)</f>
        <v>0</v>
      </c>
      <c r="CY3">
        <f>AP3*(c_Stroke1+c_Stroke2+c_HF2)</f>
        <v>0</v>
      </c>
      <c r="CZ3">
        <f>AQ3*(c_Stroke2+c_HF2)</f>
        <v>0</v>
      </c>
      <c r="DA3">
        <f>AR3*c_DM</f>
        <v>0</v>
      </c>
      <c r="DB3">
        <f>AS3*(c_Other+c_DM)</f>
        <v>0</v>
      </c>
      <c r="DC3">
        <f>AT3*(c_Stroke1+c_Stroke2+c_DM)</f>
        <v>0</v>
      </c>
      <c r="DD3">
        <f>AU3*(c_Stroke2+c_DM)</f>
        <v>0</v>
      </c>
      <c r="DE3">
        <f>AV3*(c_MI1+c_MI2+c_DM)</f>
        <v>0</v>
      </c>
      <c r="DF3">
        <f>AW3*(c_MI2+c_DM)</f>
        <v>0</v>
      </c>
      <c r="DG3">
        <f>AX3*(c_Stroke1+c_Stroke2+c_MI2+c_DM)</f>
        <v>0</v>
      </c>
      <c r="DH3">
        <f>AY3*(c_Stroke2+c_MI1+c_MI2+c_DM)</f>
        <v>0</v>
      </c>
      <c r="DI3">
        <f>AZ3*(c_Stroke2+c_MI2+c_DM)</f>
        <v>0</v>
      </c>
      <c r="DJ3">
        <f>BA3*(c_HF1+c_DM)</f>
        <v>0</v>
      </c>
      <c r="DK3">
        <f>BB3*(c_HF2+c_DM)</f>
        <v>0</v>
      </c>
      <c r="DL3">
        <f>BC3*(c_Stroke2+c_HF1+c_DM)</f>
        <v>0</v>
      </c>
      <c r="DM3">
        <f>BD3*(c_Stroke1+c_Stroke2+c_HF2+c_DM)</f>
        <v>0</v>
      </c>
      <c r="DN3">
        <f>BE3*(c_Stroke2+c_HF2+c_DM)</f>
        <v>0</v>
      </c>
      <c r="DO3">
        <f>BF3*0</f>
        <v>0</v>
      </c>
      <c r="DP3">
        <f>SUM(CM3:DO3)</f>
        <v>0</v>
      </c>
      <c r="DQ3">
        <f>DP3/(1+r_)^A3</f>
        <v>0</v>
      </c>
    </row>
    <row r="4" spans="1:121" x14ac:dyDescent="0.3">
      <c r="A4">
        <v>1</v>
      </c>
      <c r="B4">
        <v>46</v>
      </c>
      <c r="C4">
        <f t="shared" si="0"/>
        <v>38</v>
      </c>
      <c r="D4">
        <f t="shared" si="1"/>
        <v>125</v>
      </c>
      <c r="E4"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>1 - 0.94833 ^ (EXP(2.72107*(LN($B4)-3.8686) + 0.51125*(LN($C4)-LN(21.75)) + 2.81291*(LN($D4)*(1-0) - 4.24) + 2.88267*(LN($D4)*0 - 0.5826) + 0.61868*(1-0.3423) + 0.77763*(0-0.0376)))</f>
        <v>8.6159915750376737E-2</v>
      </c>
      <c r="K4">
        <f>1 - 0.94833 ^ (EXP(2.72107*(LN($B4)-3.8686) + 0.51125*(LN($C4)-LN(21.75)) + 2.81291*(LN($D4)*(1-1) - 4.24) + 2.88267*(LN($D4)*1 - 0.5826) + 0.61868*(1-0.3423) + 0.77763*(0-0.0376)))</f>
        <v>0.11854720856986189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6.8200444906459275E-3</v>
      </c>
      <c r="U4">
        <f>1 - 0.94833 ^ (EXP(2.72107*(LN($B4)-3.8686) + 0.51125*(LN($C4)-LN(21.75)) + 2.81291*(LN($D4)*(1-0) - 4.24) + 2.88267*(LN($D4)*0 - 0.5826) + 0.61868*(1-0.3423) + 0.77763*(1-0.0376)))</f>
        <v>0.17805738097297552</v>
      </c>
      <c r="V4">
        <f>1 - 0.94833 ^ (EXP(2.72107*(LN($B4)-3.8686) + 0.51125*(LN($C4)-LN(21.75)) + 2.81291*(LN($D4)*(1-1) - 4.24) + 2.88267*(LN($D4)*1 - 0.5826) + 0.61868*(1-0.3423) + 0.77763*(1-0.0376)))</f>
        <v>0.24013532721508557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1.309529571655314E-2</v>
      </c>
      <c r="AD4">
        <f>AD3*(1-T3-H3)*(1-I3)</f>
        <v>0.93507117356817948</v>
      </c>
      <c r="AE4">
        <f t="shared" ref="AE4:AE44" si="5">AD3*T3*p_Other*(1-I3) + AE3*(1-T3*(1-p_Other)-H3*rr_Other)*(1-I3)</f>
        <v>3.2514546310287492E-3</v>
      </c>
      <c r="AF4">
        <f t="shared" ref="AF4:AF44" si="6">AD3*T3*p_Stroke*p_Stroke_rec*(1-I3)+AE3*T3*p_Stroke*p_Stroke_rec*(1-I3) + AF3*p_recur_Stroke*p_Stroke_rec*(1-I3) + AG3*p_recur_Stroke*p_Stroke_rec*(1-I3)</f>
        <v>1.2509232725921515E-3</v>
      </c>
      <c r="AG4">
        <f t="shared" ref="AG4:AG44" si="7">AF3*(1-p_recur_Stroke-T3*p_MI-H3*rr_Stroke)*(1-I3) + AG3*(1-p_recur_Stroke-T3*p_MI-H3*rr_Stroke)*(1-I3)</f>
        <v>0</v>
      </c>
      <c r="AH4">
        <f t="shared" ref="AH4:AH44" si="8">AD3*T3*p_MI*p_MI_rec_young*(1-I3)+AE3*T3*p_MI*p_MI_rec_young*(1-I3) + AH3*(PREV_FEMALE*p_recur_MI_F + (1-PREV_FEMALE)*p_recur_MI_M)*p_MI_rec_young*(1-I3) + AI3*(PREV_FEMALE*p_recur_MI_F + (1-PREV_FEMALE)*p_recur_MI_M)*p_MI_rec_young*(1-I3)</f>
        <v>1.0672574680888765E-3</v>
      </c>
      <c r="AI4">
        <f t="shared" ref="AI4:AI44" si="9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0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1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2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3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1.2927783612970309E-4</v>
      </c>
      <c r="AN4">
        <f t="shared" ref="AN4:AN44" si="14">AM3*(1-T3*p_Stroke - H3*rr_HF)*(1-I3) + AN3*(1-T3*p_Stroke-H3*rr_HF)*(1-I3)</f>
        <v>0</v>
      </c>
      <c r="AO4">
        <f t="shared" ref="AO4:AO44" si="15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5.6370702154541659E-2</v>
      </c>
      <c r="AS4">
        <f>AR3*AC3*p_Other + AD3*T3*p_Other*I3 + AE3*(1-T3*p_Stroke-T3*p_MI-H3*rr_Other)*I3 + AS3*(1-AC3*p_Stroke-AC3*p_MI-H3*rr_Other*rr_DM)</f>
        <v>1.9601372147460671E-4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7.54118244800487E-5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6.4339543936824898E-5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7.7935055658303631E-6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2.5156524739820378E-3</v>
      </c>
      <c r="BG4">
        <f t="shared" ref="BG4:BG44" si="16">SUM(AD4:BF4)</f>
        <v>0.99999999999999978</v>
      </c>
      <c r="BH4">
        <f>(0.9442 - 0.0007*$B4 - dis_BMI*($C4-21.75))*AD4</f>
        <v>0.80264171861158606</v>
      </c>
      <c r="BI4">
        <f>0.959*(0.9442 - 0.0007*$B4 - dis_BMI*($C4-21.75))*AE4</f>
        <v>2.6765377067840207E-3</v>
      </c>
      <c r="BJ4">
        <f>(0.943*(0.9442 - 0.0007*$B4 - dis_BMI*($C4-21.75)) - 0.19*0.5)*AF4</f>
        <v>8.9371916116069022E-4</v>
      </c>
      <c r="BK4">
        <f>(0.943*(0.9442 - 0.0007*$B4 - dis_BMI*($C4-21.75)))*AG4</f>
        <v>0</v>
      </c>
      <c r="BL4">
        <f>(0.955*(0.9442 - 0.0007*$B4 - dis_BMI*($C4-21.75)) - 0.15*0.5)*AH4</f>
        <v>7.9483799825143806E-4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1.0320104220668551E-4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4.6548487806352311E-2</v>
      </c>
      <c r="BW4">
        <f>0.962*0.959*(0.9442 - 0.0007*$B4 - dis_BMI*($C4-21.75))*AS4</f>
        <v>1.5522340780266511E-4</v>
      </c>
      <c r="BX4">
        <f>0.962*(0.943*(0.9442 - 0.0007*$B4 - dis_BMI*($C4-21.75)) - 0.19*0.5)*AT4</f>
        <v>5.1830442538613526E-5</v>
      </c>
      <c r="BY4">
        <f>0.962*(0.943*(0.9442 - 0.0007*$B4 - dis_BMI*($C4-21.75)))*AU4</f>
        <v>0</v>
      </c>
      <c r="BZ4">
        <f>0.962*(0.955*(0.9442 - 0.0007*$B4 - dis_BMI*($C4-21.75)) - 0.15*0.5)*AV4</f>
        <v>4.6095918031313849E-5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5.9850520392467016E-6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7">0*BF4</f>
        <v>0</v>
      </c>
      <c r="CK4">
        <f t="shared" ref="CK4:CK44" si="18">SUM(BH4:CJ4)</f>
        <v>0.85391763714675306</v>
      </c>
      <c r="CL4">
        <f>CK4/(1+r_)^A4</f>
        <v>0.82904624965704177</v>
      </c>
      <c r="CM4">
        <f t="shared" ref="CM4:CM44" si="19">AD4*0</f>
        <v>0</v>
      </c>
      <c r="CN4">
        <f>AE4*c_Other</f>
        <v>46.427520676459508</v>
      </c>
      <c r="CO4">
        <f>AF4*(c_Stroke1+c_Stroke2)</f>
        <v>29.791988660054681</v>
      </c>
      <c r="CP4">
        <f>AG4*c_Stroke2</f>
        <v>0</v>
      </c>
      <c r="CQ4">
        <f>AH4*(c_MI1+c_MI2)</f>
        <v>31.111622452258839</v>
      </c>
      <c r="CR4">
        <f>AI4*c_MI2</f>
        <v>0</v>
      </c>
      <c r="CS4">
        <f>AJ4*(c_Stroke1+c_Stroke2+c_MI2)</f>
        <v>0</v>
      </c>
      <c r="CT4">
        <f>AK4*(c_Stroke2+c_MI1+c_MI2)</f>
        <v>0</v>
      </c>
      <c r="CU4">
        <f>AL4*(c_Stroke2+c_MI2)</f>
        <v>0</v>
      </c>
      <c r="CV4">
        <f>AM4*(c_HF1)</f>
        <v>3.4943799105858746</v>
      </c>
      <c r="CW4">
        <f>AN4*(c_HF2)</f>
        <v>0</v>
      </c>
      <c r="CX4">
        <f>AO4*(c_Stroke2+c_HF1)</f>
        <v>0</v>
      </c>
      <c r="CY4">
        <f>AP4*(c_Stroke1+c_Stroke2+c_HF2)</f>
        <v>0</v>
      </c>
      <c r="CZ4">
        <f>AQ4*(c_Stroke2+c_HF2)</f>
        <v>0</v>
      </c>
      <c r="DA4">
        <f>AR4*c_DM</f>
        <v>644.03527211563846</v>
      </c>
      <c r="DB4">
        <f>AS4*(c_Other+c_DM)</f>
        <v>5.0383366967832908</v>
      </c>
      <c r="DC4">
        <f>AT4*(c_Stroke1+c_Stroke2+c_DM)</f>
        <v>2.6575881065013962</v>
      </c>
      <c r="DD4">
        <f>AU4*(c_Stroke2+c_DM)</f>
        <v>0</v>
      </c>
      <c r="DE4">
        <f>AV4*(c_MI1+c_MI2+c_DM)</f>
        <v>2.610641334780607</v>
      </c>
      <c r="DF4">
        <f>AW4*(c_MI2+c_DM)</f>
        <v>0</v>
      </c>
      <c r="DG4">
        <f>AX4*(c_Stroke1+c_Stroke2+c_MI2+c_DM)</f>
        <v>0</v>
      </c>
      <c r="DH4">
        <f>AY4*(c_Stroke2+c_MI1+c_MI2+c_DM)</f>
        <v>0</v>
      </c>
      <c r="DI4">
        <f>AZ4*(c_Stroke2+c_MI2+c_DM)</f>
        <v>0</v>
      </c>
      <c r="DJ4">
        <f>BA4*(c_HF1+c_DM)</f>
        <v>0.29969925653400659</v>
      </c>
      <c r="DK4">
        <f>BB4*(c_HF2+c_DM)</f>
        <v>0</v>
      </c>
      <c r="DL4">
        <f>BC4*(c_Stroke2+c_HF1+c_DM)</f>
        <v>0</v>
      </c>
      <c r="DM4">
        <f>BD4*(c_Stroke1+c_Stroke2+c_HF2+c_DM)</f>
        <v>0</v>
      </c>
      <c r="DN4">
        <f>BE4*(c_Stroke2+c_HF2+c_DM)</f>
        <v>0</v>
      </c>
      <c r="DO4">
        <f t="shared" ref="DO4:DO44" si="20">BF4*0</f>
        <v>0</v>
      </c>
      <c r="DP4">
        <f t="shared" ref="DP4:DP44" si="21">SUM(CM4:DO4)</f>
        <v>765.46704920959667</v>
      </c>
      <c r="DQ4">
        <f>DP4/(1+r_)^A4</f>
        <v>743.17189243650159</v>
      </c>
    </row>
    <row r="5" spans="1:121" x14ac:dyDescent="0.3">
      <c r="A5">
        <v>2</v>
      </c>
      <c r="B5">
        <v>47</v>
      </c>
      <c r="C5">
        <f t="shared" si="0"/>
        <v>38</v>
      </c>
      <c r="D5">
        <f t="shared" si="1"/>
        <v>125</v>
      </c>
      <c r="E5">
        <f t="shared" si="2"/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22">0.00000146 * EXP(1.87 * E5) * 0.0197 * EXP(0.101*C5)</f>
        <v>5.6857293942168513E-2</v>
      </c>
      <c r="J5">
        <f t="shared" ref="J5:J67" si="23">1 - 0.94833 ^ (EXP(2.72107*(LN($B5)-3.8686) + 0.51125*(LN($C5)-LN(21.75)) + 2.81291*(LN($D5)*(1-0) - 4.24) + 2.88267*(LN($D5)*0 - 0.5826) + 0.61868*(1-0.3423) + 0.77763*(0-0.0376)))</f>
        <v>9.1108577987110362E-2</v>
      </c>
      <c r="K5">
        <f t="shared" ref="K5:K67" si="24">1 - 0.94833 ^ (EXP(2.72107*(LN($B5)-3.8686) + 0.51125*(LN($C5)-LN(21.75)) + 2.81291*(LN($D5)*(1-1) - 4.24) + 2.88267*(LN($D5)*1 - 0.5826) + 0.61868*(1-0.3423) + 0.77763*(0-0.0376)))</f>
        <v>0.12522488548074651</v>
      </c>
      <c r="L5">
        <f t="shared" ref="L5:L67" si="2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2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2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2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2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30">1 - 0.8843 ^ (EXP(3.113*(LN($B5)-3.856) + 0.7928*(LN($C5)-LN(28)) + 1.8551*(LN($D5)*(1-1) - 4.3544) + 1.9267*(LN($D5)*1 - 0.5019) + 0.7095*(0-0.3522) + 0.5316*(0-0.065)))</f>
        <v>0.1391006775066862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7.2293485558438189E-3</v>
      </c>
      <c r="U5">
        <f t="shared" ref="U5:U67" si="31">1 - 0.94833 ^ (EXP(2.72107*(LN($B5)-3.8686) + 0.51125*(LN($C5)-LN(21.75)) + 2.81291*(LN($D5)*(1-0) - 4.24) + 2.88267*(LN($D5)*0 - 0.5826) + 0.61868*(1-0.3423) + 0.77763*(1-0.0376)))</f>
        <v>0.18771332046372402</v>
      </c>
      <c r="V5">
        <f t="shared" ref="V5:V67" si="32">1 - 0.94833 ^ (EXP(2.72107*(LN($B5)-3.8686) + 0.51125*(LN($C5)-LN(21.75)) + 2.81291*(LN($D5)*(1-1) - 4.24) + 2.88267*(LN($D5)*1 - 0.5826) + 0.61868*(1-0.3423) + 0.77763*(1-0.0376)))</f>
        <v>0.25260756743556612</v>
      </c>
      <c r="W5">
        <f t="shared" ref="W5:W67" si="33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34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35">1 - 0.8843 ^ (EXP(3.113*(LN($B5)-3.856) + 0.7928*(LN($C5)-LN(28)) + 1.8551*(LN($D5)*(1-0) - 4.3544) + 1.9267*(LN($D5)*0 - 0.5019) + 0.7095*(1-0.3522) + 0.5316*(1-0.065)))</f>
        <v>0.30698271932161825</v>
      </c>
      <c r="Z5">
        <f t="shared" ref="Z5:Z67" si="36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37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38">1 - 0.8843 ^ (EXP(3.113*(LN($B5)-3.856) + 0.7928*(LN($C5)-LN(28)) + 1.8551*(LN($D5)*(1-1) - 4.3544) + 1.9267*(LN($D5)*1 - 0.5019) + 0.7095*(0-0.3522) + 0.5316*(1-0.065)))</f>
        <v>0.22498249278020876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1.3840249846933998E-2</v>
      </c>
      <c r="AD5">
        <f t="shared" ref="AD5:AD44" si="39">AD4*(1-T4-H4)*(1-I4)</f>
        <v>0.87367910272356064</v>
      </c>
      <c r="AE5">
        <f t="shared" si="5"/>
        <v>6.350610736487303E-3</v>
      </c>
      <c r="AF5">
        <f t="shared" si="6"/>
        <v>1.4073720774472301E-3</v>
      </c>
      <c r="AG5">
        <f t="shared" si="7"/>
        <v>1.0271916083282662E-3</v>
      </c>
      <c r="AH5">
        <f t="shared" si="8"/>
        <v>1.1508161309569922E-3</v>
      </c>
      <c r="AI5">
        <f t="shared" si="9"/>
        <v>9.1434227033571514E-4</v>
      </c>
      <c r="AJ5">
        <f t="shared" si="10"/>
        <v>1.4526115199216858E-6</v>
      </c>
      <c r="AK5">
        <f t="shared" si="11"/>
        <v>1.4526115199216856E-6</v>
      </c>
      <c r="AL5">
        <f t="shared" si="12"/>
        <v>0</v>
      </c>
      <c r="AM5">
        <f t="shared" si="13"/>
        <v>1.5147828363967276E-4</v>
      </c>
      <c r="AN5">
        <f t="shared" si="14"/>
        <v>1.2117964640479754E-4</v>
      </c>
      <c r="AO5">
        <f t="shared" si="15"/>
        <v>1.75956111479668E-7</v>
      </c>
      <c r="AP5">
        <f>AM4*T4*p_Stroke*p_Stroke_rec*(1-I4) + AN4*T4*p_Stroke*p_Stroke_rec*(1-I4) + AO4*(p_recur_Stroke*p_Stroke_rec)*(1-I4) + AP4*(p_recur_Stroke*p_Stroke_rec)*(1-I4) + AQ4*(p_recur_Stroke*p_Stroke_rec)*(1-I4)</f>
        <v>1.7595611147966806E-7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0.10813961209657842</v>
      </c>
      <c r="AS5">
        <f>AR4*AC4*p_Other + AD4*T4*p_Other*I4 + AE4*(1-T4*p_Stroke-T4*p_MI-H4*rr_Other)*I4 + AS4*(1-AC4*p_Stroke-AC4*p_MI-H4*rr_Other*rr_DM)</f>
        <v>9.8263567889972391E-4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2.4991316121026475E-4</v>
      </c>
      <c r="AU5">
        <f>AF4*(1-p_recur_Stroke-T4*p_MI-H4*rr_Stroke)*I4 + AG4*(1-p_recur_Stroke-T4*p_MI-H4*rr_Stroke)*I4 + AT4*(1-p_recur_Stroke-AC4*p_MI-H4*rr_Stroke*rr_DM) + AU4*(1-p_recur_Stroke-AC4*p_MI-H4*rr_Stroke*rr_DM)</f>
        <v>1.2738853930063104E-4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2.070196323221853E-4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1.1343398778630574E-4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2.6585318369629366E-7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2.6585318369629366E-7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2.6576721194314261E-5</v>
      </c>
      <c r="BB5">
        <f>AM4*(1-T4*p_Stroke - H4*rr_HF)*I4 + AN4*(1-T4*p_Stroke - H4*rr_HF)*I4 + BA4*(1-AC4*p_Stroke - H4*rr_HF*rr_DM) + BB4*(1-AC4*p_Stroke - H4*rr_HF*rr_DM)</f>
        <v>1.5034428902275516E-5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3.2203030050465016E-8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3.2203030050465022E-8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5.3324390289549248E-3</v>
      </c>
      <c r="BG5">
        <f t="shared" si="16"/>
        <v>1</v>
      </c>
      <c r="BH5">
        <f>(0.9442 - 0.0007*$B5 - dis_BMI*($C5-21.75))*AD5</f>
        <v>0.7493327244284298</v>
      </c>
      <c r="BI5">
        <f>0.959*(0.9442 - 0.0007*$B5 - dis_BMI*($C5-21.75))*AE5</f>
        <v>5.2234429008166609E-3</v>
      </c>
      <c r="BJ5">
        <f>(0.943*(0.9442 - 0.0007*$B5 - dis_BMI*($C5-21.75)) - 0.19*0.5)*AF5</f>
        <v>1.0045646319151666E-3</v>
      </c>
      <c r="BK5">
        <f>(0.943*(0.9442 - 0.0007*$B5 - dis_BMI*($C5-21.75)))*AG5</f>
        <v>8.3077975860058775E-4</v>
      </c>
      <c r="BL5">
        <f>(0.955*(0.9442 - 0.0007*$B5 - dis_BMI*($C5-21.75)) - 0.15*0.5)*AH5</f>
        <v>8.5629883516642974E-4</v>
      </c>
      <c r="BM5">
        <f>(0.955*(0.9442 - 0.0007*$B5 - dis_BMI*($C5-21.75)))*AI5</f>
        <v>7.4891912390822614E-4</v>
      </c>
      <c r="BN5">
        <f>(0.955*0.943*(0.9442 - 0.0007*$B5 - dis_BMI*($C5-21.75)) - 0.19*0.5)*AJ5</f>
        <v>9.8398754817211049E-7</v>
      </c>
      <c r="BO5">
        <f>(0.955*0.943*(0.9442 - 0.0007*$B5 - dis_BMI*($C5-21.75)) - 0.15*0.5)*AK5</f>
        <v>1.0130397785705442E-6</v>
      </c>
      <c r="BP5">
        <f>(0.955*0.943*(0.9442 - 0.0007*$B5 - dis_BMI*($C5-21.75)))*AL5</f>
        <v>0</v>
      </c>
      <c r="BQ5">
        <f>(0.93*(0.9442 - 0.0007*$B5 - dis_BMI*($C5-21.75)))*AM5</f>
        <v>1.208247973362104E-4</v>
      </c>
      <c r="BR5">
        <f>(0.93*(0.9442 - 0.0007*$B5 - dis_BMI*($C5-21.75)))*AN5</f>
        <v>9.6657460504118297E-5</v>
      </c>
      <c r="BS5">
        <f>(0.93*0.943*(0.9442 - 0.0007*$B5 - dis_BMI*($C5-21.75)))*AO5</f>
        <v>1.3234933035840624E-7</v>
      </c>
      <c r="BT5">
        <f>(0.93*0.943*(0.9442 - 0.0007*$B5 - dis_BMI*($C5-21.75))-0.19*0.5)*AP5</f>
        <v>1.1563349976783783E-7</v>
      </c>
      <c r="BU5">
        <f>(0.93*0.943*(0.9442 - 0.0007*$B5 - dis_BMI*($C5-21.75)))*AQ5</f>
        <v>0</v>
      </c>
      <c r="BV5">
        <f>0.962*(0.9442 - 0.0007*$B5 - dis_BMI*($C5-21.75))*AR5</f>
        <v>8.9224193416345438E-2</v>
      </c>
      <c r="BW5">
        <f>0.962*0.959*(0.9442 - 0.0007*$B5 - dis_BMI*($C5-21.75))*AS5</f>
        <v>7.7751532792728797E-4</v>
      </c>
      <c r="BX5">
        <f>0.962*(0.943*(0.9442 - 0.0007*$B5 - dis_BMI*($C5-21.75)) - 0.19*0.5)*AT5</f>
        <v>1.7160627072660323E-4</v>
      </c>
      <c r="BY5">
        <f>0.962*(0.943*(0.9442 - 0.0007*$B5 - dis_BMI*($C5-21.75)))*AU5</f>
        <v>9.9115111480578338E-5</v>
      </c>
      <c r="BZ5">
        <f>0.962*(0.955*(0.9442 - 0.0007*$B5 - dis_BMI*($C5-21.75)) - 0.15*0.5)*AV5</f>
        <v>1.4818560495126419E-4</v>
      </c>
      <c r="CA5">
        <f>0.962*(0.955*(0.9442 - 0.0007*$B5 - dis_BMI*($C5-21.75)))*AW5</f>
        <v>8.9380832387487931E-5</v>
      </c>
      <c r="CB5">
        <f>0.962*(0.955*0.943*(0.9442 - 0.0007*$B5 - dis_BMI*($C5-21.75)) - 0.19*0.5)*AX5</f>
        <v>1.7324354274807667E-7</v>
      </c>
      <c r="CC5">
        <f>0.962*(0.955*0.943*(0.9442 - 0.0007*$B5 - dis_BMI*($C5-21.75)) - 0.15*0.5)*AY5</f>
        <v>1.7835855800239337E-7</v>
      </c>
      <c r="CD5">
        <f>0.962*(0.955*0.943*(0.9442 - 0.0007*$B5 - dis_BMI*($C5-21.75)))*AZ5</f>
        <v>0</v>
      </c>
      <c r="CE5">
        <f>0.962*(0.93*(0.9442 - 0.0007*$B5 - dis_BMI*($C5-21.75)))*BA5</f>
        <v>2.0393049444169353E-5</v>
      </c>
      <c r="CF5">
        <f>0.962*(0.93*(0.9442 - 0.0007*$B5 - dis_BMI*($C5-21.75)))*BB5</f>
        <v>1.1536330976544463E-5</v>
      </c>
      <c r="CG5">
        <f>0.962*(0.93*0.943*(0.9442 - 0.0007*$B5 - dis_BMI*($C5-21.75)))*BC5</f>
        <v>2.3301785590904034E-8</v>
      </c>
      <c r="CH5">
        <f>0.962*(0.93*0.943*(0.9442 - 0.0007*$B5 - dis_BMI*($C5-21.75))-0.19*0.5)*BD5</f>
        <v>2.0358750674592041E-8</v>
      </c>
      <c r="CI5">
        <f>0.962*(0.93*0.943*(0.9442 - 0.0007*$B5 - dis_BMI*($C5-21.75)))*BE5</f>
        <v>0</v>
      </c>
      <c r="CJ5">
        <f t="shared" si="17"/>
        <v>0</v>
      </c>
      <c r="CK5">
        <f t="shared" si="18"/>
        <v>0.84875877815371048</v>
      </c>
      <c r="CL5">
        <f>CK5/(1+r_)^A5</f>
        <v>0.80003655212905134</v>
      </c>
      <c r="CM5">
        <f t="shared" si="19"/>
        <v>0</v>
      </c>
      <c r="CN5">
        <f>AE5*c_Other</f>
        <v>90.680370706302199</v>
      </c>
      <c r="CO5">
        <f>AF5*(c_Stroke1+c_Stroke2)</f>
        <v>33.517973396483235</v>
      </c>
      <c r="CP5">
        <f>AG5*c_Stroke2</f>
        <v>6.6767454541337301</v>
      </c>
      <c r="CQ5">
        <f>AH5*(c_MI1+c_MI2)</f>
        <v>33.547441033527278</v>
      </c>
      <c r="CR5">
        <f>AI5*c_MI2</f>
        <v>2.8500048566364242</v>
      </c>
      <c r="CS5">
        <f>AJ5*(c_Stroke1+c_Stroke2+c_MI2)</f>
        <v>3.9123186066050766E-2</v>
      </c>
      <c r="CT5">
        <f>AK5*(c_Stroke2+c_MI1+c_MI2)</f>
        <v>5.1787053296728017E-2</v>
      </c>
      <c r="CU5">
        <f>AL5*(c_Stroke2+c_MI2)</f>
        <v>0</v>
      </c>
      <c r="CV5">
        <f>AM5*(c_HF1)</f>
        <v>4.0944580067803544</v>
      </c>
      <c r="CW5">
        <f>AN5*(c_HF2)</f>
        <v>1.8910083821468655</v>
      </c>
      <c r="CX5">
        <f>AO5*(c_Stroke2+c_HF1)</f>
        <v>5.8998084179132685E-3</v>
      </c>
      <c r="CY5">
        <f>AP5*(c_Stroke1+c_Stroke2+c_HF2)</f>
        <v>6.9363658706399949E-3</v>
      </c>
      <c r="CZ5">
        <f>AQ5*(c_Stroke2+c_HF2)</f>
        <v>0</v>
      </c>
      <c r="DA5">
        <f>AR5*c_DM</f>
        <v>1235.4950682034084</v>
      </c>
      <c r="DB5">
        <f>AS5*(c_Other+c_DM)</f>
        <v>25.257667490438504</v>
      </c>
      <c r="DC5">
        <f>AT5*(c_Stroke1+c_Stroke2+c_DM)</f>
        <v>8.8071897142109403</v>
      </c>
      <c r="DD5">
        <f>AU5*(c_Stroke2+c_DM)</f>
        <v>2.2834395669638115</v>
      </c>
      <c r="DE5">
        <f>AV5*(c_MI1+c_MI2+c_DM)</f>
        <v>8.4000286011049905</v>
      </c>
      <c r="DF5">
        <f>AW5*(c_MI2+c_DM)</f>
        <v>1.649557050388458</v>
      </c>
      <c r="DG5">
        <f>AX5*(c_Stroke1+c_Stroke2+c_MI2+c_DM)</f>
        <v>1.0197596420222433E-2</v>
      </c>
      <c r="DH5">
        <f>AY5*(c_Stroke2+c_MI1+c_MI2+c_DM)</f>
        <v>1.2515304475686721E-2</v>
      </c>
      <c r="DI5">
        <f>AZ5*(c_Stroke2+c_MI2+c_DM)</f>
        <v>0</v>
      </c>
      <c r="DJ5">
        <f>BA5*(c_HF1+c_DM)</f>
        <v>1.0220078135273549</v>
      </c>
      <c r="DK5">
        <f>BB5*(c_HF2+c_DM)</f>
        <v>0.40638061322850721</v>
      </c>
      <c r="DL5">
        <f>BC5*(c_Stroke2+c_HF1+c_DM)</f>
        <v>1.4476872159186547E-3</v>
      </c>
      <c r="DM5">
        <f>BD5*(c_Stroke1+c_Stroke2+c_HF2+c_DM)</f>
        <v>1.6373952659459446E-3</v>
      </c>
      <c r="DN5">
        <f>BE5*(c_Stroke2+c_HF2+c_DM)</f>
        <v>0</v>
      </c>
      <c r="DO5">
        <f t="shared" si="20"/>
        <v>0</v>
      </c>
      <c r="DP5">
        <f t="shared" si="21"/>
        <v>1456.7088852863103</v>
      </c>
      <c r="DQ5">
        <f>DP5/(1+r_)^A5</f>
        <v>1373.0878360696677</v>
      </c>
    </row>
    <row r="6" spans="1:121" x14ac:dyDescent="0.3">
      <c r="A6">
        <v>3</v>
      </c>
      <c r="B6">
        <v>48</v>
      </c>
      <c r="C6">
        <f t="shared" si="0"/>
        <v>38</v>
      </c>
      <c r="D6">
        <f t="shared" si="1"/>
        <v>125</v>
      </c>
      <c r="E6">
        <f t="shared" si="2"/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22"/>
        <v>5.6857293942168513E-2</v>
      </c>
      <c r="J6">
        <f t="shared" si="23"/>
        <v>9.6213499400914837E-2</v>
      </c>
      <c r="K6">
        <f t="shared" si="24"/>
        <v>0.13209817501157595</v>
      </c>
      <c r="L6">
        <f t="shared" si="25"/>
        <v>4.6761391011577058E-2</v>
      </c>
      <c r="M6">
        <f t="shared" si="26"/>
        <v>6.4869862175157555E-2</v>
      </c>
      <c r="N6">
        <f t="shared" si="27"/>
        <v>0.20554041385495259</v>
      </c>
      <c r="O6">
        <f t="shared" si="28"/>
        <v>0.27755868555593155</v>
      </c>
      <c r="P6">
        <f t="shared" si="29"/>
        <v>0.10701057811504944</v>
      </c>
      <c r="Q6">
        <f t="shared" si="30"/>
        <v>0.14779046946332219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7.6523519587794559E-3</v>
      </c>
      <c r="U6">
        <f t="shared" si="31"/>
        <v>0.19760956081852754</v>
      </c>
      <c r="V6">
        <f t="shared" si="32"/>
        <v>0.26532872496987381</v>
      </c>
      <c r="W6">
        <f t="shared" si="33"/>
        <v>9.8976076553375703E-2</v>
      </c>
      <c r="X6">
        <f t="shared" si="34"/>
        <v>0.13581124846246617</v>
      </c>
      <c r="Y6">
        <f t="shared" si="35"/>
        <v>0.32398408934070566</v>
      </c>
      <c r="Z6">
        <f t="shared" si="36"/>
        <v>0.42491636616966866</v>
      </c>
      <c r="AA6">
        <f t="shared" si="37"/>
        <v>0.17518320708821722</v>
      </c>
      <c r="AB6">
        <f t="shared" si="38"/>
        <v>0.23824718780754639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1.4605755482634934E-2</v>
      </c>
      <c r="AD6">
        <f t="shared" si="39"/>
        <v>0.81585191366158238</v>
      </c>
      <c r="AE6">
        <f t="shared" si="5"/>
        <v>9.2160873528104748E-3</v>
      </c>
      <c r="AF6">
        <f t="shared" si="6"/>
        <v>1.5231602105852705E-3</v>
      </c>
      <c r="AG6">
        <f t="shared" si="7"/>
        <v>1.9978061937037397E-3</v>
      </c>
      <c r="AH6">
        <f t="shared" si="8"/>
        <v>1.2016836382109824E-3</v>
      </c>
      <c r="AI6">
        <f t="shared" si="9"/>
        <v>1.7686018769676975E-3</v>
      </c>
      <c r="AJ6">
        <f t="shared" si="10"/>
        <v>3.2820156153643746E-6</v>
      </c>
      <c r="AK6">
        <f t="shared" si="11"/>
        <v>3.163371746301314E-6</v>
      </c>
      <c r="AL6">
        <f t="shared" si="12"/>
        <v>2.1392189112253373E-6</v>
      </c>
      <c r="AM6">
        <f t="shared" si="13"/>
        <v>1.6893386538705443E-4</v>
      </c>
      <c r="AN6">
        <f t="shared" si="14"/>
        <v>2.5548094037585443E-4</v>
      </c>
      <c r="AO6">
        <f t="shared" si="15"/>
        <v>4.160624819371746E-7</v>
      </c>
      <c r="AP6">
        <f>AM5*T5*p_Stroke*p_Stroke_rec*(1-I5) + AN5*T5*p_Stroke*p_Stroke_rec*(1-I5) + AO5*(p_recur_Stroke*p_Stroke_rec)*(1-I5) + AP5*(p_recur_Stroke*p_Stroke_rec)*(1-I5) + AQ5*(p_recur_Stroke*p_Stroke_rec)*(1-I5)</f>
        <v>4.3002041532903885E-7</v>
      </c>
      <c r="AQ6">
        <f>AO5*(1-p_recur_Stroke-H5*rr_Stroke*rr_HF)*(1-I5) + AP5*(1-p_recur_Stroke-H5*rr_Stroke*rr_HF)*(1-I5) + AQ5*(1-p_recur_Stroke-H5*rr_Stroke*rr_HF)*(1-I5)</f>
        <v>2.8703815150382787E-7</v>
      </c>
      <c r="AR6">
        <f>AR5*(1-AC5-H5*rr_DM) + AD5*(1-T5-H5)*I5</f>
        <v>0.15549521350396939</v>
      </c>
      <c r="AS6">
        <f>AR5*AC5*p_Other + AD5*T5*p_Other*I5 + AE5*(1-T5*p_Stroke-T5*p_MI-H5*rr_Other)*I5 + AS5*(1-AC5*p_Stroke-AC5*p_MI-H5*rr_Other*rr_DM)</f>
        <v>2.3495607354920831E-3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4.530527905451027E-4</v>
      </c>
      <c r="AU6">
        <f>AF5*(1-p_recur_Stroke-T5*p_MI-H5*rr_Stroke)*I5 + AG5*(1-p_recur_Stroke-T5*p_MI-H5*rr_Stroke)*I5 + AT5*(1-p_recur_Stroke-AC5*p_MI-H5*rr_Stroke*rr_DM) + AU5*(1-p_recur_Stroke-AC5*p_MI-H5*rr_Stroke*rr_DM)</f>
        <v>4.4769630645409992E-4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3.6458278637347953E-4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3.9691136910141172E-4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1.1950359393630161E-6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1.1657638745041616E-6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5.4302861351222598E-7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4.9416708949817867E-5</v>
      </c>
      <c r="BB6">
        <f>AM5*(1-T5*p_Stroke - H5*rr_HF)*I5 + AN5*(1-T5*p_Stroke - H5*rr_HF)*I5 + BA5*(1-AC5*p_Stroke - H5*rr_HF*rr_DM) + BB5*(1-AC5*p_Stroke - H5*rr_HF*rr_DM)</f>
        <v>5.6648328768061092E-5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1.4957267766189709E-7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1.5489646438121329E-7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7.2857387102509809E-8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8.3902508484448926E-3</v>
      </c>
      <c r="BG6">
        <f t="shared" si="16"/>
        <v>1</v>
      </c>
      <c r="BH6">
        <f>(0.9442 - 0.0007*$B6 - dis_BMI*($C6-21.75))*AD6</f>
        <v>0.69916469371013457</v>
      </c>
      <c r="BI6">
        <f>0.959*(0.9442 - 0.0007*$B6 - dis_BMI*($C6-21.75))*AE6</f>
        <v>7.5741402443485917E-3</v>
      </c>
      <c r="BJ6">
        <f>(0.943*(0.9442 - 0.0007*$B6 - dis_BMI*($C6-21.75)) - 0.19*0.5)*AF6</f>
        <v>1.0862073188371319E-3</v>
      </c>
      <c r="BK6">
        <f>(0.943*(0.9442 - 0.0007*$B6 - dis_BMI*($C6-21.75)))*AG6</f>
        <v>1.6144819749668543E-3</v>
      </c>
      <c r="BL6">
        <f>(0.955*(0.9442 - 0.0007*$B6 - dis_BMI*($C6-21.75)) - 0.15*0.5)*AH6</f>
        <v>8.9334498537651944E-4</v>
      </c>
      <c r="BM6">
        <f>(0.955*(0.9442 - 0.0007*$B6 - dis_BMI*($C6-21.75)))*AI6</f>
        <v>1.4474434518062451E-3</v>
      </c>
      <c r="BN6">
        <f>(0.955*0.943*(0.9442 - 0.0007*$B6 - dis_BMI*($C6-21.75)) - 0.19*0.5)*AJ6</f>
        <v>2.2211424373321478E-6</v>
      </c>
      <c r="BO6">
        <f>(0.955*0.943*(0.9442 - 0.0007*$B6 - dis_BMI*($C6-21.75)) - 0.15*0.5)*AK6</f>
        <v>2.2041162468191055E-6</v>
      </c>
      <c r="BP6">
        <f>(0.955*0.943*(0.9442 - 0.0007*$B6 - dis_BMI*($C6-21.75)))*AL6</f>
        <v>1.650967204079043E-6</v>
      </c>
      <c r="BQ6">
        <f>(0.93*(0.9442 - 0.0007*$B6 - dis_BMI*($C6-21.75)))*AM6</f>
        <v>1.3463805233976601E-4</v>
      </c>
      <c r="BR6">
        <f>(0.93*(0.9442 - 0.0007*$B6 - dis_BMI*($C6-21.75)))*AN6</f>
        <v>2.0361492435709601E-4</v>
      </c>
      <c r="BS6">
        <f>(0.93*0.943*(0.9442 - 0.0007*$B6 - dis_BMI*($C6-21.75)))*AO6</f>
        <v>3.1269529701530814E-7</v>
      </c>
      <c r="BT6">
        <f>(0.93*0.943*(0.9442 - 0.0007*$B6 - dis_BMI*($C6-21.75))-0.19*0.5)*AP6</f>
        <v>2.8233356111541799E-7</v>
      </c>
      <c r="BU6">
        <f>(0.93*0.943*(0.9442 - 0.0007*$B6 - dis_BMI*($C6-21.75)))*AQ6</f>
        <v>2.1572596409393996E-7</v>
      </c>
      <c r="BV6">
        <f>0.962*(0.9442 - 0.0007*$B6 - dis_BMI*($C6-21.75))*AR6</f>
        <v>0.12819180119004675</v>
      </c>
      <c r="BW6">
        <f>0.962*0.959*(0.9442 - 0.0007*$B6 - dis_BMI*($C6-21.75))*AS6</f>
        <v>1.8575841972817626E-3</v>
      </c>
      <c r="BX6">
        <f>0.962*(0.943*(0.9442 - 0.0007*$B6 - dis_BMI*($C6-21.75)) - 0.19*0.5)*AT6</f>
        <v>3.1080716385389467E-4</v>
      </c>
      <c r="BY6">
        <f>0.962*(0.943*(0.9442 - 0.0007*$B6 - dis_BMI*($C6-21.75)))*AU6</f>
        <v>3.4804742811072567E-4</v>
      </c>
      <c r="BZ6">
        <f>0.962*(0.955*(0.9442 - 0.0007*$B6 - dis_BMI*($C6-21.75)) - 0.15*0.5)*AV6</f>
        <v>2.6073557319734848E-4</v>
      </c>
      <c r="CA6">
        <f>0.962*(0.955*(0.9442 - 0.0007*$B6 - dis_BMI*($C6-21.75)))*AW6</f>
        <v>3.1249288626733669E-4</v>
      </c>
      <c r="CB6">
        <f>0.962*(0.955*0.943*(0.9442 - 0.0007*$B6 - dis_BMI*($C6-21.75)) - 0.19*0.5)*AX6</f>
        <v>7.7802187034647992E-7</v>
      </c>
      <c r="CC6">
        <f>0.962*(0.955*0.943*(0.9442 - 0.0007*$B6 - dis_BMI*($C6-21.75)) - 0.15*0.5)*AY6</f>
        <v>7.8139374324281164E-7</v>
      </c>
      <c r="CD6">
        <f>0.962*(0.955*0.943*(0.9442 - 0.0007*$B6 - dis_BMI*($C6-21.75)))*AZ6</f>
        <v>4.0316331108130972E-7</v>
      </c>
      <c r="CE6">
        <f>0.962*(0.93*(0.9442 - 0.0007*$B6 - dis_BMI*($C6-21.75)))*BA6</f>
        <v>3.7887852695670032E-5</v>
      </c>
      <c r="CF6">
        <f>0.962*(0.93*(0.9442 - 0.0007*$B6 - dis_BMI*($C6-21.75)))*BB6</f>
        <v>4.3432344675152555E-5</v>
      </c>
      <c r="CG6">
        <f>0.962*(0.93*0.943*(0.9442 - 0.0007*$B6 - dis_BMI*($C6-21.75)))*BC6</f>
        <v>1.0814093856392247E-7</v>
      </c>
      <c r="CH6">
        <f>0.962*(0.93*0.943*(0.9442 - 0.0007*$B6 - dis_BMI*($C6-21.75))-0.19*0.5)*BD6</f>
        <v>9.7834044659978997E-8</v>
      </c>
      <c r="CI6">
        <f>0.962*(0.93*0.943*(0.9442 - 0.0007*$B6 - dis_BMI*($C6-21.75)))*BE6</f>
        <v>5.267583856718996E-8</v>
      </c>
      <c r="CJ6">
        <f t="shared" si="17"/>
        <v>0</v>
      </c>
      <c r="CK6">
        <f t="shared" si="18"/>
        <v>0.84349046150875229</v>
      </c>
      <c r="CL6">
        <f>CK6/(1+r_)^A6</f>
        <v>0.77191326059368193</v>
      </c>
      <c r="CM6">
        <f t="shared" si="19"/>
        <v>0</v>
      </c>
      <c r="CN6">
        <f>AE6*c_Other</f>
        <v>131.59651131078078</v>
      </c>
      <c r="CO6">
        <f>AF6*(c_Stroke1+c_Stroke2)</f>
        <v>36.275583575298803</v>
      </c>
      <c r="CP6">
        <f>AG6*c_Stroke2</f>
        <v>12.985740259074309</v>
      </c>
      <c r="CQ6">
        <f>AH6*(c_MI1+c_MI2)</f>
        <v>35.03027973748835</v>
      </c>
      <c r="CR6">
        <f>AI6*c_MI2</f>
        <v>5.5127320505083128</v>
      </c>
      <c r="CS6">
        <f>AJ6*(c_Stroke1+c_Stroke2+c_MI2)</f>
        <v>8.8394526568608703E-2</v>
      </c>
      <c r="CT6">
        <f>AK6*(c_Stroke2+c_MI1+c_MI2)</f>
        <v>0.11277736612738815</v>
      </c>
      <c r="CU6">
        <f>AL6*(c_Stroke2+c_MI2)</f>
        <v>2.0572868269254068E-2</v>
      </c>
      <c r="CV6">
        <f>AM6*(c_HF1)</f>
        <v>4.5662823814120816</v>
      </c>
      <c r="CW6">
        <f>AN6*(c_HF2)</f>
        <v>3.9867800745652082</v>
      </c>
      <c r="CX6">
        <f>AO6*(c_Stroke2+c_HF1)</f>
        <v>1.3950575019353465E-2</v>
      </c>
      <c r="CY6">
        <f>AP6*(c_Stroke1+c_Stroke2+c_HF2)</f>
        <v>1.6951834792686041E-2</v>
      </c>
      <c r="CZ6">
        <f>AQ6*(c_Stroke2+c_HF2)</f>
        <v>6.344978338992115E-3</v>
      </c>
      <c r="DA6">
        <f>AR6*c_DM</f>
        <v>1776.5328142828503</v>
      </c>
      <c r="DB6">
        <f>AS6*(c_Other+c_DM)</f>
        <v>60.393109145088502</v>
      </c>
      <c r="DC6">
        <f>AT6*(c_Stroke1+c_Stroke2+c_DM)</f>
        <v>15.966033391599964</v>
      </c>
      <c r="DD6">
        <f>AU6*(c_Stroke2+c_DM)</f>
        <v>8.0249562931897405</v>
      </c>
      <c r="DE6">
        <f>AV6*(c_MI1+c_MI2+c_DM)</f>
        <v>14.793311139890305</v>
      </c>
      <c r="DF6">
        <f>AW6*(c_MI2+c_DM)</f>
        <v>5.7718851294727296</v>
      </c>
      <c r="DG6">
        <f>AX6*(c_Stroke1+c_Stroke2+c_MI2+c_DM)</f>
        <v>4.5839188562086575E-2</v>
      </c>
      <c r="DH6">
        <f>AY6*(c_Stroke2+c_MI1+c_MI2+c_DM)</f>
        <v>5.4879500156157911E-2</v>
      </c>
      <c r="DI6">
        <f>AZ6*(c_Stroke2+c_MI2+c_DM)</f>
        <v>1.1426408085524259E-2</v>
      </c>
      <c r="DJ6">
        <f>BA6*(c_HF1+c_DM)</f>
        <v>1.9003195426652462</v>
      </c>
      <c r="DK6">
        <f>BB6*(c_HF2+c_DM)</f>
        <v>1.5312043266006914</v>
      </c>
      <c r="DL6">
        <f>BC6*(c_Stroke2+c_HF1+c_DM)</f>
        <v>6.7240397242905835E-3</v>
      </c>
      <c r="DM6">
        <f>BD6*(c_Stroke1+c_Stroke2+c_HF2+c_DM)</f>
        <v>7.8758656279271713E-3</v>
      </c>
      <c r="DN6">
        <f>BE6*(c_Stroke2+c_HF2+c_DM)</f>
        <v>2.4429081895471537E-3</v>
      </c>
      <c r="DO6">
        <f t="shared" si="20"/>
        <v>0</v>
      </c>
      <c r="DP6">
        <f t="shared" si="21"/>
        <v>2115.2557226999465</v>
      </c>
      <c r="DQ6">
        <f>DP6/(1+r_)^A6</f>
        <v>1935.7586320278958</v>
      </c>
    </row>
    <row r="7" spans="1:121" x14ac:dyDescent="0.3">
      <c r="A7">
        <v>4</v>
      </c>
      <c r="B7">
        <v>49</v>
      </c>
      <c r="C7">
        <f t="shared" si="0"/>
        <v>38</v>
      </c>
      <c r="D7">
        <f t="shared" si="1"/>
        <v>125</v>
      </c>
      <c r="E7">
        <f t="shared" si="2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2"/>
        <v>5.6857293942168513E-2</v>
      </c>
      <c r="J7">
        <f t="shared" si="23"/>
        <v>0.10147452428418524</v>
      </c>
      <c r="K7">
        <f t="shared" si="24"/>
        <v>0.13916539204665124</v>
      </c>
      <c r="L7">
        <f t="shared" si="25"/>
        <v>4.9392267331425432E-2</v>
      </c>
      <c r="M7">
        <f t="shared" si="26"/>
        <v>6.8482389042606062E-2</v>
      </c>
      <c r="N7">
        <f t="shared" si="27"/>
        <v>0.21756674094434159</v>
      </c>
      <c r="O7">
        <f t="shared" si="28"/>
        <v>0.29296287335202298</v>
      </c>
      <c r="P7">
        <f t="shared" si="29"/>
        <v>0.11368564126190961</v>
      </c>
      <c r="Q7">
        <f t="shared" si="30"/>
        <v>0.15677762700460685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8.0890312774939219E-3</v>
      </c>
      <c r="U7">
        <f t="shared" si="31"/>
        <v>0.20773984747741081</v>
      </c>
      <c r="V7">
        <f t="shared" si="32"/>
        <v>0.27828581146738596</v>
      </c>
      <c r="W7">
        <f t="shared" si="33"/>
        <v>0.10437926498921779</v>
      </c>
      <c r="X7">
        <f t="shared" si="34"/>
        <v>0.14306028676068772</v>
      </c>
      <c r="Y7">
        <f t="shared" si="35"/>
        <v>0.34130509067663894</v>
      </c>
      <c r="Z7">
        <f t="shared" si="36"/>
        <v>0.44562589700048016</v>
      </c>
      <c r="AA7">
        <f t="shared" si="37"/>
        <v>0.18564717160211053</v>
      </c>
      <c r="AB7">
        <f t="shared" si="38"/>
        <v>0.25186632323047853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1.5391378432370283E-2</v>
      </c>
      <c r="AD7">
        <f t="shared" si="39"/>
        <v>0.76138666949619382</v>
      </c>
      <c r="AE7">
        <f t="shared" si="5"/>
        <v>1.185367070835976E-2</v>
      </c>
      <c r="AF7">
        <f t="shared" si="6"/>
        <v>1.6266343415422863E-3</v>
      </c>
      <c r="AG7">
        <f t="shared" si="7"/>
        <v>2.8871089615964277E-3</v>
      </c>
      <c r="AH7">
        <f t="shared" si="8"/>
        <v>1.2453627639473206E-3</v>
      </c>
      <c r="AI7">
        <f t="shared" si="9"/>
        <v>2.5426747124601629E-3</v>
      </c>
      <c r="AJ7">
        <f t="shared" si="10"/>
        <v>5.4299920414439358E-6</v>
      </c>
      <c r="AK7">
        <f t="shared" si="11"/>
        <v>5.0799504347746058E-6</v>
      </c>
      <c r="AL7">
        <f t="shared" si="12"/>
        <v>6.3138631382657504E-6</v>
      </c>
      <c r="AM7">
        <f t="shared" si="13"/>
        <v>1.8446872474451524E-4</v>
      </c>
      <c r="AN7">
        <f t="shared" si="14"/>
        <v>3.975058550107724E-4</v>
      </c>
      <c r="AO7">
        <f t="shared" si="15"/>
        <v>7.1249697121610826E-7</v>
      </c>
      <c r="AP7">
        <f>AM6*T6*p_Stroke*p_Stroke_rec*(1-I6) + AN6*T6*p_Stroke*p_Stroke_rec*(1-I6) + AO6*(p_recur_Stroke*p_Stroke_rec)*(1-I6) + AP6*(p_recur_Stroke*p_Stroke_rec)*(1-I6) + AQ6*(p_recur_Stroke*p_Stroke_rec)*(1-I6)</f>
        <v>7.6613840518881904E-7</v>
      </c>
      <c r="AQ7">
        <f>AO6*(1-p_recur_Stroke-H6*rr_Stroke*rr_HF)*(1-I6) + AP6*(1-p_recur_Stroke-H6*rr_Stroke*rr_HF)*(1-I6) + AQ6*(1-p_recur_Stroke-H6*rr_Stroke*rr_HF)*(1-I6)</f>
        <v>9.2312522944775108E-7</v>
      </c>
      <c r="AR7">
        <f>AR6*(1-AC6-H6*rr_DM) + AD6*(1-T6-H6)*I6</f>
        <v>0.19861531178205863</v>
      </c>
      <c r="AS7">
        <f>AR6*AC6*p_Other + AD6*T6*p_Other*I6 + AE6*(1-T6*p_Stroke-T6*p_MI-H6*rr_Other)*I6 + AS6*(1-AC6*p_Stroke-AC6*p_MI-H6*rr_Other*rr_DM)</f>
        <v>4.2832237893043017E-3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6.8533580564946557E-4</v>
      </c>
      <c r="AU7">
        <f>AF6*(1-p_recur_Stroke-T6*p_MI-H6*rr_Stroke)*I6 + AG6*(1-p_recur_Stroke-T6*p_MI-H6*rr_Stroke)*I6 + AT6*(1-p_recur_Stroke-AC6*p_MI-H6*rr_Stroke*rr_DM) + AU6*(1-p_recur_Stroke-AC6*p_MI-H6*rr_Stroke*rr_DM)</f>
        <v>9.5458659309589195E-4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5.375864605530093E-4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8.4271855065804185E-4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3.001386337124444E-6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2.8579168414222415E-6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2.6389794135472437E-6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7.6282839584259577E-5</v>
      </c>
      <c r="BB7">
        <f>AM6*(1-T6*p_Stroke - H6*rr_HF)*I6 + AN6*(1-T6*p_Stroke - H6*rr_HF)*I6 + BA6*(1-AC6*p_Stroke - H6*rr_HF*rr_DM) + BB6*(1-AC6*p_Stroke - H6*rr_HF*rr_DM)</f>
        <v>1.2904054909599878E-4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3.8688509243788838E-7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4.1564570781477956E-7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3.806628598257087E-7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1.1722911023672759E-2</v>
      </c>
      <c r="BG7">
        <f t="shared" si="16"/>
        <v>0.99999999999999989</v>
      </c>
      <c r="BH7">
        <f>(0.9442 - 0.0007*$B7 - dis_BMI*($C7-21.75))*AD7</f>
        <v>0.65195637042285337</v>
      </c>
      <c r="BI7">
        <f>0.959*(0.9442 - 0.0007*$B7 - dis_BMI*($C7-21.75))*AE7</f>
        <v>9.7338518084829229E-3</v>
      </c>
      <c r="BJ7">
        <f>(0.943*(0.9442 - 0.0007*$B7 - dis_BMI*($C7-21.75)) - 0.19*0.5)*AF7</f>
        <v>1.158923818071769E-3</v>
      </c>
      <c r="BK7">
        <f>(0.943*(0.9442 - 0.0007*$B7 - dis_BMI*($C7-21.75)))*AG7</f>
        <v>2.3312461502037951E-3</v>
      </c>
      <c r="BL7">
        <f>(0.955*(0.9442 - 0.0007*$B7 - dis_BMI*($C7-21.75)) - 0.15*0.5)*AH7</f>
        <v>9.249840083714883E-4</v>
      </c>
      <c r="BM7">
        <f>(0.955*(0.9442 - 0.0007*$B7 - dis_BMI*($C7-21.75)))*AI7</f>
        <v>2.0792534938882936E-3</v>
      </c>
      <c r="BN7">
        <f>(0.955*0.943*(0.9442 - 0.0007*$B7 - dis_BMI*($C7-21.75)) - 0.19*0.5)*AJ7</f>
        <v>3.6713875528574289E-6</v>
      </c>
      <c r="BO7">
        <f>(0.955*0.943*(0.9442 - 0.0007*$B7 - dis_BMI*($C7-21.75)) - 0.15*0.5)*AK7</f>
        <v>3.5363124766004403E-6</v>
      </c>
      <c r="BP7">
        <f>(0.955*0.943*(0.9442 - 0.0007*$B7 - dis_BMI*($C7-21.75)))*AL7</f>
        <v>4.8688174606313302E-6</v>
      </c>
      <c r="BQ7">
        <f>(0.93*(0.9442 - 0.0007*$B7 - dis_BMI*($C7-21.75)))*AM7</f>
        <v>1.4689904027096709E-4</v>
      </c>
      <c r="BR7">
        <f>(0.93*(0.9442 - 0.0007*$B7 - dis_BMI*($C7-21.75)))*AN7</f>
        <v>3.1654812317939468E-4</v>
      </c>
      <c r="BS7">
        <f>(0.93*0.943*(0.9442 - 0.0007*$B7 - dis_BMI*($C7-21.75)))*AO7</f>
        <v>5.3504576177917994E-7</v>
      </c>
      <c r="BT7">
        <f>(0.93*0.943*(0.9442 - 0.0007*$B7 - dis_BMI*($C7-21.75))-0.19*0.5)*AP7</f>
        <v>5.0254435912141342E-7</v>
      </c>
      <c r="BU7">
        <f>(0.93*0.943*(0.9442 - 0.0007*$B7 - dis_BMI*($C7-21.75)))*AQ7</f>
        <v>6.9321591748583377E-7</v>
      </c>
      <c r="BV7">
        <f>0.962*(0.9442 - 0.0007*$B7 - dis_BMI*($C7-21.75))*AR7</f>
        <v>0.16360669170452732</v>
      </c>
      <c r="BW7">
        <f>0.962*0.959*(0.9442 - 0.0007*$B7 - dis_BMI*($C7-21.75))*AS7</f>
        <v>3.3835898196091941E-3</v>
      </c>
      <c r="BX7">
        <f>0.962*(0.943*(0.9442 - 0.0007*$B7 - dis_BMI*($C7-21.75)) - 0.19*0.5)*AT7</f>
        <v>4.6972475218703838E-4</v>
      </c>
      <c r="BY7">
        <f>0.962*(0.943*(0.9442 - 0.0007*$B7 - dis_BMI*($C7-21.75)))*AU7</f>
        <v>7.415071784612991E-4</v>
      </c>
      <c r="BZ7">
        <f>0.962*(0.955*(0.9442 - 0.0007*$B7 - dis_BMI*($C7-21.75)) - 0.15*0.5)*AV7</f>
        <v>3.8411542047832824E-4</v>
      </c>
      <c r="CA7">
        <f>0.962*(0.955*(0.9442 - 0.0007*$B7 - dis_BMI*($C7-21.75)))*AW7</f>
        <v>6.6294005832075306E-4</v>
      </c>
      <c r="CB7">
        <f>0.962*(0.955*0.943*(0.9442 - 0.0007*$B7 - dis_BMI*($C7-21.75)) - 0.19*0.5)*AX7</f>
        <v>1.9522166452232269E-6</v>
      </c>
      <c r="CC7">
        <f>0.962*(0.955*0.943*(0.9442 - 0.0007*$B7 - dis_BMI*($C7-21.75)) - 0.15*0.5)*AY7</f>
        <v>1.9138849094833481E-6</v>
      </c>
      <c r="CD7">
        <f>0.962*(0.955*0.943*(0.9442 - 0.0007*$B7 - dis_BMI*($C7-21.75)))*AZ7</f>
        <v>1.9576696283184512E-6</v>
      </c>
      <c r="CE7">
        <f>0.962*(0.93*(0.9442 - 0.0007*$B7 - dis_BMI*($C7-21.75)))*BA7</f>
        <v>5.843837568610752E-5</v>
      </c>
      <c r="CF7">
        <f>0.962*(0.93*(0.9442 - 0.0007*$B7 - dis_BMI*($C7-21.75)))*BB7</f>
        <v>9.8854737551872603E-5</v>
      </c>
      <c r="CG7">
        <f>0.962*(0.93*0.943*(0.9442 - 0.0007*$B7 - dis_BMI*($C7-21.75)))*BC7</f>
        <v>2.7948916324848464E-7</v>
      </c>
      <c r="CH7">
        <f>0.962*(0.93*0.943*(0.9442 - 0.0007*$B7 - dis_BMI*($C7-21.75))-0.19*0.5)*BD7</f>
        <v>2.622802212653966E-7</v>
      </c>
      <c r="CI7">
        <f>0.962*(0.93*0.943*(0.9442 - 0.0007*$B7 - dis_BMI*($C7-21.75)))*BE7</f>
        <v>2.749941681703408E-7</v>
      </c>
      <c r="CJ7">
        <f t="shared" si="17"/>
        <v>0</v>
      </c>
      <c r="CK7">
        <f t="shared" si="18"/>
        <v>0.83807438677040824</v>
      </c>
      <c r="CL7">
        <f>CK7/(1+r_)^A7</f>
        <v>0.74461823783539138</v>
      </c>
      <c r="CM7">
        <f t="shared" si="19"/>
        <v>0</v>
      </c>
      <c r="CN7">
        <f>AE7*c_Other</f>
        <v>169.25856404466901</v>
      </c>
      <c r="CO7">
        <f>AF7*(c_Stroke1+c_Stroke2)</f>
        <v>38.739923478171093</v>
      </c>
      <c r="CP7">
        <f>AG7*c_Stroke2</f>
        <v>18.766208250376781</v>
      </c>
      <c r="CQ7">
        <f>AH7*(c_MI1+c_MI2)</f>
        <v>36.303569931828342</v>
      </c>
      <c r="CR7">
        <f>AI7*c_MI2</f>
        <v>7.925517078738328</v>
      </c>
      <c r="CS7">
        <f>AJ7*(c_Stroke1+c_Stroke2+c_MI2)</f>
        <v>0.14624597565220954</v>
      </c>
      <c r="CT7">
        <f>AK7*(c_Stroke2+c_MI1+c_MI2)</f>
        <v>0.18110531295014948</v>
      </c>
      <c r="CU7">
        <f>AL7*(c_Stroke2+c_MI2)</f>
        <v>6.0720421800701724E-2</v>
      </c>
      <c r="CV7">
        <f>AM7*(c_HF1)</f>
        <v>4.9861896298442465</v>
      </c>
      <c r="CW7">
        <f>AN7*(c_HF2)</f>
        <v>6.2030788674431037</v>
      </c>
      <c r="CX7">
        <f>AO7*(c_Stroke2+c_HF1)</f>
        <v>2.3890023444876111E-2</v>
      </c>
      <c r="CY7">
        <f>AP7*(c_Stroke1+c_Stroke2+c_HF2)</f>
        <v>3.0201942070948434E-2</v>
      </c>
      <c r="CZ7">
        <f>AQ7*(c_Stroke2+c_HF2)</f>
        <v>2.0405683196942536E-2</v>
      </c>
      <c r="DA7">
        <f>AR7*c_DM</f>
        <v>2269.1799371100196</v>
      </c>
      <c r="DB7">
        <f>AS7*(c_Other+c_DM)</f>
        <v>110.09598428027778</v>
      </c>
      <c r="DC7">
        <f>AT7*(c_Stroke1+c_Stroke2+c_DM)</f>
        <v>24.151919126892818</v>
      </c>
      <c r="DD7">
        <f>AU7*(c_Stroke2+c_DM)</f>
        <v>17.110964681243864</v>
      </c>
      <c r="DE7">
        <f>AV7*(c_MI1+c_MI2+c_DM)</f>
        <v>21.813108223398906</v>
      </c>
      <c r="DF7">
        <f>AW7*(c_MI2+c_DM)</f>
        <v>12.254813163669244</v>
      </c>
      <c r="DG7">
        <f>AX7*(c_Stroke1+c_Stroke2+c_MI2+c_DM)</f>
        <v>0.11512717711941943</v>
      </c>
      <c r="DH7">
        <f>AY7*(c_Stroke2+c_MI1+c_MI2+c_DM)</f>
        <v>0.13453929322679345</v>
      </c>
      <c r="DI7">
        <f>AZ7*(c_Stroke2+c_MI2+c_DM)</f>
        <v>5.55294048198611E-2</v>
      </c>
      <c r="DJ7">
        <f>BA7*(c_HF1+c_DM)</f>
        <v>2.9334565962127019</v>
      </c>
      <c r="DK7">
        <f>BB7*(c_HF2+c_DM)</f>
        <v>3.4879660420648473</v>
      </c>
      <c r="DL7">
        <f>BC7*(c_Stroke2+c_HF1+c_DM)</f>
        <v>1.7392419330545271E-2</v>
      </c>
      <c r="DM7">
        <f>BD7*(c_Stroke1+c_Stroke2+c_HF2+c_DM)</f>
        <v>2.1133921659550282E-2</v>
      </c>
      <c r="DN7">
        <f>BE7*(c_Stroke2+c_HF2+c_DM)</f>
        <v>1.2763625689956013E-2</v>
      </c>
      <c r="DO7">
        <f t="shared" si="20"/>
        <v>0</v>
      </c>
      <c r="DP7">
        <f t="shared" si="21"/>
        <v>2744.0302557058117</v>
      </c>
      <c r="DQ7">
        <f>DP7/(1+r_)^A7</f>
        <v>2438.0353412833897</v>
      </c>
    </row>
    <row r="8" spans="1:121" x14ac:dyDescent="0.3">
      <c r="A8">
        <v>5</v>
      </c>
      <c r="B8">
        <v>50</v>
      </c>
      <c r="C8">
        <f t="shared" si="0"/>
        <v>38</v>
      </c>
      <c r="D8">
        <f t="shared" si="1"/>
        <v>125</v>
      </c>
      <c r="E8">
        <f t="shared" si="2"/>
        <v>5.7</v>
      </c>
      <c r="F8">
        <v>2.99E-3</v>
      </c>
      <c r="G8">
        <v>4.8500000000000001E-3</v>
      </c>
      <c r="H8">
        <f t="shared" si="3"/>
        <v>3.362E-3</v>
      </c>
      <c r="I8">
        <f t="shared" si="22"/>
        <v>5.6857293942168513E-2</v>
      </c>
      <c r="J8">
        <f t="shared" si="23"/>
        <v>0.10689133774884796</v>
      </c>
      <c r="K8">
        <f t="shared" si="24"/>
        <v>0.14642458630548627</v>
      </c>
      <c r="L8">
        <f t="shared" si="25"/>
        <v>5.2109538371803654E-2</v>
      </c>
      <c r="M8">
        <f t="shared" si="26"/>
        <v>7.2209345588578944E-2</v>
      </c>
      <c r="N8">
        <f t="shared" si="27"/>
        <v>0.22992879663309873</v>
      </c>
      <c r="O8">
        <f t="shared" si="28"/>
        <v>0.30869548202633956</v>
      </c>
      <c r="P8">
        <f t="shared" si="29"/>
        <v>0.12060160829971189</v>
      </c>
      <c r="Q8">
        <f t="shared" si="30"/>
        <v>0.166059691796277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8.5393448307131917E-3</v>
      </c>
      <c r="U8">
        <f t="shared" si="31"/>
        <v>0.21809745953948889</v>
      </c>
      <c r="V8">
        <f t="shared" si="32"/>
        <v>0.29146522497021188</v>
      </c>
      <c r="W8">
        <f t="shared" si="33"/>
        <v>0.10994145142971545</v>
      </c>
      <c r="X8">
        <f t="shared" si="34"/>
        <v>0.15050436642895393</v>
      </c>
      <c r="Y8">
        <f t="shared" si="35"/>
        <v>0.35891596362572942</v>
      </c>
      <c r="Z8">
        <f t="shared" si="36"/>
        <v>0.46645263276972693</v>
      </c>
      <c r="AA8">
        <f t="shared" si="37"/>
        <v>0.19643060939763757</v>
      </c>
      <c r="AB8">
        <f t="shared" si="38"/>
        <v>0.26582583893511236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1.619664412985139E-2</v>
      </c>
      <c r="AD8">
        <f t="shared" si="39"/>
        <v>0.71007153539300338</v>
      </c>
      <c r="AE8">
        <f t="shared" si="5"/>
        <v>1.4268243977182606E-2</v>
      </c>
      <c r="AF8">
        <f t="shared" si="6"/>
        <v>1.7182415239895869E-3</v>
      </c>
      <c r="AG8">
        <f t="shared" si="7"/>
        <v>3.6975555634842696E-3</v>
      </c>
      <c r="AH8">
        <f t="shared" si="8"/>
        <v>1.2822236710027144E-3</v>
      </c>
      <c r="AI8">
        <f t="shared" si="9"/>
        <v>3.2409871840399134E-3</v>
      </c>
      <c r="AJ8">
        <f t="shared" si="10"/>
        <v>7.8668484623569359E-6</v>
      </c>
      <c r="AK8">
        <f t="shared" si="11"/>
        <v>7.1816037866080485E-6</v>
      </c>
      <c r="AL8">
        <f t="shared" si="12"/>
        <v>1.2354851321596911E-5</v>
      </c>
      <c r="AM8">
        <f t="shared" si="13"/>
        <v>1.981888004191528E-4</v>
      </c>
      <c r="AN8">
        <f t="shared" si="14"/>
        <v>5.4478106780432524E-4</v>
      </c>
      <c r="AO8">
        <f t="shared" si="15"/>
        <v>1.0603209800041817E-6</v>
      </c>
      <c r="AP8">
        <f>AM7*T7*p_Stroke*p_Stroke_rec*(1-I7) + AN7*T7*p_Stroke*p_Stroke_rec*(1-I7) + AO7*(p_recur_Stroke*p_Stroke_rec)*(1-I7) + AP7*(p_recur_Stroke*p_Stroke_rec)*(1-I7) + AQ7*(p_recur_Stroke*p_Stroke_rec)*(1-I7)</f>
        <v>1.1895715303934975E-6</v>
      </c>
      <c r="AQ8">
        <f>AO7*(1-p_recur_Stroke-H7*rr_Stroke*rr_HF)*(1-I7) + AP7*(1-p_recur_Stroke-H7*rr_Stroke*rr_HF)*(1-I7) + AQ7*(1-p_recur_Stroke-H7*rr_Stroke*rr_HF)*(1-I7)</f>
        <v>1.9535570311103683E-6</v>
      </c>
      <c r="AR8">
        <f>AR7*(1-AC7-H7*rr_DM) + AD7*(1-T7-H7)*I7</f>
        <v>0.23766009673327784</v>
      </c>
      <c r="AS8">
        <f>AR7*AC7*p_Other + AD7*T7*p_Other*I7 + AE7*(1-T7*p_Stroke-T7*p_MI-H7*rr_Other)*I7 + AS7*(1-AC7*p_Stroke-AC7*p_MI-H7*rr_Other*rr_DM)</f>
        <v>6.7661662764721669E-3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9.4543463767479989E-4</v>
      </c>
      <c r="AU8">
        <f>AF7*(1-p_recur_Stroke-T7*p_MI-H7*rr_Stroke)*I7 + AG7*(1-p_recur_Stroke-T7*p_MI-H7*rr_Stroke)*I7 + AT7*(1-p_recur_Stroke-AC7*p_MI-H7*rr_Stroke*rr_DM) + AU7*(1-p_recur_Stroke-AC7*p_MI-H7*rr_Stroke*rr_DM)</f>
        <v>1.6422692987148367E-3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7.2501147079943504E-4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1.4442174067929017E-3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5.907861821691295E-6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5.5064409341698919E-6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7.3424468584479074E-6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1.069694682125933E-4</v>
      </c>
      <c r="BB8">
        <f>AM7*(1-T7*p_Stroke - H7*rr_HF)*I7 + AN7*(1-T7*p_Stroke - H7*rr_HF)*I7 + BA7*(1-AC7*p_Stroke - H7*rr_HF*rr_DM) + BB7*(1-AC7*p_Stroke - H7*rr_HF*rr_DM)</f>
        <v>2.3611244668015003E-4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7.8045809900281842E-7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8.7103824990625384E-7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1.1350602453677669E-6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1.5398815021128491E-2</v>
      </c>
      <c r="BG8">
        <f t="shared" si="16"/>
        <v>0.99999999999999978</v>
      </c>
      <c r="BH8">
        <f>(0.9442 - 0.0007*$B8 - dis_BMI*($C8-21.75))*AD8</f>
        <v>0.60751945389386885</v>
      </c>
      <c r="BI8">
        <f>0.959*(0.9442 - 0.0007*$B8 - dis_BMI*($C8-21.75))*AE8</f>
        <v>1.170704317430611E-2</v>
      </c>
      <c r="BJ8">
        <f>(0.943*(0.9442 - 0.0007*$B8 - dis_BMI*($C8-21.75)) - 0.19*0.5)*AF8</f>
        <v>1.2230567310707987E-3</v>
      </c>
      <c r="BK8">
        <f>(0.943*(0.9442 - 0.0007*$B8 - dis_BMI*($C8-21.75)))*AG8</f>
        <v>2.9832145434580547E-3</v>
      </c>
      <c r="BL8">
        <f>(0.955*(0.9442 - 0.0007*$B8 - dis_BMI*($C8-21.75)) - 0.15*0.5)*AH8</f>
        <v>9.5150500871362721E-4</v>
      </c>
      <c r="BM8">
        <f>(0.955*(0.9442 - 0.0007*$B8 - dis_BMI*($C8-21.75)))*AI8</f>
        <v>2.648126767535626E-3</v>
      </c>
      <c r="BN8">
        <f>(0.955*0.943*(0.9442 - 0.0007*$B8 - dis_BMI*($C8-21.75)) - 0.19*0.5)*AJ8</f>
        <v>5.3140632155023699E-6</v>
      </c>
      <c r="BO8">
        <f>(0.955*0.943*(0.9442 - 0.0007*$B8 - dis_BMI*($C8-21.75)) - 0.15*0.5)*AK8</f>
        <v>4.9948118961316052E-6</v>
      </c>
      <c r="BP8">
        <f>(0.955*0.943*(0.9442 - 0.0007*$B8 - dis_BMI*($C8-21.75)))*AL8</f>
        <v>9.5194240611122511E-6</v>
      </c>
      <c r="BQ8">
        <f>(0.93*(0.9442 - 0.0007*$B8 - dis_BMI*($C8-21.75)))*AM8</f>
        <v>1.576958061143135E-4</v>
      </c>
      <c r="BR8">
        <f>(0.93*(0.9442 - 0.0007*$B8 - dis_BMI*($C8-21.75)))*AN8</f>
        <v>4.3347398774061762E-4</v>
      </c>
      <c r="BS8">
        <f>(0.93*0.943*(0.9442 - 0.0007*$B8 - dis_BMI*($C8-21.75)))*AO8</f>
        <v>7.9559140356240256E-7</v>
      </c>
      <c r="BT8">
        <f>(0.93*0.943*(0.9442 - 0.0007*$B8 - dis_BMI*($C8-21.75))-0.19*0.5)*AP8</f>
        <v>7.7956276661209401E-7</v>
      </c>
      <c r="BU8">
        <f>(0.93*0.943*(0.9442 - 0.0007*$B8 - dis_BMI*($C8-21.75)))*AQ8</f>
        <v>1.4658138522489373E-6</v>
      </c>
      <c r="BV8">
        <f>0.962*(0.9442 - 0.0007*$B8 - dis_BMI*($C8-21.75))*AR8</f>
        <v>0.19560926784659635</v>
      </c>
      <c r="BW8">
        <f>0.962*0.959*(0.9442 - 0.0007*$B8 - dis_BMI*($C8-21.75))*AS8</f>
        <v>5.3406538616505364E-3</v>
      </c>
      <c r="BX8">
        <f>0.962*(0.943*(0.9442 - 0.0007*$B8 - dis_BMI*($C8-21.75)) - 0.19*0.5)*AT8</f>
        <v>6.4739445203941678E-4</v>
      </c>
      <c r="BY8">
        <f>0.962*(0.943*(0.9442 - 0.0007*$B8 - dis_BMI*($C8-21.75)))*AU8</f>
        <v>1.2746449356460584E-3</v>
      </c>
      <c r="BZ8">
        <f>0.962*(0.955*(0.9442 - 0.0007*$B8 - dis_BMI*($C8-21.75)) - 0.15*0.5)*AV8</f>
        <v>5.1756778720173254E-4</v>
      </c>
      <c r="CA8">
        <f>0.962*(0.955*(0.9442 - 0.0007*$B8 - dis_BMI*($C8-21.75)))*AW8</f>
        <v>1.1351914323544062E-3</v>
      </c>
      <c r="CB8">
        <f>0.962*(0.955*0.943*(0.9442 - 0.0007*$B8 - dis_BMI*($C8-21.75)) - 0.19*0.5)*AX8</f>
        <v>3.8391168697678204E-6</v>
      </c>
      <c r="CC8">
        <f>0.962*(0.955*0.943*(0.9442 - 0.0007*$B8 - dis_BMI*($C8-21.75)) - 0.15*0.5)*AY8</f>
        <v>3.6842047090803947E-6</v>
      </c>
      <c r="CD8">
        <f>0.962*(0.955*0.943*(0.9442 - 0.0007*$B8 - dis_BMI*($C8-21.75)))*AZ8</f>
        <v>5.4423821590731768E-6</v>
      </c>
      <c r="CE8">
        <f>0.962*(0.93*(0.9442 - 0.0007*$B8 - dis_BMI*($C8-21.75)))*BA8</f>
        <v>8.1879643538620173E-5</v>
      </c>
      <c r="CF8">
        <f>0.962*(0.93*(0.9442 - 0.0007*$B8 - dis_BMI*($C8-21.75)))*BB8</f>
        <v>1.8073197233045733E-4</v>
      </c>
      <c r="CG8">
        <f>0.962*(0.93*0.943*(0.9442 - 0.0007*$B8 - dis_BMI*($C8-21.75)))*BC8</f>
        <v>5.6334882267204011E-7</v>
      </c>
      <c r="CH8">
        <f>0.962*(0.93*0.943*(0.9442 - 0.0007*$B8 - dis_BMI*($C8-21.75))-0.19*0.5)*BD8</f>
        <v>5.4912703413872429E-7</v>
      </c>
      <c r="CI8">
        <f>0.962*(0.93*0.943*(0.9442 - 0.0007*$B8 - dis_BMI*($C8-21.75)))*BE8</f>
        <v>8.1930708862752078E-7</v>
      </c>
      <c r="CJ8">
        <f t="shared" si="17"/>
        <v>0</v>
      </c>
      <c r="CK8">
        <f t="shared" si="18"/>
        <v>0.83244866859804434</v>
      </c>
      <c r="CL8">
        <f>CK8/(1+r_)^A8</f>
        <v>0.71807753408157493</v>
      </c>
      <c r="CM8">
        <f t="shared" si="19"/>
        <v>0</v>
      </c>
      <c r="CN8">
        <f>AE8*c_Other</f>
        <v>203.73625575019042</v>
      </c>
      <c r="CO8">
        <f>AF8*(c_Stroke1+c_Stroke2)</f>
        <v>40.921640135335998</v>
      </c>
      <c r="CP8">
        <f>AG8*c_Stroke2</f>
        <v>24.034111162647754</v>
      </c>
      <c r="CQ8">
        <f>AH8*(c_MI1+c_MI2)</f>
        <v>37.378102233400128</v>
      </c>
      <c r="CR8">
        <f>AI8*c_MI2</f>
        <v>10.10215705265241</v>
      </c>
      <c r="CS8">
        <f>AJ8*(c_Stroke1+c_Stroke2+c_MI2)</f>
        <v>0.21187782963665935</v>
      </c>
      <c r="CT8">
        <f>AK8*(c_Stroke2+c_MI1+c_MI2)</f>
        <v>0.25603135659636356</v>
      </c>
      <c r="CU8">
        <f>AL8*(c_Stroke2+c_MI2)</f>
        <v>0.11881660515979749</v>
      </c>
      <c r="CV8">
        <f>AM8*(c_HF1)</f>
        <v>5.3570432753297004</v>
      </c>
      <c r="CW8">
        <f>AN8*(c_HF2)</f>
        <v>8.5013085630864946</v>
      </c>
      <c r="CX8">
        <f>AO8*(c_Stroke2+c_HF1)</f>
        <v>3.5552562459540214E-2</v>
      </c>
      <c r="CY8">
        <f>AP8*(c_Stroke1+c_Stroke2+c_HF2)</f>
        <v>4.6894099299642063E-2</v>
      </c>
      <c r="CZ8">
        <f>AQ8*(c_Stroke2+c_HF2)</f>
        <v>4.3183378172694693E-2</v>
      </c>
      <c r="DA8">
        <f>AR8*c_DM</f>
        <v>2715.2666051776991</v>
      </c>
      <c r="DB8">
        <f>AS8*(c_Other+c_DM)</f>
        <v>173.91753797044058</v>
      </c>
      <c r="DC8">
        <f>AT8*(c_Stroke1+c_Stroke2+c_DM)</f>
        <v>33.318062066297621</v>
      </c>
      <c r="DD8">
        <f>AU8*(c_Stroke2+c_DM)</f>
        <v>29.437677179463449</v>
      </c>
      <c r="DE8">
        <f>AV8*(c_MI1+c_MI2+c_DM)</f>
        <v>29.418065439157875</v>
      </c>
      <c r="DF8">
        <f>AW8*(c_MI2+c_DM)</f>
        <v>21.001809529582378</v>
      </c>
      <c r="DG8">
        <f>AX8*(c_Stroke1+c_Stroke2+c_MI2+c_DM)</f>
        <v>0.22661376375643469</v>
      </c>
      <c r="DH8">
        <f>AY8*(c_Stroke2+c_MI1+c_MI2+c_DM)</f>
        <v>0.25922121341698184</v>
      </c>
      <c r="DI8">
        <f>AZ8*(c_Stroke2+c_MI2+c_DM)</f>
        <v>0.15449976679546087</v>
      </c>
      <c r="DJ8">
        <f>BA8*(c_HF1+c_DM)</f>
        <v>4.1135109001152754</v>
      </c>
      <c r="DK8">
        <f>BB8*(c_HF2+c_DM)</f>
        <v>6.3821194337644549</v>
      </c>
      <c r="DL8">
        <f>BC8*(c_Stroke2+c_HF1+c_DM)</f>
        <v>3.5085493840671701E-2</v>
      </c>
      <c r="DM8">
        <f>BD8*(c_Stroke1+c_Stroke2+c_HF2+c_DM)</f>
        <v>4.4288810854733379E-2</v>
      </c>
      <c r="DN8">
        <f>BE8*(c_Stroke2+c_HF2+c_DM)</f>
        <v>3.8058570027181222E-2</v>
      </c>
      <c r="DO8">
        <f t="shared" si="20"/>
        <v>0</v>
      </c>
      <c r="DP8">
        <f t="shared" si="21"/>
        <v>3344.3561293191797</v>
      </c>
      <c r="DQ8">
        <f>DP8/(1+r_)^A8</f>
        <v>2884.870975259746</v>
      </c>
    </row>
    <row r="9" spans="1:121" x14ac:dyDescent="0.3">
      <c r="A9">
        <v>6</v>
      </c>
      <c r="B9">
        <v>51</v>
      </c>
      <c r="C9">
        <f t="shared" si="0"/>
        <v>38</v>
      </c>
      <c r="D9">
        <f t="shared" si="1"/>
        <v>125</v>
      </c>
      <c r="E9">
        <f t="shared" si="2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2"/>
        <v>5.6857293942168513E-2</v>
      </c>
      <c r="J9">
        <f t="shared" si="23"/>
        <v>0.11246346483231906</v>
      </c>
      <c r="K9">
        <f t="shared" si="24"/>
        <v>0.15387354304655154</v>
      </c>
      <c r="L9">
        <f t="shared" si="25"/>
        <v>5.4913791257004352E-2</v>
      </c>
      <c r="M9">
        <f t="shared" si="26"/>
        <v>7.6051120795356919E-2</v>
      </c>
      <c r="N9">
        <f t="shared" si="27"/>
        <v>0.2426163715956855</v>
      </c>
      <c r="O9">
        <f t="shared" si="28"/>
        <v>0.32473425040295201</v>
      </c>
      <c r="P9">
        <f t="shared" si="29"/>
        <v>0.12775860279294338</v>
      </c>
      <c r="Q9">
        <f t="shared" si="30"/>
        <v>0.17563355240115308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9.0032326281340481E-3</v>
      </c>
      <c r="U9">
        <f t="shared" si="31"/>
        <v>0.22867522083593095</v>
      </c>
      <c r="V9">
        <f t="shared" si="32"/>
        <v>0.30485278579072195</v>
      </c>
      <c r="W9">
        <f t="shared" si="33"/>
        <v>0.11566205450753508</v>
      </c>
      <c r="X9">
        <f t="shared" si="34"/>
        <v>0.15814105016701163</v>
      </c>
      <c r="Y9">
        <f t="shared" si="35"/>
        <v>0.37678544352763454</v>
      </c>
      <c r="Z9">
        <f t="shared" si="36"/>
        <v>0.48734501147050258</v>
      </c>
      <c r="AA9">
        <f t="shared" si="37"/>
        <v>0.20752737890907569</v>
      </c>
      <c r="AB9">
        <f t="shared" si="38"/>
        <v>0.28011041891859134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1.7021038820890028E-2</v>
      </c>
      <c r="AD9">
        <f t="shared" si="39"/>
        <v>0.66172847316001204</v>
      </c>
      <c r="AE9">
        <f t="shared" si="5"/>
        <v>1.646465231950597E-2</v>
      </c>
      <c r="AF9">
        <f t="shared" si="6"/>
        <v>1.7983203023157052E-3</v>
      </c>
      <c r="AG9">
        <f t="shared" si="7"/>
        <v>4.4315788316176127E-3</v>
      </c>
      <c r="AH9">
        <f t="shared" si="8"/>
        <v>1.312572414215545E-3</v>
      </c>
      <c r="AI9">
        <f t="shared" si="9"/>
        <v>3.8676881583349742E-3</v>
      </c>
      <c r="AJ9">
        <f t="shared" si="10"/>
        <v>1.0561716767169197E-5</v>
      </c>
      <c r="AK9">
        <f t="shared" si="11"/>
        <v>9.4459760485345322E-6</v>
      </c>
      <c r="AL9">
        <f t="shared" si="12"/>
        <v>2.0088810866616644E-5</v>
      </c>
      <c r="AM9">
        <f t="shared" si="13"/>
        <v>2.1018545130365468E-4</v>
      </c>
      <c r="AN9">
        <f t="shared" si="14"/>
        <v>6.9506271639331986E-4</v>
      </c>
      <c r="AO9">
        <f t="shared" si="15"/>
        <v>1.4543421003580625E-6</v>
      </c>
      <c r="AP9">
        <f>AM8*T8*p_Stroke*p_Stroke_rec*(1-I8) + AN8*T8*p_Stroke*p_Stroke_rec*(1-I8) + AO8*(p_recur_Stroke*p_Stroke_rec)*(1-I8) + AP8*(p_recur_Stroke*p_Stroke_rec)*(1-I8) + AQ8*(p_recur_Stroke*p_Stroke_rec)*(1-I8)</f>
        <v>1.7038362764431962E-6</v>
      </c>
      <c r="AQ9">
        <f>AO8*(1-p_recur_Stroke-H8*rr_Stroke*rr_HF)*(1-I8) + AP8*(1-p_recur_Stroke-H8*rr_Stroke*rr_HF)*(1-I8) + AQ8*(1-p_recur_Stroke-H8*rr_Stroke*rr_HF)*(1-I8)</f>
        <v>3.4127913648643351E-6</v>
      </c>
      <c r="AR9">
        <f>AR8*(1-AC8-H8*rr_DM) + AD8*(1-T8-H8)*I8</f>
        <v>0.27278419152642824</v>
      </c>
      <c r="AS9">
        <f>AR8*AC8*p_Other + AD8*T8*p_Other*I8 + AE8*(1-T8*p_Stroke-T8*p_MI-H8*rr_Other)*I8 + AS8*(1-AC8*p_Stroke-AC8*p_MI-H8*rr_Other*rr_DM)</f>
        <v>9.7768303397677576E-3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1.2317942396832427E-3</v>
      </c>
      <c r="AU9">
        <f>AF8*(1-p_recur_Stroke-T8*p_MI-H8*rr_Stroke)*I8 + AG8*(1-p_recur_Stroke-T8*p_MI-H8*rr_Stroke)*I8 + AT8*(1-p_recur_Stroke-AC8*p_MI-H8*rr_Stroke*rr_DM) + AU8*(1-p_recur_Stroke-AC8*p_MI-H8*rr_Stroke*rr_DM)</f>
        <v>2.5038010780308231E-3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9.2573693032735045E-4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2.1942894309617063E-3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1.0141860215036992E-5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9.2764603758440031E-6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1.5743399561031313E-5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1.4125220575552985E-4</v>
      </c>
      <c r="BB9">
        <f>AM8*(1-T8*p_Stroke - H8*rr_HF)*I8 + AN8*(1-T8*p_Stroke - H8*rr_HF)*I8 + BA8*(1-AC8*p_Stroke - H8*rr_HF*rr_DM) + BB8*(1-AC8*p_Stroke - H8*rr_HF*rr_DM)</f>
        <v>3.8129151226378631E-4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1.3674437347690247E-6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1.586165236649913E-6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2.5965364454958552E-6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1.9464900044089736E-2</v>
      </c>
      <c r="BG9">
        <f t="shared" si="16"/>
        <v>0.99999999999999967</v>
      </c>
      <c r="BH9">
        <f>(0.9442 - 0.0007*$B9 - dis_BMI*($C9-21.75))*AD9</f>
        <v>0.56569512849266534</v>
      </c>
      <c r="BI9">
        <f>0.959*(0.9442 - 0.0007*$B9 - dis_BMI*($C9-21.75))*AE9</f>
        <v>1.3498135645920523E-2</v>
      </c>
      <c r="BJ9">
        <f>(0.943*(0.9442 - 0.0007*$B9 - dis_BMI*($C9-21.75)) - 0.19*0.5)*AF9</f>
        <v>1.2788703128209446E-3</v>
      </c>
      <c r="BK9">
        <f>(0.943*(0.9442 - 0.0007*$B9 - dis_BMI*($C9-21.75)))*AG9</f>
        <v>3.5725045343193975E-3</v>
      </c>
      <c r="BL9">
        <f>(0.955*(0.9442 - 0.0007*$B9 - dis_BMI*($C9-21.75)) - 0.15*0.5)*AH9</f>
        <v>9.7314857111923509E-4</v>
      </c>
      <c r="BM9">
        <f>(0.955*(0.9442 - 0.0007*$B9 - dis_BMI*($C9-21.75)))*AI9</f>
        <v>3.1576023682105638E-3</v>
      </c>
      <c r="BN9">
        <f>(0.955*0.943*(0.9442 - 0.0007*$B9 - dis_BMI*($C9-21.75)) - 0.19*0.5)*AJ9</f>
        <v>7.1277911217253711E-6</v>
      </c>
      <c r="BO9">
        <f>(0.955*0.943*(0.9442 - 0.0007*$B9 - dis_BMI*($C9-21.75)) - 0.15*0.5)*AK9</f>
        <v>6.5637301411593611E-6</v>
      </c>
      <c r="BP9">
        <f>(0.955*0.943*(0.9442 - 0.0007*$B9 - dis_BMI*($C9-21.75)))*AL9</f>
        <v>1.5465782954176138E-5</v>
      </c>
      <c r="BQ9">
        <f>(0.93*(0.9442 - 0.0007*$B9 - dis_BMI*($C9-21.75)))*AM9</f>
        <v>1.6710452754538699E-4</v>
      </c>
      <c r="BR9">
        <f>(0.93*(0.9442 - 0.0007*$B9 - dis_BMI*($C9-21.75)))*AN9</f>
        <v>5.5259831789936759E-4</v>
      </c>
      <c r="BS9">
        <f>(0.93*0.943*(0.9442 - 0.0007*$B9 - dis_BMI*($C9-21.75)))*AO9</f>
        <v>1.0903447437622057E-6</v>
      </c>
      <c r="BT9">
        <f>(0.93*0.943*(0.9442 - 0.0007*$B9 - dis_BMI*($C9-21.75))-0.19*0.5)*AP9</f>
        <v>1.1155302793625074E-6</v>
      </c>
      <c r="BU9">
        <f>(0.93*0.943*(0.9442 - 0.0007*$B9 - dis_BMI*($C9-21.75)))*AQ9</f>
        <v>2.5586271107194954E-6</v>
      </c>
      <c r="BV9">
        <f>0.962*(0.9442 - 0.0007*$B9 - dis_BMI*($C9-21.75))*AR9</f>
        <v>0.22433492307337144</v>
      </c>
      <c r="BW9">
        <f>0.962*0.959*(0.9442 - 0.0007*$B9 - dis_BMI*($C9-21.75))*AS9</f>
        <v>7.7107100914985457E-3</v>
      </c>
      <c r="BX9">
        <f>0.962*(0.943*(0.9442 - 0.0007*$B9 - dis_BMI*($C9-21.75)) - 0.19*0.5)*AT9</f>
        <v>8.426994287208915E-4</v>
      </c>
      <c r="BY9">
        <f>0.962*(0.943*(0.9442 - 0.0007*$B9 - dis_BMI*($C9-21.75)))*AU9</f>
        <v>1.9417316230826433E-3</v>
      </c>
      <c r="BZ9">
        <f>0.962*(0.955*(0.9442 - 0.0007*$B9 - dis_BMI*($C9-21.75)) - 0.15*0.5)*AV9</f>
        <v>6.6026539785316333E-4</v>
      </c>
      <c r="CA9">
        <f>0.962*(0.955*(0.9442 - 0.0007*$B9 - dis_BMI*($C9-21.75)))*AW9</f>
        <v>1.723355885411209E-3</v>
      </c>
      <c r="CB9">
        <f>0.962*(0.955*0.943*(0.9442 - 0.0007*$B9 - dis_BMI*($C9-21.75)) - 0.19*0.5)*AX9</f>
        <v>6.5843535105150961E-6</v>
      </c>
      <c r="CC9">
        <f>0.962*(0.955*0.943*(0.9442 - 0.0007*$B9 - dis_BMI*($C9-21.75)) - 0.15*0.5)*AY9</f>
        <v>6.200993029570683E-6</v>
      </c>
      <c r="CD9">
        <f>0.962*(0.955*0.943*(0.9442 - 0.0007*$B9 - dis_BMI*($C9-21.75)))*AZ9</f>
        <v>1.1659804560124454E-5</v>
      </c>
      <c r="CE9">
        <f>0.962*(0.93*(0.9442 - 0.0007*$B9 - dis_BMI*($C9-21.75)))*BA9</f>
        <v>1.0803286054576205E-4</v>
      </c>
      <c r="CF9">
        <f>0.962*(0.93*(0.9442 - 0.0007*$B9 - dis_BMI*($C9-21.75)))*BB9</f>
        <v>2.9162031524639559E-4</v>
      </c>
      <c r="CG9">
        <f>0.962*(0.93*0.943*(0.9442 - 0.0007*$B9 - dis_BMI*($C9-21.75)))*BC9</f>
        <v>9.8623814498403382E-7</v>
      </c>
      <c r="CH9">
        <f>0.962*(0.93*0.943*(0.9442 - 0.0007*$B9 - dis_BMI*($C9-21.75))-0.19*0.5)*BD9</f>
        <v>9.9902648500090603E-7</v>
      </c>
      <c r="CI9">
        <f>0.962*(0.93*0.943*(0.9442 - 0.0007*$B9 - dis_BMI*($C9-21.75)))*BE9</f>
        <v>1.8726937147595439E-6</v>
      </c>
      <c r="CJ9">
        <f t="shared" si="17"/>
        <v>0</v>
      </c>
      <c r="CK9">
        <f t="shared" si="18"/>
        <v>0.82657065636202653</v>
      </c>
      <c r="CL9">
        <f>CK9/(1+r_)^A9</f>
        <v>0.69223991173987209</v>
      </c>
      <c r="CM9">
        <f t="shared" si="19"/>
        <v>0</v>
      </c>
      <c r="CN9">
        <f>AE9*c_Other</f>
        <v>235.09877047022576</v>
      </c>
      <c r="CO9">
        <f>AF9*(c_Stroke1+c_Stroke2)</f>
        <v>42.828796319950833</v>
      </c>
      <c r="CP9">
        <f>AG9*c_Stroke2</f>
        <v>28.805262405514483</v>
      </c>
      <c r="CQ9">
        <f>AH9*(c_MI1+c_MI2)</f>
        <v>38.262798446797355</v>
      </c>
      <c r="CR9">
        <f>AI9*c_MI2</f>
        <v>12.055583989530115</v>
      </c>
      <c r="CS9">
        <f>AJ9*(c_Stroke1+c_Stroke2+c_MI2)</f>
        <v>0.28445871769016801</v>
      </c>
      <c r="CT9">
        <f>AK9*(c_Stroke2+c_MI1+c_MI2)</f>
        <v>0.3367584921063046</v>
      </c>
      <c r="CU9">
        <f>AL9*(c_Stroke2+c_MI2)</f>
        <v>0.19319409410425226</v>
      </c>
      <c r="CV9">
        <f>AM9*(c_HF1)</f>
        <v>5.6813127487377857</v>
      </c>
      <c r="CW9">
        <f>AN9*(c_HF2)</f>
        <v>10.846453689317757</v>
      </c>
      <c r="CX9">
        <f>AO9*(c_Stroke2+c_HF1)</f>
        <v>4.8764090625005835E-2</v>
      </c>
      <c r="CY9">
        <f>AP9*(c_Stroke1+c_Stroke2+c_HF2)</f>
        <v>6.7166929853667234E-2</v>
      </c>
      <c r="CZ9">
        <f>AQ9*(c_Stroke2+c_HF2)</f>
        <v>7.5439753120326122E-2</v>
      </c>
      <c r="DA9">
        <f>AR9*c_DM</f>
        <v>3116.5593881894429</v>
      </c>
      <c r="DB9">
        <f>AS9*(c_Other+c_DM)</f>
        <v>251.30364705339045</v>
      </c>
      <c r="DC9">
        <f>AT9*(c_Stroke1+c_Stroke2+c_DM)</f>
        <v>43.409660800677159</v>
      </c>
      <c r="DD9">
        <f>AU9*(c_Stroke2+c_DM)</f>
        <v>44.880634323702502</v>
      </c>
      <c r="DE9">
        <f>AV9*(c_MI1+c_MI2+c_DM)</f>
        <v>37.562701684962569</v>
      </c>
      <c r="DF9">
        <f>AW9*(c_MI2+c_DM)</f>
        <v>31.909356905045133</v>
      </c>
      <c r="DG9">
        <f>AX9*(c_Stroke1+c_Stroke2+c_MI2+c_DM)</f>
        <v>0.38902147412838894</v>
      </c>
      <c r="DH9">
        <f>AY9*(c_Stroke2+c_MI1+c_MI2+c_DM)</f>
        <v>0.43669864865323227</v>
      </c>
      <c r="DI9">
        <f>AZ9*(c_Stroke2+c_MI2+c_DM)</f>
        <v>0.33127261356322091</v>
      </c>
      <c r="DJ9">
        <f>BA9*(c_HF1+c_DM)</f>
        <v>5.4318535723289001</v>
      </c>
      <c r="DK9">
        <f>BB9*(c_HF2+c_DM)</f>
        <v>10.306309576490143</v>
      </c>
      <c r="DL9">
        <f>BC9*(c_Stroke2+c_HF1+c_DM)</f>
        <v>6.1473433096541505E-2</v>
      </c>
      <c r="DM9">
        <f>BD9*(c_Stroke1+c_Stroke2+c_HF2+c_DM)</f>
        <v>8.0650157622701474E-2</v>
      </c>
      <c r="DN9">
        <f>BE9*(c_Stroke2+c_HF2+c_DM)</f>
        <v>8.7061867017476022E-2</v>
      </c>
      <c r="DO9">
        <f t="shared" si="20"/>
        <v>0</v>
      </c>
      <c r="DP9">
        <f t="shared" si="21"/>
        <v>3917.3344904476944</v>
      </c>
      <c r="DQ9">
        <f>DP9/(1+r_)^A9</f>
        <v>3280.7059639138297</v>
      </c>
    </row>
    <row r="10" spans="1:121" x14ac:dyDescent="0.3">
      <c r="A10">
        <v>7</v>
      </c>
      <c r="B10">
        <v>52</v>
      </c>
      <c r="C10">
        <f t="shared" si="0"/>
        <v>38</v>
      </c>
      <c r="D10">
        <f t="shared" si="1"/>
        <v>125</v>
      </c>
      <c r="E10">
        <f t="shared" si="2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2"/>
        <v>5.6857293942168513E-2</v>
      </c>
      <c r="J10">
        <f t="shared" si="23"/>
        <v>0.11819026978332936</v>
      </c>
      <c r="K10">
        <f t="shared" si="24"/>
        <v>0.1615097842376213</v>
      </c>
      <c r="L10">
        <f t="shared" si="25"/>
        <v>5.780556569246309E-2</v>
      </c>
      <c r="M10">
        <f t="shared" si="26"/>
        <v>8.0008020405025526E-2</v>
      </c>
      <c r="N10">
        <f t="shared" si="27"/>
        <v>0.25561821203060797</v>
      </c>
      <c r="O10">
        <f t="shared" si="28"/>
        <v>0.34105555727825376</v>
      </c>
      <c r="P10">
        <f t="shared" si="29"/>
        <v>0.13515636049957747</v>
      </c>
      <c r="Q10">
        <f t="shared" si="30"/>
        <v>0.18549543748000974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9.4806163679890046E-3</v>
      </c>
      <c r="U10">
        <f t="shared" si="31"/>
        <v>0.23946551234751667</v>
      </c>
      <c r="V10">
        <f t="shared" si="32"/>
        <v>0.31843377483315061</v>
      </c>
      <c r="W10">
        <f t="shared" si="33"/>
        <v>0.12154032453633146</v>
      </c>
      <c r="X10">
        <f t="shared" si="34"/>
        <v>0.16596762647635588</v>
      </c>
      <c r="Y10">
        <f t="shared" si="35"/>
        <v>0.39488089668628101</v>
      </c>
      <c r="Z10">
        <f t="shared" si="36"/>
        <v>0.50825091889367302</v>
      </c>
      <c r="AA10">
        <f t="shared" si="37"/>
        <v>0.21893049035281176</v>
      </c>
      <c r="AB10">
        <f t="shared" si="38"/>
        <v>0.29470352497572949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1.7864010901783849E-2</v>
      </c>
      <c r="AD10">
        <f t="shared" si="39"/>
        <v>0.61613504880278003</v>
      </c>
      <c r="AE10">
        <f t="shared" si="5"/>
        <v>1.8444917231023344E-2</v>
      </c>
      <c r="AF10">
        <f t="shared" si="6"/>
        <v>1.8672299239268285E-3</v>
      </c>
      <c r="AG10">
        <f t="shared" si="7"/>
        <v>5.0897037291409569E-3</v>
      </c>
      <c r="AH10">
        <f t="shared" si="8"/>
        <v>1.3367247850672901E-3</v>
      </c>
      <c r="AI10">
        <f t="shared" si="9"/>
        <v>4.425875539320577E-3</v>
      </c>
      <c r="AJ10">
        <f t="shared" si="10"/>
        <v>1.3482683033591247E-5</v>
      </c>
      <c r="AK10">
        <f t="shared" si="11"/>
        <v>1.1849670919613678E-5</v>
      </c>
      <c r="AL10">
        <f t="shared" si="12"/>
        <v>2.9318385046342077E-5</v>
      </c>
      <c r="AM10">
        <f t="shared" si="13"/>
        <v>2.2054734901826465E-4</v>
      </c>
      <c r="AN10">
        <f t="shared" si="14"/>
        <v>8.4615835257919594E-4</v>
      </c>
      <c r="AO10">
        <f t="shared" si="15"/>
        <v>1.8891617641916792E-6</v>
      </c>
      <c r="AP10">
        <f>AM9*T9*p_Stroke*p_Stroke_rec*(1-I9) + AN9*T9*p_Stroke*p_Stroke_rec*(1-I9) + AO9*(p_recur_Stroke*p_Stroke_rec)*(1-I9) + AP9*(p_recur_Stroke*p_Stroke_rec)*(1-I9) + AQ9*(p_recur_Stroke*p_Stroke_rec)*(1-I9)</f>
        <v>2.3107080064740756E-6</v>
      </c>
      <c r="AQ10">
        <f>AO9*(1-p_recur_Stroke-H9*rr_Stroke*rr_HF)*(1-I9) + AP9*(1-p_recur_Stroke-H9*rr_Stroke*rr_HF)*(1-I9) + AQ9*(1-p_recur_Stroke-H9*rr_Stroke*rr_HF)*(1-I9)</f>
        <v>5.3207242589483917E-6</v>
      </c>
      <c r="AR10">
        <f>AR9*(1-AC9-H9*rr_DM) + AD9*(1-T9-H9)*I9</f>
        <v>0.30410337970444179</v>
      </c>
      <c r="AS10">
        <f>AR9*AC9*p_Other + AD9*T9*p_Other*I9 + AE9*(1-T9*p_Stroke-T9*p_MI-H9*rr_Other)*I9 + AS9*(1-AC9*p_Stroke-AC9*p_MI-H9*rr_Other*rr_DM)</f>
        <v>1.3287133578597496E-2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1.5426619692608997E-3</v>
      </c>
      <c r="AU10">
        <f>AF9*(1-p_recur_Stroke-T9*p_MI-H9*rr_Stroke)*I9 + AG9*(1-p_recur_Stroke-T9*p_MI-H9*rr_Stroke)*I9 + AT9*(1-p_recur_Stroke-AC9*p_MI-H9*rr_Stroke*rr_DM) + AU9*(1-p_recur_Stroke-AC9*p_MI-H9*rr_Stroke*rr_DM)</f>
        <v>3.5295292332257104E-3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1.1385675474965481E-3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3.0846415120200201E-3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1.5931905140642949E-5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1.4331311197301854E-5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2.8929251601123945E-5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1.7889043230241608E-4</v>
      </c>
      <c r="BB10">
        <f>AM9*(1-T9*p_Stroke - H9*rr_HF)*I9 + AN9*(1-T9*p_Stroke - H9*rr_HF)*I9 + BA9*(1-AC9*p_Stroke - H9*rr_HF*rr_DM) + BB9*(1-AC9*p_Stroke - H9*rr_HF*rr_DM)</f>
        <v>5.6738982836258942E-4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2.1852623208215552E-6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2.6340574593304393E-6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5.0679575822021767E-6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2.4068349403105201E-2</v>
      </c>
      <c r="BG10">
        <f t="shared" si="16"/>
        <v>0.99999999999999989</v>
      </c>
      <c r="BH10">
        <f>(0.9442 - 0.0007*$B10 - dis_BMI*($C10-21.75))*AD10</f>
        <v>0.5262871553111147</v>
      </c>
      <c r="BI10">
        <f>0.959*(0.9442 - 0.0007*$B10 - dis_BMI*($C10-21.75))*AE10</f>
        <v>1.5109224501601182E-2</v>
      </c>
      <c r="BJ10">
        <f>(0.943*(0.9442 - 0.0007*$B10 - dis_BMI*($C10-21.75)) - 0.19*0.5)*AF10</f>
        <v>1.3266426336417487E-3</v>
      </c>
      <c r="BK10">
        <f>(0.943*(0.9442 - 0.0007*$B10 - dis_BMI*($C10-21.75)))*AG10</f>
        <v>4.0996903149171553E-3</v>
      </c>
      <c r="BL10">
        <f>(0.955*(0.9442 - 0.0007*$B10 - dis_BMI*($C10-21.75)) - 0.15*0.5)*AH10</f>
        <v>9.9016167420698737E-4</v>
      </c>
      <c r="BM10">
        <f>(0.955*(0.9442 - 0.0007*$B10 - dis_BMI*($C10-21.75)))*AI10</f>
        <v>3.6103509880531918E-3</v>
      </c>
      <c r="BN10">
        <f>(0.955*0.943*(0.9442 - 0.0007*$B10 - dis_BMI*($C10-21.75)) - 0.19*0.5)*AJ10</f>
        <v>9.0905656764956772E-6</v>
      </c>
      <c r="BO10">
        <f>(0.955*0.943*(0.9442 - 0.0007*$B10 - dis_BMI*($C10-21.75)) - 0.15*0.5)*AK10</f>
        <v>8.2265168293655209E-6</v>
      </c>
      <c r="BP10">
        <f>(0.955*0.943*(0.9442 - 0.0007*$B10 - dis_BMI*($C10-21.75)))*AL10</f>
        <v>2.2552877705087348E-5</v>
      </c>
      <c r="BQ10">
        <f>(0.93*(0.9442 - 0.0007*$B10 - dis_BMI*($C10-21.75)))*AM10</f>
        <v>1.7519900961833888E-4</v>
      </c>
      <c r="BR10">
        <f>(0.93*(0.9442 - 0.0007*$B10 - dis_BMI*($C10-21.75)))*AN10</f>
        <v>6.7217359905733128E-4</v>
      </c>
      <c r="BS10">
        <f>(0.93*0.943*(0.9442 - 0.0007*$B10 - dis_BMI*($C10-21.75)))*AO10</f>
        <v>1.4151766189397319E-6</v>
      </c>
      <c r="BT10">
        <f>(0.93*0.943*(0.9442 - 0.0007*$B10 - dis_BMI*($C10-21.75))-0.19*0.5)*AP10</f>
        <v>1.5114408849189532E-6</v>
      </c>
      <c r="BU10">
        <f>(0.93*0.943*(0.9442 - 0.0007*$B10 - dis_BMI*($C10-21.75)))*AQ10</f>
        <v>3.9857701493926735E-6</v>
      </c>
      <c r="BV10">
        <f>0.962*(0.9442 - 0.0007*$B10 - dis_BMI*($C10-21.75))*AR10</f>
        <v>0.24988671919339797</v>
      </c>
      <c r="BW10">
        <f>0.962*0.959*(0.9442 - 0.0007*$B10 - dis_BMI*($C10-21.75))*AS10</f>
        <v>1.04706064550147E-2</v>
      </c>
      <c r="BX10">
        <f>0.962*(0.943*(0.9442 - 0.0007*$B10 - dis_BMI*($C10-21.75)) - 0.19*0.5)*AT10</f>
        <v>1.054391743222227E-3</v>
      </c>
      <c r="BY10">
        <f>0.962*(0.943*(0.9442 - 0.0007*$B10 - dis_BMI*($C10-21.75)))*AU10</f>
        <v>2.734956381656091E-3</v>
      </c>
      <c r="BZ10">
        <f>0.962*(0.955*(0.9442 - 0.0007*$B10 - dis_BMI*($C10-21.75)) - 0.15*0.5)*AV10</f>
        <v>8.1133084018435999E-4</v>
      </c>
      <c r="CA10">
        <f>0.962*(0.955*(0.9442 - 0.0007*$B10 - dis_BMI*($C10-21.75)))*AW10</f>
        <v>2.4206388479213713E-3</v>
      </c>
      <c r="CB10">
        <f>0.962*(0.955*0.943*(0.9442 - 0.0007*$B10 - dis_BMI*($C10-21.75)) - 0.19*0.5)*AX10</f>
        <v>1.0333736137261969E-5</v>
      </c>
      <c r="CC10">
        <f>0.962*(0.955*0.943*(0.9442 - 0.0007*$B10 - dis_BMI*($C10-21.75)) - 0.15*0.5)*AY10</f>
        <v>9.5712949461907639E-6</v>
      </c>
      <c r="CD10">
        <f>0.962*(0.955*0.943*(0.9442 - 0.0007*$B10 - dis_BMI*($C10-21.75)))*AZ10</f>
        <v>2.1407906106570655E-5</v>
      </c>
      <c r="CE10">
        <f>0.962*(0.93*(0.9442 - 0.0007*$B10 - dis_BMI*($C10-21.75)))*BA10</f>
        <v>1.3670738956576099E-4</v>
      </c>
      <c r="CF10">
        <f>0.962*(0.93*(0.9442 - 0.0007*$B10 - dis_BMI*($C10-21.75)))*BB10</f>
        <v>4.335971538739871E-4</v>
      </c>
      <c r="CG10">
        <f>0.962*(0.93*0.943*(0.9442 - 0.0007*$B10 - dis_BMI*($C10-21.75)))*BC10</f>
        <v>1.5747809306991008E-6</v>
      </c>
      <c r="CH10">
        <f>0.962*(0.93*0.943*(0.9442 - 0.0007*$B10 - dis_BMI*($C10-21.75))-0.19*0.5)*BD10</f>
        <v>1.6574728114981938E-6</v>
      </c>
      <c r="CI10">
        <f>0.962*(0.93*0.943*(0.9442 - 0.0007*$B10 - dis_BMI*($C10-21.75)))*BE10</f>
        <v>3.6521578585784881E-6</v>
      </c>
      <c r="CJ10">
        <f t="shared" si="17"/>
        <v>0</v>
      </c>
      <c r="CK10">
        <f t="shared" si="18"/>
        <v>0.82031452573370223</v>
      </c>
      <c r="CL10">
        <f>CK10/(1+r_)^A10</f>
        <v>0.66699077750572244</v>
      </c>
      <c r="CM10">
        <f t="shared" si="19"/>
        <v>0</v>
      </c>
      <c r="CN10">
        <f>AE10*c_Other</f>
        <v>263.37497314178233</v>
      </c>
      <c r="CO10">
        <f>AF10*(c_Stroke1+c_Stroke2)</f>
        <v>44.469947868241348</v>
      </c>
      <c r="CP10">
        <f>AG10*c_Stroke2</f>
        <v>33.08307423941622</v>
      </c>
      <c r="CQ10">
        <f>AH10*(c_MI1+c_MI2)</f>
        <v>38.966864209496578</v>
      </c>
      <c r="CR10">
        <f>AI10*c_MI2</f>
        <v>13.795454056062239</v>
      </c>
      <c r="CS10">
        <f>AJ10*(c_Stroke1+c_Stroke2+c_MI2)</f>
        <v>0.36312910214371308</v>
      </c>
      <c r="CT10">
        <f>AK10*(c_Stroke2+c_MI1+c_MI2)</f>
        <v>0.42245261795514727</v>
      </c>
      <c r="CU10">
        <f>AL10*(c_Stroke2+c_MI2)</f>
        <v>0.28195490899067177</v>
      </c>
      <c r="CV10">
        <f>AM10*(c_HF1)</f>
        <v>5.961394843963693</v>
      </c>
      <c r="CW10">
        <f>AN10*(c_HF2)</f>
        <v>13.204301091998353</v>
      </c>
      <c r="CX10">
        <f>AO10*(c_Stroke2+c_HF1)</f>
        <v>6.3343593953347002E-2</v>
      </c>
      <c r="CY10">
        <f>AP10*(c_Stroke1+c_Stroke2+c_HF2)</f>
        <v>9.109042032321453E-2</v>
      </c>
      <c r="CZ10">
        <f>AQ10*(c_Stroke2+c_HF2)</f>
        <v>0.1176146097440542</v>
      </c>
      <c r="DA10">
        <f>AR10*c_DM</f>
        <v>3474.3811131232474</v>
      </c>
      <c r="DB10">
        <f>AS10*(c_Other+c_DM)</f>
        <v>341.53248150427004</v>
      </c>
      <c r="DC10">
        <f>AT10*(c_Stroke1+c_Stroke2+c_DM)</f>
        <v>54.364950458723364</v>
      </c>
      <c r="DD10">
        <f>AU10*(c_Stroke2+c_DM)</f>
        <v>63.266811505570857</v>
      </c>
      <c r="DE10">
        <f>AV10*(c_MI1+c_MI2+c_DM)</f>
        <v>46.198516807219939</v>
      </c>
      <c r="DF10">
        <f>AW10*(c_MI2+c_DM)</f>
        <v>44.85685686779513</v>
      </c>
      <c r="DG10">
        <f>AX10*(c_Stroke1+c_Stroke2+c_MI2+c_DM)</f>
        <v>0.61111601738478227</v>
      </c>
      <c r="DH10">
        <f>AY10*(c_Stroke2+c_MI1+c_MI2+c_DM)</f>
        <v>0.67466080592418209</v>
      </c>
      <c r="DI10">
        <f>AZ10*(c_Stroke2+c_MI2+c_DM)</f>
        <v>0.60872931219085002</v>
      </c>
      <c r="DJ10">
        <f>BA10*(c_HF1+c_DM)</f>
        <v>6.8792315741894106</v>
      </c>
      <c r="DK10">
        <f>BB10*(c_HF2+c_DM)</f>
        <v>15.336547060640791</v>
      </c>
      <c r="DL10">
        <f>BC10*(c_Stroke2+c_HF1+c_DM)</f>
        <v>9.8238467632533008E-2</v>
      </c>
      <c r="DM10">
        <f>BD10*(c_Stroke1+c_Stroke2+c_HF2+c_DM)</f>
        <v>0.13393128557711551</v>
      </c>
      <c r="DN10">
        <f>BE10*(c_Stroke2+c_HF2+c_DM)</f>
        <v>0.16992861773123899</v>
      </c>
      <c r="DO10">
        <f t="shared" si="20"/>
        <v>0</v>
      </c>
      <c r="DP10">
        <f t="shared" si="21"/>
        <v>4463.3087081121685</v>
      </c>
      <c r="DQ10">
        <f>DP10/(1+r_)^A10</f>
        <v>3629.078423070875</v>
      </c>
    </row>
    <row r="11" spans="1:121" x14ac:dyDescent="0.3">
      <c r="A11">
        <v>8</v>
      </c>
      <c r="B11">
        <v>53</v>
      </c>
      <c r="C11">
        <f t="shared" si="0"/>
        <v>38</v>
      </c>
      <c r="D11">
        <f t="shared" si="1"/>
        <v>125</v>
      </c>
      <c r="E11">
        <f t="shared" si="2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2"/>
        <v>5.6857293942168513E-2</v>
      </c>
      <c r="J11">
        <f t="shared" si="23"/>
        <v>0.12407095553545622</v>
      </c>
      <c r="K11">
        <f t="shared" si="24"/>
        <v>0.16933057020364872</v>
      </c>
      <c r="L11">
        <f t="shared" si="25"/>
        <v>6.0785353413809307E-2</v>
      </c>
      <c r="M11">
        <f t="shared" si="26"/>
        <v>8.4080266134126447E-2</v>
      </c>
      <c r="N11">
        <f t="shared" si="27"/>
        <v>0.2689220365870616</v>
      </c>
      <c r="O11">
        <f t="shared" si="28"/>
        <v>0.3576345032814896</v>
      </c>
      <c r="P11">
        <f t="shared" si="29"/>
        <v>0.14279422130874286</v>
      </c>
      <c r="Q11">
        <f t="shared" si="30"/>
        <v>0.1956409109635695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9.9713994829389446E-3</v>
      </c>
      <c r="U11">
        <f t="shared" si="31"/>
        <v>0.2504602859564018</v>
      </c>
      <c r="V11">
        <f t="shared" si="32"/>
        <v>0.3321929742348636</v>
      </c>
      <c r="W11">
        <f t="shared" si="33"/>
        <v>0.12757534306838414</v>
      </c>
      <c r="X11">
        <f t="shared" si="34"/>
        <v>0.17398111168598673</v>
      </c>
      <c r="Y11">
        <f t="shared" si="35"/>
        <v>0.41316846862527323</v>
      </c>
      <c r="Z11">
        <f t="shared" si="36"/>
        <v>0.52911803539232105</v>
      </c>
      <c r="AA11">
        <f t="shared" si="37"/>
        <v>0.23063210828116187</v>
      </c>
      <c r="AB11">
        <f t="shared" si="38"/>
        <v>0.30958743745218098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1.8724972403258287E-2</v>
      </c>
      <c r="AD11">
        <f t="shared" si="39"/>
        <v>0.57324059171061637</v>
      </c>
      <c r="AE11">
        <f t="shared" si="5"/>
        <v>2.0218177989602112E-2</v>
      </c>
      <c r="AF11">
        <f t="shared" si="6"/>
        <v>1.9250253238895041E-3</v>
      </c>
      <c r="AG11">
        <f t="shared" si="7"/>
        <v>5.6771548280429383E-3</v>
      </c>
      <c r="AH11">
        <f t="shared" si="8"/>
        <v>1.3548448764175798E-3</v>
      </c>
      <c r="AI11">
        <f t="shared" si="9"/>
        <v>4.9203754657217522E-3</v>
      </c>
      <c r="AJ11">
        <f t="shared" si="10"/>
        <v>1.6593450005424988E-5</v>
      </c>
      <c r="AK11">
        <f t="shared" si="11"/>
        <v>1.4364336932473019E-5</v>
      </c>
      <c r="AL11">
        <f t="shared" si="12"/>
        <v>3.9887984698034984E-5</v>
      </c>
      <c r="AM11">
        <f t="shared" si="13"/>
        <v>2.2933300549909426E-4</v>
      </c>
      <c r="AN11">
        <f t="shared" si="14"/>
        <v>9.9644631891701E-4</v>
      </c>
      <c r="AO11">
        <f t="shared" si="15"/>
        <v>2.3584861214234753E-6</v>
      </c>
      <c r="AP11">
        <f>AM10*T10*p_Stroke*p_Stroke_rec*(1-I10) + AN10*T10*p_Stroke*p_Stroke_rec*(1-I10) + AO10*(p_recur_Stroke*p_Stroke_rec)*(1-I10) + AP10*(p_recur_Stroke*p_Stroke_rec)*(1-I10) + AQ10*(p_recur_Stroke*p_Stroke_rec)*(1-I10)</f>
        <v>3.009559138972441E-6</v>
      </c>
      <c r="AQ11">
        <f>AO10*(1-p_recur_Stroke-H10*rr_Stroke*rr_HF)*(1-I10) + AP10*(1-p_recur_Stroke-H10*rr_Stroke*rr_HF)*(1-I10) + AQ10*(1-p_recur_Stroke-H10*rr_Stroke*rr_HF)*(1-I10)</f>
        <v>7.6946023515975603E-6</v>
      </c>
      <c r="AR11">
        <f>AR10*(1-AC10-H10*rr_DM) + AD10*(1-T10-H10)*I10</f>
        <v>0.33181228223909998</v>
      </c>
      <c r="AS11">
        <f>AR10*AC10*p_Other + AD10*T10*p_Other*I10 + AE10*(1-T10*p_Stroke-T10*p_MI-H10*rr_Other)*I10 + AS10*(1-AC10*p_Stroke-AC10*p_MI-H10*rr_Other*rr_DM)</f>
        <v>1.7269469573001364E-2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1.8757639115068868E-3</v>
      </c>
      <c r="AU11">
        <f>AF10*(1-p_recur_Stroke-T10*p_MI-H10*rr_Stroke)*I10 + AG10*(1-p_recur_Stroke-T10*p_MI-H10*rr_Stroke)*I10 + AT10*(1-p_recur_Stroke-AC10*p_MI-H10*rr_Stroke*rr_DM) + AU10*(1-p_recur_Stroke-AC10*p_MI-H10*rr_Stroke*rr_DM)</f>
        <v>4.7118987452868695E-3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1.3620676597052087E-3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4.1077853039685535E-3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2.3499018053448049E-5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2.0823184067746709E-5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4.8034152761575817E-5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2.1959871306755077E-4</v>
      </c>
      <c r="BB11">
        <f>AM10*(1-T10*p_Stroke - H10*rr_HF)*I10 + AN10*(1-T10*p_Stroke - H10*rr_HF)*I10 + BA10*(1-AC10*p_Stroke - H10*rr_HF*rr_DM) + BB10*(1-AC10*p_Stroke - H10*rr_HF*rr_DM)</f>
        <v>7.9695874421067481E-4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3.2699277401263393E-6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4.0939443125021225E-6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8.902344261124938E-6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2.9089694601001873E-2</v>
      </c>
      <c r="BG11">
        <f t="shared" si="16"/>
        <v>0.99999999999999989</v>
      </c>
      <c r="BH11">
        <f>(0.9442 - 0.0007*$B11 - dis_BMI*($C11-21.75))*AD11</f>
        <v>0.48924651401021829</v>
      </c>
      <c r="BI11">
        <f>0.959*(0.9442 - 0.0007*$B11 - dis_BMI*($C11-21.75))*AE11</f>
        <v>1.654822537182896E-2</v>
      </c>
      <c r="BJ11">
        <f>(0.943*(0.9442 - 0.0007*$B11 - dis_BMI*($C11-21.75)) - 0.19*0.5)*AF11</f>
        <v>1.3664348062036157E-3</v>
      </c>
      <c r="BK11">
        <f>(0.943*(0.9442 - 0.0007*$B11 - dis_BMI*($C11-21.75)))*AG11</f>
        <v>4.5691270630027012E-3</v>
      </c>
      <c r="BL11">
        <f>(0.955*(0.9442 - 0.0007*$B11 - dis_BMI*($C11-21.75)) - 0.15*0.5)*AH11</f>
        <v>1.0026781847786532E-3</v>
      </c>
      <c r="BM11">
        <f>(0.955*(0.9442 - 0.0007*$B11 - dis_BMI*($C11-21.75)))*AI11</f>
        <v>4.010443665329563E-3</v>
      </c>
      <c r="BN11">
        <f>(0.955*0.943*(0.9442 - 0.0007*$B11 - dis_BMI*($C11-21.75)) - 0.19*0.5)*AJ11</f>
        <v>1.1177509102056719E-5</v>
      </c>
      <c r="BO11">
        <f>(0.955*0.943*(0.9442 - 0.0007*$B11 - dis_BMI*($C11-21.75)) - 0.15*0.5)*AK11</f>
        <v>9.9632436225545379E-6</v>
      </c>
      <c r="BP11">
        <f>(0.955*0.943*(0.9442 - 0.0007*$B11 - dis_BMI*($C11-21.75)))*AL11</f>
        <v>3.0658292485863054E-5</v>
      </c>
      <c r="BQ11">
        <f>(0.93*(0.9442 - 0.0007*$B11 - dis_BMI*($C11-21.75)))*AM11</f>
        <v>1.8202888778755572E-4</v>
      </c>
      <c r="BR11">
        <f>(0.93*(0.9442 - 0.0007*$B11 - dis_BMI*($C11-21.75)))*AN11</f>
        <v>7.9091108049505652E-4</v>
      </c>
      <c r="BS11">
        <f>(0.93*0.943*(0.9442 - 0.0007*$B11 - dis_BMI*($C11-21.75)))*AO11</f>
        <v>1.7653010134672022E-6</v>
      </c>
      <c r="BT11">
        <f>(0.93*0.943*(0.9442 - 0.0007*$B11 - dis_BMI*($C11-21.75))-0.19*0.5)*AP11</f>
        <v>1.966713913302717E-6</v>
      </c>
      <c r="BU11">
        <f>(0.93*0.943*(0.9442 - 0.0007*$B11 - dis_BMI*($C11-21.75)))*AQ11</f>
        <v>5.7593255292526511E-6</v>
      </c>
      <c r="BV11">
        <f>0.962*(0.9442 - 0.0007*$B11 - dis_BMI*($C11-21.75))*AR11</f>
        <v>0.27243213505582325</v>
      </c>
      <c r="BW11">
        <f>0.962*0.959*(0.9442 - 0.0007*$B11 - dis_BMI*($C11-21.75))*AS11</f>
        <v>1.3597638217183034E-2</v>
      </c>
      <c r="BX11">
        <f>0.962*(0.943*(0.9442 - 0.0007*$B11 - dis_BMI*($C11-21.75)) - 0.19*0.5)*AT11</f>
        <v>1.2808719556163311E-3</v>
      </c>
      <c r="BY11">
        <f>0.962*(0.943*(0.9442 - 0.0007*$B11 - dis_BMI*($C11-21.75)))*AU11</f>
        <v>3.6481569849135267E-3</v>
      </c>
      <c r="BZ11">
        <f>0.962*(0.955*(0.9442 - 0.0007*$B11 - dis_BMI*($C11-21.75)) - 0.15*0.5)*AV11</f>
        <v>9.6971864555215172E-4</v>
      </c>
      <c r="CA11">
        <f>0.962*(0.955*(0.9442 - 0.0007*$B11 - dis_BMI*($C11-21.75)))*AW11</f>
        <v>3.2208980965598233E-3</v>
      </c>
      <c r="CB11">
        <f>0.962*(0.955*0.943*(0.9442 - 0.0007*$B11 - dis_BMI*($C11-21.75)) - 0.19*0.5)*AX11</f>
        <v>1.522765847658516E-5</v>
      </c>
      <c r="CC11">
        <f>0.962*(0.955*0.943*(0.9442 - 0.0007*$B11 - dis_BMI*($C11-21.75)) - 0.15*0.5)*AY11</f>
        <v>1.3894322548938843E-5</v>
      </c>
      <c r="CD11">
        <f>0.962*(0.955*0.943*(0.9442 - 0.0007*$B11 - dis_BMI*($C11-21.75)))*AZ11</f>
        <v>3.551657476360689E-5</v>
      </c>
      <c r="CE11">
        <f>0.962*(0.93*(0.9442 - 0.0007*$B11 - dis_BMI*($C11-21.75)))*BA11</f>
        <v>1.6767897692966248E-4</v>
      </c>
      <c r="CF11">
        <f>0.962*(0.93*(0.9442 - 0.0007*$B11 - dis_BMI*($C11-21.75)))*BB11</f>
        <v>6.0853374328877598E-4</v>
      </c>
      <c r="CG11">
        <f>0.962*(0.93*0.943*(0.9442 - 0.0007*$B11 - dis_BMI*($C11-21.75)))*BC11</f>
        <v>2.3544998830100426E-6</v>
      </c>
      <c r="CH11">
        <f>0.962*(0.93*0.943*(0.9442 - 0.0007*$B11 - dis_BMI*($C11-21.75))-0.19*0.5)*BD11</f>
        <v>2.5736845255086281E-6</v>
      </c>
      <c r="CI11">
        <f>0.962*(0.93*0.943*(0.9442 - 0.0007*$B11 - dis_BMI*($C11-21.75)))*BE11</f>
        <v>6.4101014417290898E-6</v>
      </c>
      <c r="CJ11">
        <f t="shared" si="17"/>
        <v>0</v>
      </c>
      <c r="CK11">
        <f t="shared" si="18"/>
        <v>0.81377926197281669</v>
      </c>
      <c r="CL11">
        <f>CK11/(1+r_)^A11</f>
        <v>0.64240486409452102</v>
      </c>
      <c r="CM11">
        <f t="shared" si="19"/>
        <v>0</v>
      </c>
      <c r="CN11">
        <f>AE11*c_Other</f>
        <v>288.69536351352855</v>
      </c>
      <c r="CO11">
        <f>AF11*(c_Stroke1+c_Stroke2)</f>
        <v>45.84640311375243</v>
      </c>
      <c r="CP11">
        <f>AG11*c_Stroke2</f>
        <v>36.901506382279102</v>
      </c>
      <c r="CQ11">
        <f>AH11*(c_MI1+c_MI2)</f>
        <v>39.495082992448872</v>
      </c>
      <c r="CR11">
        <f>AI11*c_MI2</f>
        <v>15.336810326654701</v>
      </c>
      <c r="CS11">
        <f>AJ11*(c_Stroke1+c_Stroke2+c_MI2)</f>
        <v>0.44691138899611121</v>
      </c>
      <c r="CT11">
        <f>AK11*(c_Stroke2+c_MI1+c_MI2)</f>
        <v>0.51210297597959564</v>
      </c>
      <c r="CU11">
        <f>AL11*(c_Stroke2+c_MI2)</f>
        <v>0.38360274884100243</v>
      </c>
      <c r="CV11">
        <f>AM11*(c_HF1)</f>
        <v>6.1988711386405182</v>
      </c>
      <c r="CW11">
        <f>AN11*(c_HF2)</f>
        <v>15.549544806699942</v>
      </c>
      <c r="CX11">
        <f>AO11*(c_Stroke2+c_HF1)</f>
        <v>7.908003965132912E-2</v>
      </c>
      <c r="CY11">
        <f>AP11*(c_Stroke1+c_Stroke2+c_HF2)</f>
        <v>0.1186398308174326</v>
      </c>
      <c r="CZ11">
        <f>AQ11*(c_Stroke2+c_HF2)</f>
        <v>0.17008918498206407</v>
      </c>
      <c r="DA11">
        <f>AR11*c_DM</f>
        <v>3790.9553245817174</v>
      </c>
      <c r="DB11">
        <f>AS11*(c_Other+c_DM)</f>
        <v>443.89444590442707</v>
      </c>
      <c r="DC11">
        <f>AT11*(c_Stroke1+c_Stroke2+c_DM)</f>
        <v>66.103796005414196</v>
      </c>
      <c r="DD11">
        <f>AU11*(c_Stroke2+c_DM)</f>
        <v>84.460785009267141</v>
      </c>
      <c r="DE11">
        <f>AV11*(c_MI1+c_MI2+c_DM)</f>
        <v>55.267257360198549</v>
      </c>
      <c r="DF11">
        <f>AW11*(c_MI2+c_DM)</f>
        <v>59.735413890310703</v>
      </c>
      <c r="DG11">
        <f>AX11*(c_Stroke1+c_Stroke2+c_MI2+c_DM)</f>
        <v>0.9013753344941603</v>
      </c>
      <c r="DH11">
        <f>AY11*(c_Stroke2+c_MI1+c_MI2+c_DM)</f>
        <v>0.98027221317324409</v>
      </c>
      <c r="DI11">
        <f>AZ11*(c_Stroke2+c_MI2+c_DM)</f>
        <v>1.0107346424090784</v>
      </c>
      <c r="DJ11">
        <f>BA11*(c_HF1+c_DM)</f>
        <v>8.4446685110126651</v>
      </c>
      <c r="DK11">
        <f>BB11*(c_HF2+c_DM)</f>
        <v>21.54179485601454</v>
      </c>
      <c r="DL11">
        <f>BC11*(c_Stroke2+c_HF1+c_DM)</f>
        <v>0.14699960155737959</v>
      </c>
      <c r="DM11">
        <f>BD11*(c_Stroke1+c_Stroke2+c_HF2+c_DM)</f>
        <v>0.20816069251348293</v>
      </c>
      <c r="DN11">
        <f>BE11*(c_Stroke2+c_HF2+c_DM)</f>
        <v>0.29849560307551914</v>
      </c>
      <c r="DO11">
        <f t="shared" si="20"/>
        <v>0</v>
      </c>
      <c r="DP11">
        <f t="shared" si="21"/>
        <v>4983.6835326488572</v>
      </c>
      <c r="DQ11">
        <f>DP11/(1+r_)^A11</f>
        <v>3934.1658015713051</v>
      </c>
    </row>
    <row r="12" spans="1:121" x14ac:dyDescent="0.3">
      <c r="A12">
        <v>9</v>
      </c>
      <c r="B12">
        <v>54</v>
      </c>
      <c r="C12">
        <f t="shared" si="0"/>
        <v>38</v>
      </c>
      <c r="D12">
        <f t="shared" si="1"/>
        <v>125</v>
      </c>
      <c r="E12">
        <f t="shared" si="2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2"/>
        <v>5.6857293942168513E-2</v>
      </c>
      <c r="J12">
        <f t="shared" si="23"/>
        <v>0.13010456337574394</v>
      </c>
      <c r="K12">
        <f t="shared" si="24"/>
        <v>0.17733290176161487</v>
      </c>
      <c r="L12">
        <f t="shared" si="25"/>
        <v>6.3853597650266769E-2</v>
      </c>
      <c r="M12">
        <f t="shared" si="26"/>
        <v>8.8267994941903738E-2</v>
      </c>
      <c r="N12">
        <f t="shared" si="27"/>
        <v>0.2825145583211438</v>
      </c>
      <c r="O12">
        <f t="shared" si="28"/>
        <v>0.37444500220193244</v>
      </c>
      <c r="P12">
        <f t="shared" si="29"/>
        <v>0.15067112194129006</v>
      </c>
      <c r="Q12">
        <f t="shared" si="30"/>
        <v>0.20606486929391055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1.0475467235079444E-2</v>
      </c>
      <c r="U12">
        <f t="shared" si="31"/>
        <v>0.26165107951524191</v>
      </c>
      <c r="V12">
        <f t="shared" si="32"/>
        <v>0.34611471018654683</v>
      </c>
      <c r="W12">
        <f t="shared" si="33"/>
        <v>0.13376602266478577</v>
      </c>
      <c r="X12">
        <f t="shared" si="34"/>
        <v>0.18217825250316555</v>
      </c>
      <c r="Y12">
        <f t="shared" si="35"/>
        <v>0.43161324383101041</v>
      </c>
      <c r="Z12">
        <f t="shared" si="36"/>
        <v>0.54989418946151192</v>
      </c>
      <c r="AA12">
        <f t="shared" si="37"/>
        <v>0.24262355746859032</v>
      </c>
      <c r="AB12">
        <f t="shared" si="38"/>
        <v>0.32474330306373111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1.9603300613130176E-2</v>
      </c>
      <c r="AD12">
        <f t="shared" si="39"/>
        <v>0.5328680873995405</v>
      </c>
      <c r="AE12">
        <f t="shared" si="5"/>
        <v>2.1788055540859993E-2</v>
      </c>
      <c r="AF12">
        <f t="shared" si="6"/>
        <v>1.9725338418733378E-3</v>
      </c>
      <c r="AG12">
        <f t="shared" si="7"/>
        <v>6.1946707349755728E-3</v>
      </c>
      <c r="AH12">
        <f t="shared" si="8"/>
        <v>1.3674557341003955E-3</v>
      </c>
      <c r="AI12">
        <f t="shared" si="9"/>
        <v>5.3539649318727379E-3</v>
      </c>
      <c r="AJ12">
        <f t="shared" si="10"/>
        <v>1.9864247790400772E-5</v>
      </c>
      <c r="AK12">
        <f t="shared" si="11"/>
        <v>1.6969962984014263E-5</v>
      </c>
      <c r="AL12">
        <f t="shared" si="12"/>
        <v>5.1586665969407012E-5</v>
      </c>
      <c r="AM12">
        <f t="shared" si="13"/>
        <v>2.3666225575445977E-4</v>
      </c>
      <c r="AN12">
        <f t="shared" si="14"/>
        <v>1.1441376381660911E-3</v>
      </c>
      <c r="AO12">
        <f t="shared" si="15"/>
        <v>2.857398620455669E-6</v>
      </c>
      <c r="AP12">
        <f>AM11*T11*p_Stroke*p_Stroke_rec*(1-I11) + AN11*T11*p_Stroke*p_Stroke_rec*(1-I11) + AO11*(p_recur_Stroke*p_Stroke_rec)*(1-I11) + AP11*(p_recur_Stroke*p_Stroke_rec)*(1-I11) + AQ11*(p_recur_Stroke*p_Stroke_rec)*(1-I11)</f>
        <v>3.7994004900804252E-6</v>
      </c>
      <c r="AQ12">
        <f>AO11*(1-p_recur_Stroke-H11*rr_Stroke*rr_HF)*(1-I11) + AP11*(1-p_recur_Stroke-H11*rr_Stroke*rr_HF)*(1-I11) + AQ11*(1-p_recur_Stroke-H11*rr_Stroke*rr_HF)*(1-I11)</f>
        <v>1.0531484837684172E-5</v>
      </c>
      <c r="AR12">
        <f>AR11*(1-AC11-H11*rr_DM) + AD11*(1-T11-H11)*I11</f>
        <v>0.35603718418585401</v>
      </c>
      <c r="AS12">
        <f>AR11*AC11*p_Other + AD11*T11*p_Other*I11 + AE11*(1-T11*p_Stroke-T11*p_MI-H11*rr_Other)*I11 + AS11*(1-AC11*p_Stroke-AC11*p_MI-H11*rr_Other*rr_DM)</f>
        <v>2.1687983183798526E-2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2.2293251953159994E-3</v>
      </c>
      <c r="AU12">
        <f>AF11*(1-p_recur_Stroke-T11*p_MI-H11*rr_Stroke)*I11 + AG11*(1-p_recur_Stroke-T11*p_MI-H11*rr_Stroke)*I11 + AT11*(1-p_recur_Stroke-AC11*p_MI-H11*rr_Stroke*rr_DM) + AU11*(1-p_recur_Stroke-AC11*p_MI-H11*rr_Stroke*rr_DM)</f>
        <v>6.0386897010732861E-3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1.595095124455736E-3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5.2541955035657461E-3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3.3066330577353121E-5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2.8908204547650212E-5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7.4111054359792732E-5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2.631350159948483E-4</v>
      </c>
      <c r="BB12">
        <f>AM11*(1-T11*p_Stroke - H11*rr_HF)*I11 + AN11*(1-T11*p_Stroke - H11*rr_HF)*I11 + BA11*(1-AC11*p_Stroke - H11*rr_HF*rr_DM) + BB11*(1-AC11*p_Stroke - H11*rr_HF*rr_DM)</f>
        <v>1.07175368594566E-3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4.6582896965104863E-6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6.0526450680345436E-6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1.4478371730879232E-5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3.4630186270180614E-2</v>
      </c>
      <c r="BG12">
        <f t="shared" si="16"/>
        <v>0.99999999999999989</v>
      </c>
      <c r="BH12">
        <f>(0.9442 - 0.0007*$B12 - dis_BMI*($C12-21.75))*AD12</f>
        <v>0.45441658323214318</v>
      </c>
      <c r="BI12">
        <f>0.959*(0.9442 - 0.0007*$B12 - dis_BMI*($C12-21.75))*AE12</f>
        <v>1.7818516392238748E-2</v>
      </c>
      <c r="BJ12">
        <f>(0.943*(0.9442 - 0.0007*$B12 - dis_BMI*($C12-21.75)) - 0.19*0.5)*AF12</f>
        <v>1.3988555618463672E-3</v>
      </c>
      <c r="BK12">
        <f>(0.943*(0.9442 - 0.0007*$B12 - dis_BMI*($C12-21.75)))*AG12</f>
        <v>4.9815486968657228E-3</v>
      </c>
      <c r="BL12">
        <f>(0.955*(0.9442 - 0.0007*$B12 - dis_BMI*($C12-21.75)) - 0.15*0.5)*AH12</f>
        <v>1.0110969407257993E-3</v>
      </c>
      <c r="BM12">
        <f>(0.955*(0.9442 - 0.0007*$B12 - dis_BMI*($C12-21.75)))*AI12</f>
        <v>4.3602697097627745E-3</v>
      </c>
      <c r="BN12">
        <f>(0.955*0.943*(0.9442 - 0.0007*$B12 - dis_BMI*($C12-21.75)) - 0.19*0.5)*AJ12</f>
        <v>1.3368227928083887E-5</v>
      </c>
      <c r="BO12">
        <f>(0.955*0.943*(0.9442 - 0.0007*$B12 - dis_BMI*($C12-21.75)) - 0.15*0.5)*AK12</f>
        <v>1.1759833373026204E-5</v>
      </c>
      <c r="BP12">
        <f>(0.955*0.943*(0.9442 - 0.0007*$B12 - dis_BMI*($C12-21.75)))*AL12</f>
        <v>3.9617492542630668E-5</v>
      </c>
      <c r="BQ12">
        <f>(0.93*(0.9442 - 0.0007*$B12 - dis_BMI*($C12-21.75)))*AM12</f>
        <v>1.876922792904388E-4</v>
      </c>
      <c r="BR12">
        <f>(0.93*(0.9442 - 0.0007*$B12 - dis_BMI*($C12-21.75)))*AN12</f>
        <v>9.0739353617999227E-4</v>
      </c>
      <c r="BS12">
        <f>(0.93*0.943*(0.9442 - 0.0007*$B12 - dis_BMI*($C12-21.75)))*AO12</f>
        <v>2.1369774140252306E-6</v>
      </c>
      <c r="BT12">
        <f>(0.93*0.943*(0.9442 - 0.0007*$B12 - dis_BMI*($C12-21.75))-0.19*0.5)*AP12</f>
        <v>2.4805341544229801E-6</v>
      </c>
      <c r="BU12">
        <f>(0.93*0.943*(0.9442 - 0.0007*$B12 - dis_BMI*($C12-21.75)))*AQ12</f>
        <v>7.8762357737441923E-6</v>
      </c>
      <c r="BV12">
        <f>0.962*(0.9442 - 0.0007*$B12 - dis_BMI*($C12-21.75))*AR12</f>
        <v>0.29208206457381619</v>
      </c>
      <c r="BW12">
        <f>0.962*0.959*(0.9442 - 0.0007*$B12 - dis_BMI*($C12-21.75))*AS12</f>
        <v>1.7062682403699448E-2</v>
      </c>
      <c r="BX12">
        <f>0.962*(0.943*(0.9442 - 0.0007*$B12 - dis_BMI*($C12-21.75)) - 0.19*0.5)*AT12</f>
        <v>1.5208868587698716E-3</v>
      </c>
      <c r="BY12">
        <f>0.962*(0.943*(0.9442 - 0.0007*$B12 - dis_BMI*($C12-21.75)))*AU12</f>
        <v>4.6715815949575556E-3</v>
      </c>
      <c r="BZ12">
        <f>0.962*(0.955*(0.9442 - 0.0007*$B12 - dis_BMI*($C12-21.75)) - 0.15*0.5)*AV12</f>
        <v>1.1345958201019024E-3</v>
      </c>
      <c r="CA12">
        <f>0.962*(0.955*(0.9442 - 0.0007*$B12 - dis_BMI*($C12-21.75)))*AW12</f>
        <v>4.1164148108330028E-3</v>
      </c>
      <c r="CB12">
        <f>0.962*(0.955*0.943*(0.9442 - 0.0007*$B12 - dis_BMI*($C12-21.75)) - 0.19*0.5)*AX12</f>
        <v>2.1407344245906453E-5</v>
      </c>
      <c r="CC12">
        <f>0.962*(0.955*0.943*(0.9442 - 0.0007*$B12 - dis_BMI*($C12-21.75)) - 0.15*0.5)*AY12</f>
        <v>1.9271541929421595E-5</v>
      </c>
      <c r="CD12">
        <f>0.962*(0.955*0.943*(0.9442 - 0.0007*$B12 - dis_BMI*($C12-21.75)))*AZ12</f>
        <v>5.4752958209209895E-5</v>
      </c>
      <c r="CE12">
        <f>0.962*(0.93*(0.9442 - 0.0007*$B12 - dis_BMI*($C12-21.75)))*BA12</f>
        <v>2.0075719783467096E-4</v>
      </c>
      <c r="CF12">
        <f>0.962*(0.93*(0.9442 - 0.0007*$B12 - dis_BMI*($C12-21.75)))*BB12</f>
        <v>8.1768770281657674E-4</v>
      </c>
      <c r="CG12">
        <f>0.962*(0.93*0.943*(0.9442 - 0.0007*$B12 - dis_BMI*($C12-21.75)))*BC12</f>
        <v>3.3514339671879218E-6</v>
      </c>
      <c r="CH12">
        <f>0.962*(0.93*0.943*(0.9442 - 0.0007*$B12 - dis_BMI*($C12-21.75))-0.19*0.5)*BD12</f>
        <v>3.8014599215233276E-6</v>
      </c>
      <c r="CI12">
        <f>0.962*(0.93*0.943*(0.9442 - 0.0007*$B12 - dis_BMI*($C12-21.75)))*BE12</f>
        <v>1.0416549843345023E-5</v>
      </c>
      <c r="CJ12">
        <f t="shared" si="17"/>
        <v>0</v>
      </c>
      <c r="CK12">
        <f t="shared" si="18"/>
        <v>0.80687886790118468</v>
      </c>
      <c r="CL12">
        <f>CK12/(1+r_)^A12</f>
        <v>0.61840546533395102</v>
      </c>
      <c r="CM12">
        <f t="shared" si="19"/>
        <v>0</v>
      </c>
      <c r="CN12">
        <f>AE12*c_Other</f>
        <v>311.11164506793983</v>
      </c>
      <c r="CO12">
        <f>AF12*(c_Stroke1+c_Stroke2)</f>
        <v>46.977865978055412</v>
      </c>
      <c r="CP12">
        <f>AG12*c_Stroke2</f>
        <v>40.265359777341224</v>
      </c>
      <c r="CQ12">
        <f>AH12*(c_MI1+c_MI2)</f>
        <v>39.862702104760629</v>
      </c>
      <c r="CR12">
        <f>AI12*c_MI2</f>
        <v>16.688308692647325</v>
      </c>
      <c r="CS12">
        <f>AJ12*(c_Stroke1+c_Stroke2+c_MI2)</f>
        <v>0.53500378573886398</v>
      </c>
      <c r="CT12">
        <f>AK12*(c_Stroke2+c_MI1+c_MI2)</f>
        <v>0.60499615034309251</v>
      </c>
      <c r="CU12">
        <f>AL12*(c_Stroke2+c_MI2)</f>
        <v>0.49610896662778725</v>
      </c>
      <c r="CV12">
        <f>AM12*(c_HF1)</f>
        <v>6.3969807730430475</v>
      </c>
      <c r="CW12">
        <f>AN12*(c_HF2)</f>
        <v>17.854267843581852</v>
      </c>
      <c r="CX12">
        <f>AO12*(c_Stroke2+c_HF1)</f>
        <v>9.5808575743878577E-2</v>
      </c>
      <c r="CY12">
        <f>AP12*(c_Stroke1+c_Stroke2+c_HF2)</f>
        <v>0.14977616671946045</v>
      </c>
      <c r="CZ12">
        <f>AQ12*(c_Stroke2+c_HF2)</f>
        <v>0.23279847233700862</v>
      </c>
      <c r="DA12">
        <f>AR12*c_DM</f>
        <v>4067.724829323382</v>
      </c>
      <c r="DB12">
        <f>AS12*(c_Other+c_DM)</f>
        <v>557.46791975635733</v>
      </c>
      <c r="DC12">
        <f>AT12*(c_Stroke1+c_Stroke2+c_DM)</f>
        <v>78.563649208131139</v>
      </c>
      <c r="DD12">
        <f>AU12*(c_Stroke2+c_DM)</f>
        <v>108.24351289173865</v>
      </c>
      <c r="DE12">
        <f>AV12*(c_MI1+c_MI2+c_DM)</f>
        <v>64.722579769915939</v>
      </c>
      <c r="DF12">
        <f>AW12*(c_MI2+c_DM)</f>
        <v>76.406511012853073</v>
      </c>
      <c r="DG12">
        <f>AX12*(c_Stroke1+c_Stroke2+c_MI2+c_DM)</f>
        <v>1.268358308286111</v>
      </c>
      <c r="DH12">
        <f>AY12*(c_Stroke2+c_MI1+c_MI2+c_DM)</f>
        <v>1.3608826372851814</v>
      </c>
      <c r="DI12">
        <f>AZ12*(c_Stroke2+c_MI2+c_DM)</f>
        <v>1.5594448058387587</v>
      </c>
      <c r="DJ12">
        <f>BA12*(c_HF1+c_DM)</f>
        <v>10.118857040081892</v>
      </c>
      <c r="DK12">
        <f>BB12*(c_HF2+c_DM)</f>
        <v>28.969502131111192</v>
      </c>
      <c r="DL12">
        <f>BC12*(c_Stroke2+c_HF1+c_DM)</f>
        <v>0.20941341330662891</v>
      </c>
      <c r="DM12">
        <f>BD12*(c_Stroke1+c_Stroke2+c_HF2+c_DM)</f>
        <v>0.30775279112928439</v>
      </c>
      <c r="DN12">
        <f>BE12*(c_Stroke2+c_HF2+c_DM)</f>
        <v>0.48545980413638062</v>
      </c>
      <c r="DO12">
        <f t="shared" si="20"/>
        <v>0</v>
      </c>
      <c r="DP12">
        <f t="shared" si="21"/>
        <v>5478.6802952484331</v>
      </c>
      <c r="DQ12">
        <f>DP12/(1+r_)^A12</f>
        <v>4198.9522494397215</v>
      </c>
    </row>
    <row r="13" spans="1:121" x14ac:dyDescent="0.3">
      <c r="A13">
        <v>10</v>
      </c>
      <c r="B13">
        <v>55</v>
      </c>
      <c r="C13">
        <f t="shared" si="0"/>
        <v>38</v>
      </c>
      <c r="D13">
        <f t="shared" si="1"/>
        <v>125</v>
      </c>
      <c r="E13">
        <f t="shared" si="2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2"/>
        <v>5.6857293942168513E-2</v>
      </c>
      <c r="J13">
        <f t="shared" si="23"/>
        <v>0.13628997281532307</v>
      </c>
      <c r="K13">
        <f t="shared" si="24"/>
        <v>0.1855135228502498</v>
      </c>
      <c r="L13">
        <f t="shared" si="25"/>
        <v>6.7010692604206334E-2</v>
      </c>
      <c r="M13">
        <f t="shared" si="26"/>
        <v>9.2571258355645281E-2</v>
      </c>
      <c r="N13">
        <f t="shared" si="27"/>
        <v>0.29638151174254102</v>
      </c>
      <c r="O13">
        <f t="shared" si="28"/>
        <v>0.39145988142874988</v>
      </c>
      <c r="P13">
        <f t="shared" si="29"/>
        <v>0.15878558946731613</v>
      </c>
      <c r="Q13">
        <f t="shared" si="30"/>
        <v>0.21676154082673293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1.0992686860575704E-2</v>
      </c>
      <c r="U13">
        <f t="shared" si="31"/>
        <v>0.27302903321031402</v>
      </c>
      <c r="V13">
        <f t="shared" si="32"/>
        <v>0.36018289777482371</v>
      </c>
      <c r="W13">
        <f t="shared" si="33"/>
        <v>0.14011110688534767</v>
      </c>
      <c r="X13">
        <f t="shared" si="34"/>
        <v>0.19055552909674034</v>
      </c>
      <c r="Y13">
        <f t="shared" si="35"/>
        <v>0.45017941598463684</v>
      </c>
      <c r="Z13">
        <f t="shared" si="36"/>
        <v>0.57052771440121797</v>
      </c>
      <c r="AA13">
        <f t="shared" si="37"/>
        <v>0.25489533222714067</v>
      </c>
      <c r="AB13">
        <f t="shared" si="38"/>
        <v>0.34015118972522473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2.0498339829818975E-2</v>
      </c>
      <c r="AD13">
        <f t="shared" si="39"/>
        <v>0.49484841706717669</v>
      </c>
      <c r="AE13">
        <f t="shared" si="5"/>
        <v>2.3157018600867683E-2</v>
      </c>
      <c r="AF13">
        <f t="shared" si="6"/>
        <v>2.0099456716059032E-3</v>
      </c>
      <c r="AG13">
        <f t="shared" si="7"/>
        <v>6.6428493598330368E-3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1.265203668631797E-3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5.6087508450363794E-3</v>
      </c>
      <c r="AJ13">
        <f t="shared" si="10"/>
        <v>2.3258300381233023E-5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1.8073026480170193E-5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6.2604921365829022E-5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4.7261019859065725E-4</v>
      </c>
      <c r="AN13">
        <f t="shared" si="14"/>
        <v>1.2875635305525795E-3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6.5291006188417968E-6</v>
      </c>
      <c r="AP13">
        <f>AM12*T12*p_Stroke*p_Stroke_rec*(1-I12) + AN12*T12*p_Stroke*p_Stroke_rec*(1-I12) + AO12*(p_recur_Stroke*p_Stroke_rec)*(1-I12) + AP12*(p_recur_Stroke*p_Stroke_rec)*(1-I12) + AQ12*(p_recur_Stroke*p_Stroke_rec)*(1-I12)</f>
        <v>4.6763654621259285E-6</v>
      </c>
      <c r="AQ13">
        <f>AO12*(1-p_recur_Stroke-H12*rr_Stroke*rr_HF)*(1-I12) + AP12*(1-p_recur_Stroke-H12*rr_Stroke*rr_HF)*(1-I12) + AQ12*(1-p_recur_Stroke-H12*rr_Stroke*rr_HF)*(1-I12)</f>
        <v>1.3814104271125217E-5</v>
      </c>
      <c r="AR13">
        <f>AR12*(1-AC12-H12*rr_DM) + AD12*(1-T12-H12)*I12</f>
        <v>0.37688740832434386</v>
      </c>
      <c r="AS13">
        <f>AR12*AC12*p_Other + AD12*T12*p_Other*I12 + AE12*(1-T12*p_Stroke-T12*p_MI-H12*rr_Other)*I12 + AS12*(1-AC12*p_Stroke-AC12*p_MI-H12*rr_Other*rr_DM)</f>
        <v>2.6499680915717E-2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2.6007843398630961E-3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7.4951292281894436E-3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1.6898010443879782E-3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6.3758147071929071E-3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4.4837231727361655E-5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3.5633607210040111E-5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1.0544225430082806E-4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5.9292398169486415E-4</v>
      </c>
      <c r="BB13">
        <f>AM12*(1-T12*p_Stroke - H12*rr_HF)*I12 + AN12*(1-T12*p_Stroke - H12*rr_HF)*I12 + BA12*(1-AC12*p_Stroke - H12*rr_HF*rr_DM) + BB12*(1-AC12*p_Stroke - H12*rr_HF*rr_DM)</f>
        <v>1.3928284114046855E-3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1.2150479643761593E-5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8.60001011733944E-6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2.2192436899284404E-5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4.0815458266433249E-2</v>
      </c>
      <c r="BG13">
        <f t="shared" si="16"/>
        <v>0.99999999999999978</v>
      </c>
      <c r="BH13">
        <f>(0.9442 - 0.0007*$B13 - dis_BMI*($C13-21.75))*AD13</f>
        <v>0.42164796497251461</v>
      </c>
      <c r="BI13">
        <f>0.959*(0.9442 - 0.0007*$B13 - dis_BMI*($C13-21.75))*AE13</f>
        <v>1.8922524442736625E-2</v>
      </c>
      <c r="BJ13">
        <f>(0.943*(0.9442 - 0.0007*$B13 - dis_BMI*($C13-21.75)) - 0.19*0.5)*AF13</f>
        <v>1.4240600252174241E-3</v>
      </c>
      <c r="BK13">
        <f>(0.943*(0.9442 - 0.0007*$B13 - dis_BMI*($C13-21.75)))*AG13</f>
        <v>5.3375741337877902E-3</v>
      </c>
      <c r="BL13">
        <f>(0.955*(0.9442 - 0.0007*$B13 - dis_BMI*($C13-21.75)) - 0.15*0.5)*AH13</f>
        <v>9.3464596208432888E-4</v>
      </c>
      <c r="BM13">
        <f>(0.955*(0.9442 - 0.0007*$B13 - dis_BMI*($C13-21.75)))*AI13</f>
        <v>4.5640179393515758E-3</v>
      </c>
      <c r="BN13">
        <f>(0.955*0.943*(0.9442 - 0.0007*$B13 - dis_BMI*($C13-21.75)) - 0.19*0.5)*AJ13</f>
        <v>1.5637693197596075E-5</v>
      </c>
      <c r="BO13">
        <f>(0.955*0.943*(0.9442 - 0.0007*$B13 - dis_BMI*($C13-21.75)) - 0.15*0.5)*AK13</f>
        <v>1.2512840407600673E-5</v>
      </c>
      <c r="BP13">
        <f>(0.955*0.943*(0.9442 - 0.0007*$B13 - dis_BMI*($C13-21.75)))*AL13</f>
        <v>4.8039818945440513E-5</v>
      </c>
      <c r="BQ13">
        <f>(0.93*(0.9442 - 0.0007*$B13 - dis_BMI*($C13-21.75)))*AM13</f>
        <v>3.7451038151664493E-4</v>
      </c>
      <c r="BR13">
        <f>(0.93*(0.9442 - 0.0007*$B13 - dis_BMI*($C13-21.75)))*AN13</f>
        <v>1.0203036466248981E-3</v>
      </c>
      <c r="BS13">
        <f>(0.93*0.943*(0.9442 - 0.0007*$B13 - dis_BMI*($C13-21.75)))*AO13</f>
        <v>4.8789439175601733E-6</v>
      </c>
      <c r="BT13">
        <f>(0.93*0.943*(0.9442 - 0.0007*$B13 - dis_BMI*($C13-21.75))-0.19*0.5)*AP13</f>
        <v>3.0502120016576396E-6</v>
      </c>
      <c r="BU13">
        <f>(0.93*0.943*(0.9442 - 0.0007*$B13 - dis_BMI*($C13-21.75)))*AQ13</f>
        <v>1.0322744883981313E-5</v>
      </c>
      <c r="BV13">
        <f>0.962*(0.9442 - 0.0007*$B13 - dis_BMI*($C13-21.75))*AR13</f>
        <v>0.30893315758694262</v>
      </c>
      <c r="BW13">
        <f>0.962*0.959*(0.9442 - 0.0007*$B13 - dis_BMI*($C13-21.75))*AS13</f>
        <v>2.0831097279505186E-2</v>
      </c>
      <c r="BX13">
        <f>0.962*(0.943*(0.9442 - 0.0007*$B13 - dis_BMI*($C13-21.75)) - 0.19*0.5)*AT13</f>
        <v>1.772651613655117E-3</v>
      </c>
      <c r="BY13">
        <f>0.962*(0.943*(0.9442 - 0.0007*$B13 - dis_BMI*($C13-21.75)))*AU13</f>
        <v>5.7935360434896947E-3</v>
      </c>
      <c r="BZ13">
        <f>0.962*(0.955*(0.9442 - 0.0007*$B13 - dis_BMI*($C13-21.75)) - 0.15*0.5)*AV13</f>
        <v>1.2008737115324259E-3</v>
      </c>
      <c r="CA13">
        <f>0.962*(0.955*(0.9442 - 0.0007*$B13 - dis_BMI*($C13-21.75)))*AW13</f>
        <v>4.9910503840124298E-3</v>
      </c>
      <c r="CB13">
        <f>0.962*(0.955*0.943*(0.9442 - 0.0007*$B13 - dis_BMI*($C13-21.75)) - 0.19*0.5)*AX13</f>
        <v>2.9000706385671314E-5</v>
      </c>
      <c r="CC13">
        <f>0.962*(0.955*0.943*(0.9442 - 0.0007*$B13 - dis_BMI*($C13-21.75)) - 0.15*0.5)*AY13</f>
        <v>2.3733395749221498E-5</v>
      </c>
      <c r="CD13">
        <f>0.962*(0.955*0.943*(0.9442 - 0.0007*$B13 - dis_BMI*($C13-21.75)))*AZ13</f>
        <v>7.7836382202530927E-5</v>
      </c>
      <c r="CE13">
        <f>0.962*(0.93*(0.9442 - 0.0007*$B13 - dis_BMI*($C13-21.75)))*BA13</f>
        <v>4.5199627968529405E-4</v>
      </c>
      <c r="CF13">
        <f>0.962*(0.93*(0.9442 - 0.0007*$B13 - dis_BMI*($C13-21.75)))*BB13</f>
        <v>1.0617773603883041E-3</v>
      </c>
      <c r="CG13">
        <f>0.962*(0.93*0.943*(0.9442 - 0.0007*$B13 - dis_BMI*($C13-21.75)))*BC13</f>
        <v>8.7345585173196003E-6</v>
      </c>
      <c r="CH13">
        <f>0.962*(0.93*0.943*(0.9442 - 0.0007*$B13 - dis_BMI*($C13-21.75))-0.19*0.5)*BD13</f>
        <v>5.3962941570419707E-6</v>
      </c>
      <c r="CI13">
        <f>0.962*(0.93*0.943*(0.9442 - 0.0007*$B13 - dis_BMI*($C13-21.75)))*BE13</f>
        <v>1.5953373399398764E-5</v>
      </c>
      <c r="CJ13">
        <f t="shared" si="17"/>
        <v>0</v>
      </c>
      <c r="CK13">
        <f t="shared" si="18"/>
        <v>0.79951683872681012</v>
      </c>
      <c r="CL13">
        <f>CK13/(1+r_)^A13</f>
        <v>0.59491561455408581</v>
      </c>
      <c r="CM13">
        <f t="shared" si="19"/>
        <v>0</v>
      </c>
      <c r="CN13">
        <f>AE13*c_Other</f>
        <v>330.65906860178967</v>
      </c>
      <c r="CO13">
        <f>AF13*(c_Stroke1+c_Stroke2)</f>
        <v>47.868866114966188</v>
      </c>
      <c r="CP13">
        <f>AG13*c_Stroke2</f>
        <v>43.178520838914736</v>
      </c>
      <c r="CQ13">
        <f>AH13*(c_MI1+c_MI2)</f>
        <v>36.881952144285513</v>
      </c>
      <c r="CR13">
        <f>AI13*c_MI2</f>
        <v>17.482476383978394</v>
      </c>
      <c r="CS13">
        <f>AJ13*(c_Stroke1+c_Stroke2+c_MI2)</f>
        <v>0.626415804167749</v>
      </c>
      <c r="CT13">
        <f>AK13*(c_Stroke2+c_MI1+c_MI2)</f>
        <v>0.64432146704454751</v>
      </c>
      <c r="CU13">
        <f>AL13*(c_Stroke2+c_MI2)</f>
        <v>0.60207152877517767</v>
      </c>
      <c r="CV13">
        <f>AM13*(c_HF1)</f>
        <v>12.774653667905465</v>
      </c>
      <c r="CW13">
        <f>AN13*(c_HF2)</f>
        <v>20.092428894273002</v>
      </c>
      <c r="CX13">
        <f>AO13*(c_Stroke2+c_HF1)</f>
        <v>0.21892074374976545</v>
      </c>
      <c r="CY13">
        <f>AP13*(c_Stroke1+c_Stroke2+c_HF2)</f>
        <v>0.18434700288246622</v>
      </c>
      <c r="CZ13">
        <f>AQ13*(c_Stroke2+c_HF2)</f>
        <v>0.30536077491322294</v>
      </c>
      <c r="DA13">
        <f>AR13*c_DM</f>
        <v>4305.938640105629</v>
      </c>
      <c r="DB13">
        <f>AS13*(c_Other+c_DM)</f>
        <v>681.14779825758978</v>
      </c>
      <c r="DC13">
        <f>AT13*(c_Stroke1+c_Stroke2+c_DM)</f>
        <v>91.654240921115374</v>
      </c>
      <c r="DD13">
        <f>AU13*(c_Stroke2+c_DM)</f>
        <v>134.35019141529577</v>
      </c>
      <c r="DE13">
        <f>AV13*(c_MI1+c_MI2+c_DM)</f>
        <v>68.5653671770866</v>
      </c>
      <c r="DF13">
        <f>AW13*(c_MI2+c_DM)</f>
        <v>92.717097471999253</v>
      </c>
      <c r="DG13">
        <f>AX13*(c_Stroke1+c_Stroke2+c_MI2+c_DM)</f>
        <v>1.7198665345981383</v>
      </c>
      <c r="DH13">
        <f>AY13*(c_Stroke2+c_MI1+c_MI2+c_DM)</f>
        <v>1.6774876930198483</v>
      </c>
      <c r="DI13">
        <f>AZ13*(c_Stroke2+c_MI2+c_DM)</f>
        <v>2.218715914998024</v>
      </c>
      <c r="DJ13">
        <f>BA13*(c_HF1+c_DM)</f>
        <v>22.800891716076002</v>
      </c>
      <c r="DK13">
        <f>BB13*(c_HF2+c_DM)</f>
        <v>37.648151960268649</v>
      </c>
      <c r="DL13">
        <f>BC13*(c_Stroke2+c_HF1+c_DM)</f>
        <v>0.54622481238530241</v>
      </c>
      <c r="DM13">
        <f>BD13*(c_Stroke1+c_Stroke2+c_HF2+c_DM)</f>
        <v>0.43727611442624115</v>
      </c>
      <c r="DN13">
        <f>BE13*(c_Stroke2+c_HF2+c_DM)</f>
        <v>0.74411240923300603</v>
      </c>
      <c r="DO13">
        <f t="shared" si="20"/>
        <v>0</v>
      </c>
      <c r="DP13">
        <f t="shared" si="21"/>
        <v>5953.6854664713655</v>
      </c>
      <c r="DQ13">
        <f>DP13/(1+r_)^A13</f>
        <v>4430.1011268104139</v>
      </c>
    </row>
    <row r="14" spans="1:121" x14ac:dyDescent="0.3">
      <c r="A14">
        <v>11</v>
      </c>
      <c r="B14">
        <v>56</v>
      </c>
      <c r="C14">
        <f t="shared" si="0"/>
        <v>38</v>
      </c>
      <c r="D14">
        <f t="shared" si="1"/>
        <v>125</v>
      </c>
      <c r="E14">
        <f t="shared" si="2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22"/>
        <v>5.6857293942168513E-2</v>
      </c>
      <c r="J14">
        <f t="shared" si="23"/>
        <v>0.14262590166845646</v>
      </c>
      <c r="K14">
        <f t="shared" si="24"/>
        <v>0.19386892366095509</v>
      </c>
      <c r="L14">
        <f t="shared" si="25"/>
        <v>7.0256982948603386E-2</v>
      </c>
      <c r="M14">
        <f t="shared" si="26"/>
        <v>9.6990021856497854E-2</v>
      </c>
      <c r="N14">
        <f t="shared" si="27"/>
        <v>0.31050768497930537</v>
      </c>
      <c r="O14">
        <f t="shared" si="28"/>
        <v>0.40865099105271507</v>
      </c>
      <c r="P14">
        <f t="shared" si="29"/>
        <v>0.16713573569356366</v>
      </c>
      <c r="Q14">
        <f t="shared" si="30"/>
        <v>0.22772448747817897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1.1522907764164435E-2</v>
      </c>
      <c r="U14">
        <f t="shared" si="31"/>
        <v>0.28458490718877116</v>
      </c>
      <c r="V14">
        <f t="shared" si="32"/>
        <v>0.37438108767581402</v>
      </c>
      <c r="W14">
        <f t="shared" si="33"/>
        <v>0.14660917050485023</v>
      </c>
      <c r="X14">
        <f t="shared" si="34"/>
        <v>0.19910915871886059</v>
      </c>
      <c r="Y14">
        <f t="shared" si="35"/>
        <v>0.46883046753736946</v>
      </c>
      <c r="Z14">
        <f t="shared" si="36"/>
        <v>0.59096780417806882</v>
      </c>
      <c r="AA14">
        <f t="shared" si="37"/>
        <v>0.26743710923082042</v>
      </c>
      <c r="AB14">
        <f t="shared" si="38"/>
        <v>0.355790148274439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2.1409403237861335E-2</v>
      </c>
      <c r="AD14">
        <f t="shared" ref="AD14:AD44" si="40">AD13*(1-T13-H13)*(1-I13)</f>
        <v>0.4591012042881063</v>
      </c>
      <c r="AE14">
        <f t="shared" ref="AE14:AE44" si="41">AD13*T13*p_Other*(1-I13) + AE13*(1-T13*(1-p_Other)-H13*rr_Other)*(1-I13)</f>
        <v>2.4333473170145409E-2</v>
      </c>
      <c r="AF14">
        <f t="shared" ref="AF14:AF44" si="42">AD13*T13*p_Stroke*p_Stroke_rec*(1-I13)+AE13*T13*p_Stroke*p_Stroke_rec*(1-I13) + AF13*p_recur_Stroke*p_Stroke_rec*(1-I13) + AG13*p_recur_Stroke*p_Stroke_rec*(1-I13)</f>
        <v>2.0373546443974563E-3</v>
      </c>
      <c r="AG14">
        <f t="shared" ref="AG14:AG44" si="43">AF13*(1-p_recur_Stroke-T13*p_MI-H13*rr_Stroke)*(1-I13) + AG13*(1-p_recur_Stroke-T13*p_MI-H13*rr_Stroke)*(1-I13)</f>
        <v>7.0259974570995327E-3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1.2550755988640543E-3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5.7308992132196861E-3</v>
      </c>
      <c r="AJ14">
        <f t="shared" ref="AJ14:AJ44" si="44">AH13*T13*p_Stroke*p_Stroke_rec*(1-I13) + AI13*T13*p_Stroke*p_Stroke_rec*(1-I13) + AJ13*p_recur_Stroke*p_Stroke_rec*(1-I13) + AK13*p_recur_Stroke*p_Stroke_rec*(1-I13) + AL13*p_recur_Stroke*p_Stroke_rec*(1-I13)</f>
        <v>2.5902227154767053E-5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2.0390275641527025E-5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7.3383803534441864E-5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4.7485974453499236E-4</v>
      </c>
      <c r="AN14">
        <f t="shared" ref="AN14:AN44" si="45">AM13*(1-T13*p_Stroke - H13*rr_HF)*(1-I13) + AN13*(1-T13*p_Stroke-H13*rr_HF)*(1-I13)</f>
        <v>1.6398361474947931E-3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7.4884010091783122E-6</v>
      </c>
      <c r="AP14">
        <f>AM13*T13*p_Stroke*p_Stroke_rec*(1-I13) + AN13*T13*p_Stroke*p_Stroke_rec*(1-I13) + AO13*(p_recur_Stroke*p_Stroke_rec)*(1-I13) + AP13*(p_recur_Stroke*p_Stroke_rec)*(1-I13) + AQ13*(p_recur_Stroke*p_Stroke_rec)*(1-I13)</f>
        <v>6.466579815143264E-6</v>
      </c>
      <c r="AQ14">
        <f>AO13*(1-p_recur_Stroke-H13*rr_Stroke*rr_HF)*(1-I13) + AP13*(1-p_recur_Stroke-H13*rr_Stroke*rr_HF)*(1-I13) + AQ13*(1-p_recur_Stroke-H13*rr_Stroke*rr_HF)*(1-I13)</f>
        <v>2.0050790571393251E-5</v>
      </c>
      <c r="AR14">
        <f>AR13*(1-AC13-H13*rr_DM) + AD13*(1-T13-H13)*I13</f>
        <v>0.39453466357055189</v>
      </c>
      <c r="AS14">
        <f>AR13*AC13*p_Other + AD13*T13*p_Other*I13 + AE13*(1-T13*p_Stroke-T13*p_MI-H13*rr_Other)*I13 + AS13*(1-AC13*p_Stroke-AC13*p_MI-H13*rr_Other*rr_DM)</f>
        <v>3.1663438344696343E-2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2.987081453243359E-3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9.0692521157784076E-3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1.9008223838364925E-3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7.4474729373764006E-3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5.7070514118140957E-5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4.6016394851410311E-5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1.4286724427475982E-4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6.7694806126856815E-4</v>
      </c>
      <c r="BB14">
        <f>AM13*(1-T13*p_Stroke - H13*rr_HF)*I13 + AN13*(1-T13*p_Stroke - H13*rr_HF)*I13 + BA13*(1-AC13*p_Stroke - H13*rr_HF*rr_DM) + BB13*(1-AC13*p_Stroke - H13*rr_HF*rr_DM)</f>
        <v>2.0531534879209786E-3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1.5988214721955558E-5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1.3743835579854444E-5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3.7503023060216005E-5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4.7601596077132276E-2</v>
      </c>
      <c r="BG14">
        <f t="shared" si="16"/>
        <v>0.99999999999999978</v>
      </c>
      <c r="BH14">
        <f>(0.9442 - 0.0007*$B14 - dis_BMI*($C14-21.75))*AD14</f>
        <v>0.3908672878007865</v>
      </c>
      <c r="BI14">
        <f>0.959*(0.9442 - 0.0007*$B14 - dis_BMI*($C14-21.75))*AE14</f>
        <v>1.9867517380703012E-2</v>
      </c>
      <c r="BJ14">
        <f>(0.943*(0.9442 - 0.0007*$B14 - dis_BMI*($C14-21.75)) - 0.19*0.5)*AF14</f>
        <v>1.4421346089648144E-3</v>
      </c>
      <c r="BK14">
        <f>(0.943*(0.9442 - 0.0007*$B14 - dis_BMI*($C14-21.75)))*AG14</f>
        <v>5.6407983456909418E-3</v>
      </c>
      <c r="BL14">
        <f>(0.955*(0.9442 - 0.0007*$B14 - dis_BMI*($C14-21.75)) - 0.15*0.5)*AH14</f>
        <v>9.2632501860885044E-4</v>
      </c>
      <c r="BM14">
        <f>(0.955*(0.9442 - 0.0007*$B14 - dis_BMI*($C14-21.75)))*AI14</f>
        <v>4.6595828233604395E-3</v>
      </c>
      <c r="BN14">
        <f>(0.955*0.943*(0.9442 - 0.0007*$B14 - dis_BMI*($C14-21.75)) - 0.19*0.5)*AJ14</f>
        <v>1.7399005867181748E-5</v>
      </c>
      <c r="BO14">
        <f>(0.955*0.943*(0.9442 - 0.0007*$B14 - dis_BMI*($C14-21.75)) - 0.15*0.5)*AK14</f>
        <v>1.4104331429332269E-5</v>
      </c>
      <c r="BP14">
        <f>(0.955*0.943*(0.9442 - 0.0007*$B14 - dis_BMI*($C14-21.75)))*AL14</f>
        <v>5.6264721742411681E-5</v>
      </c>
      <c r="BQ14">
        <f>(0.93*(0.9442 - 0.0007*$B14 - dis_BMI*($C14-21.75)))*AM14</f>
        <v>3.7598385495323563E-4</v>
      </c>
      <c r="BR14">
        <f>(0.93*(0.9442 - 0.0007*$B14 - dis_BMI*($C14-21.75)))*AN14</f>
        <v>1.298387415068243E-3</v>
      </c>
      <c r="BS14">
        <f>(0.93*0.943*(0.9442 - 0.0007*$B14 - dis_BMI*($C14-21.75)))*AO14</f>
        <v>5.5911948534848245E-6</v>
      </c>
      <c r="BT14">
        <f>(0.93*0.943*(0.9442 - 0.0007*$B14 - dis_BMI*($C14-21.75))-0.19*0.5)*AP14</f>
        <v>4.2139296728506215E-6</v>
      </c>
      <c r="BU14">
        <f>(0.93*0.943*(0.9442 - 0.0007*$B14 - dis_BMI*($C14-21.75)))*AQ14</f>
        <v>1.4970869871107153E-5</v>
      </c>
      <c r="BV14">
        <f>0.962*(0.9442 - 0.0007*$B14 - dis_BMI*($C14-21.75))*AR14</f>
        <v>0.3231328651278782</v>
      </c>
      <c r="BW14">
        <f>0.962*0.959*(0.9442 - 0.0007*$B14 - dis_BMI*($C14-21.75))*AS14</f>
        <v>2.4869820217279969E-2</v>
      </c>
      <c r="BX14">
        <f>0.962*(0.943*(0.9442 - 0.0007*$B14 - dis_BMI*($C14-21.75)) - 0.19*0.5)*AT14</f>
        <v>2.0340484953178272E-3</v>
      </c>
      <c r="BY14">
        <f>0.962*(0.943*(0.9442 - 0.0007*$B14 - dis_BMI*($C14-21.75)))*AU14</f>
        <v>7.0045321512345847E-3</v>
      </c>
      <c r="BZ14">
        <f>0.962*(0.955*(0.9442 - 0.0007*$B14 - dis_BMI*($C14-21.75)) - 0.15*0.5)*AV14</f>
        <v>1.3496156861543074E-3</v>
      </c>
      <c r="CA14">
        <f>0.962*(0.955*(0.9442 - 0.0007*$B14 - dis_BMI*($C14-21.75)))*AW14</f>
        <v>5.8251655262631704E-3</v>
      </c>
      <c r="CB14">
        <f>0.962*(0.955*0.943*(0.9442 - 0.0007*$B14 - dis_BMI*($C14-21.75)) - 0.19*0.5)*AX14</f>
        <v>3.6878579447921945E-5</v>
      </c>
      <c r="CC14">
        <f>0.962*(0.955*0.943*(0.9442 - 0.0007*$B14 - dis_BMI*($C14-21.75)) - 0.15*0.5)*AY14</f>
        <v>3.0620837930084668E-5</v>
      </c>
      <c r="CD14">
        <f>0.962*(0.955*0.943*(0.9442 - 0.0007*$B14 - dis_BMI*($C14-21.75)))*AZ14</f>
        <v>1.0537648247241131E-4</v>
      </c>
      <c r="CE14">
        <f>0.962*(0.93*(0.9442 - 0.0007*$B14 - dis_BMI*($C14-21.75)))*BA14</f>
        <v>5.1562535235503667E-4</v>
      </c>
      <c r="CF14">
        <f>0.962*(0.93*(0.9442 - 0.0007*$B14 - dis_BMI*($C14-21.75)))*BB14</f>
        <v>1.5638688567396926E-3</v>
      </c>
      <c r="CG14">
        <f>0.962*(0.93*0.943*(0.9442 - 0.0007*$B14 - dis_BMI*($C14-21.75)))*BC14</f>
        <v>1.1483931116583153E-5</v>
      </c>
      <c r="CH14">
        <f>0.962*(0.93*0.943*(0.9442 - 0.0007*$B14 - dis_BMI*($C14-21.75))-0.19*0.5)*BD14</f>
        <v>8.6158010898815044E-6</v>
      </c>
      <c r="CI14">
        <f>0.962*(0.93*0.943*(0.9442 - 0.0007*$B14 - dis_BMI*($C14-21.75)))*BE14</f>
        <v>2.6937474944949471E-5</v>
      </c>
      <c r="CJ14">
        <f t="shared" si="17"/>
        <v>0</v>
      </c>
      <c r="CK14">
        <f t="shared" si="18"/>
        <v>0.79170601582179723</v>
      </c>
      <c r="CL14">
        <f>CK14/(1+r_)^A14</f>
        <v>0.57194527064090261</v>
      </c>
      <c r="CM14">
        <f t="shared" si="19"/>
        <v>0</v>
      </c>
      <c r="CN14">
        <f>AE14*c_Other</f>
        <v>347.45766339650629</v>
      </c>
      <c r="CO14">
        <f>AF14*(c_Stroke1+c_Stroke2)</f>
        <v>48.521638210969819</v>
      </c>
      <c r="CP14">
        <f>AG14*c_Stroke2</f>
        <v>45.668983471146966</v>
      </c>
      <c r="CQ14">
        <f>AH14*(c_MI1+c_MI2)</f>
        <v>36.586708782486049</v>
      </c>
      <c r="CR14">
        <f>AI14*c_MI2</f>
        <v>17.863212847605762</v>
      </c>
      <c r="CS14">
        <f>AJ14*(c_Stroke1+c_Stroke2+c_MI2)</f>
        <v>0.69762468395934107</v>
      </c>
      <c r="CT14">
        <f>AK14*(c_Stroke2+c_MI1+c_MI2)</f>
        <v>0.72693371689608</v>
      </c>
      <c r="CU14">
        <f>AL14*(c_Stroke2+c_MI2)</f>
        <v>0.70573203859072742</v>
      </c>
      <c r="CV14">
        <f>AM14*(c_HF1)</f>
        <v>12.835458894780844</v>
      </c>
      <c r="CW14">
        <f>AN14*(c_HF2)</f>
        <v>25.589643081656245</v>
      </c>
      <c r="CX14">
        <f>AO14*(c_Stroke2+c_HF1)</f>
        <v>0.25108608583774883</v>
      </c>
      <c r="CY14">
        <f>AP14*(c_Stroke1+c_Stroke2+c_HF2)</f>
        <v>0.25491904289276263</v>
      </c>
      <c r="CZ14">
        <f>AQ14*(c_Stroke2+c_HF2)</f>
        <v>0.44322272558064785</v>
      </c>
      <c r="DA14">
        <f>AR14*c_DM</f>
        <v>4507.5585312935555</v>
      </c>
      <c r="DB14">
        <f>AS14*(c_Other+c_DM)</f>
        <v>813.87701921207486</v>
      </c>
      <c r="DC14">
        <f>AT14*(c_Stroke1+c_Stroke2+c_DM)</f>
        <v>105.26773749374921</v>
      </c>
      <c r="DD14">
        <f>AU14*(c_Stroke2+c_DM)</f>
        <v>162.56634417532794</v>
      </c>
      <c r="DE14">
        <f>AV14*(c_MI1+c_MI2+c_DM)</f>
        <v>77.127769046549517</v>
      </c>
      <c r="DF14">
        <f>AW14*(c_MI2+c_DM)</f>
        <v>108.30115145532761</v>
      </c>
      <c r="DG14">
        <f>AX14*(c_Stroke1+c_Stroke2+c_MI2+c_DM)</f>
        <v>2.1891107805436509</v>
      </c>
      <c r="DH14">
        <f>AY14*(c_Stroke2+c_MI1+c_MI2+c_DM)</f>
        <v>2.1662678040249919</v>
      </c>
      <c r="DI14">
        <f>AZ14*(c_Stroke2+c_MI2+c_DM)</f>
        <v>3.0062125540294962</v>
      </c>
      <c r="DJ14">
        <f>BA14*(c_HF1+c_DM)</f>
        <v>26.032037696082789</v>
      </c>
      <c r="DK14">
        <f>BB14*(c_HF2+c_DM)</f>
        <v>55.496738778504053</v>
      </c>
      <c r="DL14">
        <f>BC14*(c_Stroke2+c_HF1+c_DM)</f>
        <v>0.71875019282551211</v>
      </c>
      <c r="DM14">
        <f>BD14*(c_Stroke1+c_Stroke2+c_HF2+c_DM)</f>
        <v>0.69881906389327908</v>
      </c>
      <c r="DN14">
        <f>BE14*(c_Stroke2+c_HF2+c_DM)</f>
        <v>1.2574763632090427</v>
      </c>
      <c r="DO14">
        <f t="shared" si="20"/>
        <v>0</v>
      </c>
      <c r="DP14">
        <f t="shared" si="21"/>
        <v>6403.8667928886061</v>
      </c>
      <c r="DQ14">
        <f>DP14/(1+r_)^A14</f>
        <v>4626.2896236870083</v>
      </c>
    </row>
    <row r="15" spans="1:121" x14ac:dyDescent="0.3">
      <c r="A15">
        <v>12</v>
      </c>
      <c r="B15">
        <v>57</v>
      </c>
      <c r="C15">
        <f t="shared" si="0"/>
        <v>38</v>
      </c>
      <c r="D15">
        <f t="shared" si="1"/>
        <v>125</v>
      </c>
      <c r="E15">
        <f t="shared" si="2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2"/>
        <v>5.6857293942168513E-2</v>
      </c>
      <c r="J15">
        <f t="shared" si="23"/>
        <v>0.14911090634593571</v>
      </c>
      <c r="K15">
        <f t="shared" si="24"/>
        <v>0.20239534427462924</v>
      </c>
      <c r="L15">
        <f t="shared" si="25"/>
        <v>7.3592763344100476E-2</v>
      </c>
      <c r="M15">
        <f t="shared" si="26"/>
        <v>0.10152416432900568</v>
      </c>
      <c r="N15">
        <f t="shared" si="27"/>
        <v>0.32487695705321507</v>
      </c>
      <c r="O15">
        <f t="shared" si="28"/>
        <v>0.42598932108248644</v>
      </c>
      <c r="P15">
        <f t="shared" si="29"/>
        <v>0.17571925247212461</v>
      </c>
      <c r="Q15">
        <f t="shared" si="30"/>
        <v>0.23894660869123441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1.2065961763477406E-2</v>
      </c>
      <c r="U15">
        <f t="shared" si="31"/>
        <v>0.29630910041368475</v>
      </c>
      <c r="V15">
        <f t="shared" si="32"/>
        <v>0.38869251451399112</v>
      </c>
      <c r="W15">
        <f t="shared" si="33"/>
        <v>0.15325861996171286</v>
      </c>
      <c r="X15">
        <f t="shared" si="34"/>
        <v>0.20783509986911508</v>
      </c>
      <c r="Y15">
        <f t="shared" si="35"/>
        <v>0.48752935734505176</v>
      </c>
      <c r="Z15">
        <f t="shared" si="36"/>
        <v>0.61116486450624397</v>
      </c>
      <c r="AA15">
        <f t="shared" si="37"/>
        <v>0.2802377639101985</v>
      </c>
      <c r="AB15">
        <f t="shared" si="38"/>
        <v>0.37163828091634599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2.2335774895703035E-2</v>
      </c>
      <c r="AD15">
        <f t="shared" si="40"/>
        <v>0.42548158065296016</v>
      </c>
      <c r="AE15">
        <f t="shared" si="41"/>
        <v>2.5320624642538321E-2</v>
      </c>
      <c r="AF15">
        <f t="shared" si="42"/>
        <v>2.0554167044282727E-3</v>
      </c>
      <c r="AG15">
        <f t="shared" si="43"/>
        <v>7.3444564795205414E-3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1.2416046476539052E-3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5.8180750536893679E-3</v>
      </c>
      <c r="AJ15">
        <f t="shared" si="44"/>
        <v>2.8526104077106008E-5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2.2681231007033139E-5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8.4206751211019388E-5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4.7519529394430242E-4</v>
      </c>
      <c r="AN15">
        <f t="shared" si="45"/>
        <v>1.9679899541557729E-3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8.4485328164247202E-6</v>
      </c>
      <c r="AP15">
        <f>AM14*T14*p_Stroke*p_Stroke_rec*(1-I14) + AN14*T14*p_Stroke*p_Stroke_rec*(1-I14) + AO14*(p_recur_Stroke*p_Stroke_rec)*(1-I14) + AP14*(p_recur_Stroke*p_Stroke_rec)*(1-I14) + AQ14*(p_recur_Stroke*p_Stroke_rec)*(1-I14)</f>
        <v>8.4037680869499563E-6</v>
      </c>
      <c r="AQ15">
        <f>AO14*(1-p_recur_Stroke-H14*rr_Stroke*rr_HF)*(1-I14) + AP14*(1-p_recur_Stroke-H14*rr_Stroke*rr_HF)*(1-I14) + AQ14*(1-p_recur_Stroke-H14*rr_Stroke*rr_HF)*(1-I14)</f>
        <v>2.7157364900220057E-5</v>
      </c>
      <c r="AR15">
        <f>AR14*(1-AC14-H14*rr_DM) + AD14*(1-T14-H14)*I14</f>
        <v>0.40909016010126065</v>
      </c>
      <c r="AS15">
        <f>AR14*AC14*p_Other + AD14*T14*p_Other*I14 + AE14*(1-T14*p_Stroke-T14*p_MI-H14*rr_Other)*I14 + AS14*(1-AC14*p_Stroke-AC14*p_MI-H14*rr_Other*rr_DM)</f>
        <v>3.7126789623666522E-2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3.3857051924589265E-3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1.0742283875605434E-2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2.1139890044468462E-3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8.5713697788770537E-3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7.1222958107396606E-5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5.8015917266999152E-5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1.8750291614301386E-4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7.634258644386928E-4</v>
      </c>
      <c r="BB15">
        <f>AM14*(1-T14*p_Stroke - H14*rr_HF)*I14 + AN14*(1-T14*p_Stroke - H14*rr_HF)*I14 + BA14*(1-AC14*p_Stroke - H14*rr_HF*rr_DM) + BB14*(1-AC14*p_Stroke - H14*rr_HF*rr_DM)</f>
        <v>2.8019507230628809E-3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2.0495770481726583E-5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2.0297359877966046E-5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5.8233502290317286E-5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5.5104190231025883E-2</v>
      </c>
      <c r="BG15">
        <f t="shared" si="16"/>
        <v>0.99999999999999944</v>
      </c>
      <c r="BH15">
        <f>(0.9442 - 0.0007*$B15 - dis_BMI*($C15-21.75))*AD15</f>
        <v>0.36194654362195688</v>
      </c>
      <c r="BI15">
        <f>0.959*(0.9442 - 0.0007*$B15 - dis_BMI*($C15-21.75))*AE15</f>
        <v>2.0656497850711841E-2</v>
      </c>
      <c r="BJ15">
        <f>(0.943*(0.9442 - 0.0007*$B15 - dis_BMI*($C15-21.75)) - 0.19*0.5)*AF15</f>
        <v>1.453562996631582E-3</v>
      </c>
      <c r="BK15">
        <f>(0.943*(0.9442 - 0.0007*$B15 - dis_BMI*($C15-21.75)))*AG15</f>
        <v>5.891624021320316E-3</v>
      </c>
      <c r="BL15">
        <f>(0.955*(0.9442 - 0.0007*$B15 - dis_BMI*($C15-21.75)) - 0.15*0.5)*AH15</f>
        <v>9.1555259355500856E-4</v>
      </c>
      <c r="BM15">
        <f>(0.955*(0.9442 - 0.0007*$B15 - dis_BMI*($C15-21.75)))*AI15</f>
        <v>4.7265729014638281E-3</v>
      </c>
      <c r="BN15">
        <f>(0.955*0.943*(0.9442 - 0.0007*$B15 - dis_BMI*($C15-21.75)) - 0.19*0.5)*AJ15</f>
        <v>1.9143529880513835E-5</v>
      </c>
      <c r="BO15">
        <f>(0.955*0.943*(0.9442 - 0.0007*$B15 - dis_BMI*($C15-21.75)) - 0.15*0.5)*AK15</f>
        <v>1.5674729553935238E-5</v>
      </c>
      <c r="BP15">
        <f>(0.955*0.943*(0.9442 - 0.0007*$B15 - dis_BMI*($C15-21.75)))*AL15</f>
        <v>6.4509792684409352E-5</v>
      </c>
      <c r="BQ15">
        <f>(0.93*(0.9442 - 0.0007*$B15 - dis_BMI*($C15-21.75)))*AM15</f>
        <v>3.7594018370874462E-4</v>
      </c>
      <c r="BR15">
        <f>(0.93*(0.9442 - 0.0007*$B15 - dis_BMI*($C15-21.75)))*AN15</f>
        <v>1.5569314644538598E-3</v>
      </c>
      <c r="BS15">
        <f>(0.93*0.943*(0.9442 - 0.0007*$B15 - dis_BMI*($C15-21.75)))*AO15</f>
        <v>6.3028882386612754E-6</v>
      </c>
      <c r="BT15">
        <f>(0.93*0.943*(0.9442 - 0.0007*$B15 - dis_BMI*($C15-21.75))-0.19*0.5)*AP15</f>
        <v>5.4711342840156984E-6</v>
      </c>
      <c r="BU15">
        <f>(0.93*0.943*(0.9442 - 0.0007*$B15 - dis_BMI*($C15-21.75)))*AQ15</f>
        <v>2.0260303125041987E-5</v>
      </c>
      <c r="BV15">
        <f>0.962*(0.9442 - 0.0007*$B15 - dis_BMI*($C15-21.75))*AR15</f>
        <v>0.33477866661026257</v>
      </c>
      <c r="BW15">
        <f>0.962*0.959*(0.9442 - 0.0007*$B15 - dis_BMI*($C15-21.75))*AS15</f>
        <v>2.9136994105713552E-2</v>
      </c>
      <c r="BX15">
        <f>0.962*(0.943*(0.9442 - 0.0007*$B15 - dis_BMI*($C15-21.75)) - 0.19*0.5)*AT15</f>
        <v>2.3033407363197639E-3</v>
      </c>
      <c r="BY15">
        <f>0.962*(0.943*(0.9442 - 0.0007*$B15 - dis_BMI*($C15-21.75)))*AU15</f>
        <v>8.289857388571506E-3</v>
      </c>
      <c r="BZ15">
        <f>0.962*(0.955*(0.9442 - 0.0007*$B15 - dis_BMI*($C15-21.75)) - 0.15*0.5)*AV15</f>
        <v>1.4996080522790536E-3</v>
      </c>
      <c r="CA15">
        <f>0.962*(0.955*(0.9442 - 0.0007*$B15 - dis_BMI*($C15-21.75)))*AW15</f>
        <v>6.6987280172317639E-3</v>
      </c>
      <c r="CB15">
        <f>0.962*(0.955*0.943*(0.9442 - 0.0007*$B15 - dis_BMI*($C15-21.75)) - 0.19*0.5)*AX15</f>
        <v>4.5980600356335565E-5</v>
      </c>
      <c r="CC15">
        <f>0.962*(0.955*0.943*(0.9442 - 0.0007*$B15 - dis_BMI*($C15-21.75)) - 0.15*0.5)*AY15</f>
        <v>3.857053560360287E-5</v>
      </c>
      <c r="CD15">
        <f>0.962*(0.955*0.943*(0.9442 - 0.0007*$B15 - dis_BMI*($C15-21.75)))*AZ15</f>
        <v>1.3818529582646094E-4</v>
      </c>
      <c r="CE15">
        <f>0.962*(0.93*(0.9442 - 0.0007*$B15 - dis_BMI*($C15-21.75)))*BA15</f>
        <v>5.8101662574103089E-4</v>
      </c>
      <c r="CF15">
        <f>0.962*(0.93*(0.9442 - 0.0007*$B15 - dis_BMI*($C15-21.75)))*BB15</f>
        <v>2.1324663342440009E-3</v>
      </c>
      <c r="CG15">
        <f>0.962*(0.93*0.943*(0.9442 - 0.0007*$B15 - dis_BMI*($C15-21.75)))*BC15</f>
        <v>1.4709490568934795E-5</v>
      </c>
      <c r="CH15">
        <f>0.962*(0.93*0.943*(0.9442 - 0.0007*$B15 - dis_BMI*($C15-21.75))-0.19*0.5)*BD15</f>
        <v>1.271211869495915E-5</v>
      </c>
      <c r="CI15">
        <f>0.962*(0.93*0.943*(0.9442 - 0.0007*$B15 - dis_BMI*($C15-21.75)))*BE15</f>
        <v>4.179326429807412E-5</v>
      </c>
      <c r="CJ15">
        <f t="shared" si="17"/>
        <v>0</v>
      </c>
      <c r="CK15">
        <f t="shared" si="18"/>
        <v>0.7833672171872802</v>
      </c>
      <c r="CL15">
        <f>CK15/(1+r_)^A15</f>
        <v>0.54943800493791739</v>
      </c>
      <c r="CM15">
        <f t="shared" si="19"/>
        <v>0</v>
      </c>
      <c r="CN15">
        <f>AE15*c_Other</f>
        <v>361.55319927080467</v>
      </c>
      <c r="CO15">
        <f>AF15*(c_Stroke1+c_Stroke2)</f>
        <v>48.95180423266374</v>
      </c>
      <c r="CP15">
        <f>AG15*c_Stroke2</f>
        <v>47.738967116883522</v>
      </c>
      <c r="CQ15">
        <f>AH15*(c_MI1+c_MI2)</f>
        <v>36.194017083758993</v>
      </c>
      <c r="CR15">
        <f>AI15*c_MI2</f>
        <v>18.13493994234976</v>
      </c>
      <c r="CS15">
        <f>AJ15*(c_Stroke1+c_Stroke2+c_MI2)</f>
        <v>0.76829356110869607</v>
      </c>
      <c r="CT15">
        <f>AK15*(c_Stroke2+c_MI1+c_MI2)</f>
        <v>0.80860856663173841</v>
      </c>
      <c r="CU15">
        <f>AL15*(c_Stroke2+c_MI2)</f>
        <v>0.80981632639637346</v>
      </c>
      <c r="CV15">
        <f>AM15*(c_HF1)</f>
        <v>12.844528795314494</v>
      </c>
      <c r="CW15">
        <f>AN15*(c_HF2)</f>
        <v>30.710483234600837</v>
      </c>
      <c r="CX15">
        <f>AO15*(c_Stroke2+c_HF1)</f>
        <v>0.28327930533472084</v>
      </c>
      <c r="CY15">
        <f>AP15*(c_Stroke1+c_Stroke2+c_HF2)</f>
        <v>0.33128494175565421</v>
      </c>
      <c r="CZ15">
        <f>AQ15*(c_Stroke2+c_HF2)</f>
        <v>0.60031355111936435</v>
      </c>
      <c r="DA15">
        <f>AR15*c_DM</f>
        <v>4673.8550791569032</v>
      </c>
      <c r="DB15">
        <f>AS15*(c_Other+c_DM)</f>
        <v>954.30700048672429</v>
      </c>
      <c r="DC15">
        <f>AT15*(c_Stroke1+c_Stroke2+c_DM)</f>
        <v>119.31563668744504</v>
      </c>
      <c r="DD15">
        <f>AU15*(c_Stroke2+c_DM)</f>
        <v>192.55543847022739</v>
      </c>
      <c r="DE15">
        <f>AV15*(c_MI1+c_MI2+c_DM)</f>
        <v>85.777217844435228</v>
      </c>
      <c r="DF15">
        <f>AW15*(c_MI2+c_DM)</f>
        <v>124.64485932443012</v>
      </c>
      <c r="DG15">
        <f>AX15*(c_Stroke1+c_Stroke2+c_MI2+c_DM)</f>
        <v>2.7319702270835191</v>
      </c>
      <c r="DH15">
        <f>AY15*(c_Stroke2+c_MI1+c_MI2+c_DM)</f>
        <v>2.7311573212612519</v>
      </c>
      <c r="DI15">
        <f>AZ15*(c_Stroke2+c_MI2+c_DM)</f>
        <v>3.9454363614812977</v>
      </c>
      <c r="DJ15">
        <f>BA15*(c_HF1+c_DM)</f>
        <v>29.357541616989931</v>
      </c>
      <c r="DK15">
        <f>BB15*(c_HF2+c_DM)</f>
        <v>75.736728044389665</v>
      </c>
      <c r="DL15">
        <f>BC15*(c_Stroke2+c_HF1+c_DM)</f>
        <v>0.92138736200601856</v>
      </c>
      <c r="DM15">
        <f>BD15*(c_Stroke1+c_Stroke2+c_HF2+c_DM)</f>
        <v>1.0320395603550616</v>
      </c>
      <c r="DN15">
        <f>BE15*(c_Stroke2+c_HF2+c_DM)</f>
        <v>1.9525693317943387</v>
      </c>
      <c r="DO15">
        <f t="shared" si="20"/>
        <v>0</v>
      </c>
      <c r="DP15">
        <f t="shared" si="21"/>
        <v>6828.5935977242489</v>
      </c>
      <c r="DQ15">
        <f>DP15/(1+r_)^A15</f>
        <v>4789.4381594583374</v>
      </c>
    </row>
    <row r="16" spans="1:121" x14ac:dyDescent="0.3">
      <c r="A16">
        <v>13</v>
      </c>
      <c r="B16">
        <v>58</v>
      </c>
      <c r="C16">
        <f t="shared" si="0"/>
        <v>38</v>
      </c>
      <c r="D16">
        <f t="shared" si="1"/>
        <v>125</v>
      </c>
      <c r="E16">
        <f t="shared" si="2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22"/>
        <v>5.6857293942168513E-2</v>
      </c>
      <c r="J16">
        <f t="shared" si="23"/>
        <v>0.1557433823682417</v>
      </c>
      <c r="K16">
        <f t="shared" si="24"/>
        <v>0.21108877880744714</v>
      </c>
      <c r="L16">
        <f t="shared" si="25"/>
        <v>7.7018277977324967E-2</v>
      </c>
      <c r="M16">
        <f t="shared" si="26"/>
        <v>0.10617347757750195</v>
      </c>
      <c r="N16">
        <f t="shared" si="27"/>
        <v>0.33947234022153427</v>
      </c>
      <c r="O16">
        <f t="shared" si="28"/>
        <v>0.44344512613347153</v>
      </c>
      <c r="P16">
        <f t="shared" si="29"/>
        <v>0.18453340798008655</v>
      </c>
      <c r="Q16">
        <f t="shared" si="30"/>
        <v>0.25042014778718646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1.2621663382859924E-2</v>
      </c>
      <c r="U16">
        <f t="shared" si="31"/>
        <v>0.30819167070411946</v>
      </c>
      <c r="V16">
        <f t="shared" si="32"/>
        <v>0.40310014668754612</v>
      </c>
      <c r="W16">
        <f t="shared" si="33"/>
        <v>0.16005769404458148</v>
      </c>
      <c r="X16">
        <f t="shared" si="34"/>
        <v>0.2167290570032917</v>
      </c>
      <c r="Y16">
        <f t="shared" si="35"/>
        <v>0.50623871494937189</v>
      </c>
      <c r="Z16">
        <f t="shared" si="36"/>
        <v>0.63107085513354821</v>
      </c>
      <c r="AA16">
        <f t="shared" si="37"/>
        <v>0.29328539045867963</v>
      </c>
      <c r="AB16">
        <f t="shared" si="38"/>
        <v>0.3876728161522971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2.3276711825252067E-2</v>
      </c>
      <c r="AD16">
        <f t="shared" si="40"/>
        <v>0.39392298564426936</v>
      </c>
      <c r="AE16">
        <f t="shared" si="41"/>
        <v>2.6128875651841715E-2</v>
      </c>
      <c r="AF16">
        <f t="shared" si="42"/>
        <v>2.0642706209940066E-3</v>
      </c>
      <c r="AG16">
        <f t="shared" si="43"/>
        <v>7.6034425836403819E-3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1.224934246102977E-3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5.8738293257684249E-3</v>
      </c>
      <c r="AJ16">
        <f t="shared" si="44"/>
        <v>3.1099366191237172E-5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2.4919358747957335E-5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9.4992172254746668E-5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4.7371241435675902E-4</v>
      </c>
      <c r="AN16">
        <f t="shared" si="45"/>
        <v>2.2714903595111441E-3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9.3970699546092033E-6</v>
      </c>
      <c r="AP16">
        <f>AM15*T15*p_Stroke*p_Stroke_rec*(1-I15) + AN15*T15*p_Stroke*p_Stroke_rec*(1-I15) + AO15*(p_recur_Stroke*p_Stroke_rec)*(1-I15) + AP15*(p_recur_Stroke*p_Stroke_rec)*(1-I15) + AQ15*(p_recur_Stroke*p_Stroke_rec)*(1-I15)</f>
        <v>1.0465586685047415E-5</v>
      </c>
      <c r="AQ16">
        <f>AO15*(1-p_recur_Stroke-H15*rr_Stroke*rr_HF)*(1-I15) + AP15*(1-p_recur_Stroke-H15*rr_Stroke*rr_HF)*(1-I15) + AQ15*(1-p_recur_Stroke-H15*rr_Stroke*rr_HF)*(1-I15)</f>
        <v>3.5038757994314104E-5</v>
      </c>
      <c r="AR16">
        <f>AR15*(1-AC15-H15*rr_DM) + AD15*(1-T15-H15)*I15</f>
        <v>0.42074034021273088</v>
      </c>
      <c r="AS16">
        <f>AR15*AC15*p_Other + AD15*T15*p_Other*I15 + AE15*(1-T15*p_Stroke-T15*p_MI-H15*rr_Other)*I15 + AS15*(1-AC15*p_Stroke-AC15*p_MI-H15*rr_Other*rr_DM)</f>
        <v>4.2843922393835471E-2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3.7931072515482497E-3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1.2501608831642612E-2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2.3276921882621105E-3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9.7393768020364885E-3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8.7344793567974892E-5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7.1655565309248988E-5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2.3983554628251563E-4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8.5163912345521996E-4</v>
      </c>
      <c r="BB16">
        <f>AM15*(1-T15*p_Stroke - H15*rr_HF)*I15 + AN15*(1-T15*p_Stroke - H15*rr_HF)*I15 + BA15*(1-AC15*p_Stroke - H15*rr_HF*rr_DM) + BB15*(1-AC15*p_Stroke - H15*rr_HF*rr_DM)</f>
        <v>3.6370440757412985E-3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2.569437492260637E-5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2.8414318409006602E-5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8.5173921723464175E-5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6.3257697442219846E-2</v>
      </c>
      <c r="BG16">
        <f t="shared" si="16"/>
        <v>0.99999999999999978</v>
      </c>
      <c r="BH16">
        <f>(0.9442 - 0.0007*$B16 - dis_BMI*($C16-21.75))*AD16</f>
        <v>0.33482468972298784</v>
      </c>
      <c r="BI16">
        <f>0.959*(0.9442 - 0.0007*$B16 - dis_BMI*($C16-21.75))*AE16</f>
        <v>2.1298326547805019E-2</v>
      </c>
      <c r="BJ16">
        <f>(0.943*(0.9442 - 0.0007*$B16 - dis_BMI*($C16-21.75)) - 0.19*0.5)*AF16</f>
        <v>1.4584617420834256E-3</v>
      </c>
      <c r="BK16">
        <f>(0.943*(0.9442 - 0.0007*$B16 - dis_BMI*($C16-21.75)))*AG16</f>
        <v>6.0943601517580393E-3</v>
      </c>
      <c r="BL16">
        <f>(0.955*(0.9442 - 0.0007*$B16 - dis_BMI*($C16-21.75)) - 0.15*0.5)*AH16</f>
        <v>9.0244106051124264E-4</v>
      </c>
      <c r="BM16">
        <f>(0.955*(0.9442 - 0.0007*$B16 - dis_BMI*($C16-21.75)))*AI16</f>
        <v>4.7679407175173659E-3</v>
      </c>
      <c r="BN16">
        <f>(0.955*0.943*(0.9442 - 0.0007*$B16 - dis_BMI*($C16-21.75)) - 0.19*0.5)*AJ16</f>
        <v>2.0850810643724397E-5</v>
      </c>
      <c r="BO16">
        <f>(0.955*0.943*(0.9442 - 0.0007*$B16 - dis_BMI*($C16-21.75)) - 0.15*0.5)*AK16</f>
        <v>1.7205764020571498E-5</v>
      </c>
      <c r="BP16">
        <f>(0.955*0.943*(0.9442 - 0.0007*$B16 - dis_BMI*($C16-21.75)))*AL16</f>
        <v>7.2712493099966381E-5</v>
      </c>
      <c r="BQ16">
        <f>(0.93*(0.9442 - 0.0007*$B16 - dis_BMI*($C16-21.75)))*AM16</f>
        <v>3.7445864973538424E-4</v>
      </c>
      <c r="BR16">
        <f>(0.93*(0.9442 - 0.0007*$B16 - dis_BMI*($C16-21.75)))*AN16</f>
        <v>1.795560317042701E-3</v>
      </c>
      <c r="BS16">
        <f>(0.93*0.943*(0.9442 - 0.0007*$B16 - dis_BMI*($C16-21.75)))*AO16</f>
        <v>7.0047598941593293E-6</v>
      </c>
      <c r="BT16">
        <f>(0.93*0.943*(0.9442 - 0.0007*$B16 - dis_BMI*($C16-21.75))-0.19*0.5)*AP16</f>
        <v>6.8070224464305957E-6</v>
      </c>
      <c r="BU16">
        <f>(0.93*0.943*(0.9442 - 0.0007*$B16 - dis_BMI*($C16-21.75)))*AQ16</f>
        <v>2.6118576101409162E-5</v>
      </c>
      <c r="BV16">
        <f>0.962*(0.9442 - 0.0007*$B16 - dis_BMI*($C16-21.75))*AR16</f>
        <v>0.34402925738676793</v>
      </c>
      <c r="BW16">
        <f>0.962*0.959*(0.9442 - 0.0007*$B16 - dis_BMI*($C16-21.75))*AS16</f>
        <v>3.3596114702356357E-2</v>
      </c>
      <c r="BX16">
        <f>0.962*(0.943*(0.9442 - 0.0007*$B16 - dis_BMI*($C16-21.75)) - 0.19*0.5)*AT16</f>
        <v>2.5780931468469982E-3</v>
      </c>
      <c r="BY16">
        <f>0.962*(0.943*(0.9442 - 0.0007*$B16 - dis_BMI*($C16-21.75)))*AU16</f>
        <v>9.6395957798990819E-3</v>
      </c>
      <c r="BZ16">
        <f>0.962*(0.955*(0.9442 - 0.0007*$B16 - dis_BMI*($C16-21.75)) - 0.15*0.5)*AV16</f>
        <v>1.6497065235011727E-3</v>
      </c>
      <c r="CA16">
        <f>0.962*(0.955*(0.9442 - 0.0007*$B16 - dis_BMI*($C16-21.75)))*AW16</f>
        <v>7.605289740957556E-3</v>
      </c>
      <c r="CB16">
        <f>0.962*(0.955*0.943*(0.9442 - 0.0007*$B16 - dis_BMI*($C16-21.75)) - 0.19*0.5)*AX16</f>
        <v>5.6335674819683669E-5</v>
      </c>
      <c r="CC16">
        <f>0.962*(0.955*0.943*(0.9442 - 0.0007*$B16 - dis_BMI*($C16-21.75)) - 0.15*0.5)*AY16</f>
        <v>4.75950840895891E-5</v>
      </c>
      <c r="CD16">
        <f>0.962*(0.955*0.943*(0.9442 - 0.0007*$B16 - dis_BMI*($C16-21.75)))*AZ16</f>
        <v>1.7660778321864737E-4</v>
      </c>
      <c r="CE16">
        <f>0.962*(0.93*(0.9442 - 0.0007*$B16 - dis_BMI*($C16-21.75)))*BA16</f>
        <v>6.4761929127542532E-4</v>
      </c>
      <c r="CF16">
        <f>0.962*(0.93*(0.9442 - 0.0007*$B16 - dis_BMI*($C16-21.75)))*BB16</f>
        <v>2.7657488269359838E-3</v>
      </c>
      <c r="CG16">
        <f>0.962*(0.93*0.943*(0.9442 - 0.0007*$B16 - dis_BMI*($C16-21.75)))*BC16</f>
        <v>1.8425272619560797E-5</v>
      </c>
      <c r="CH16">
        <f>0.962*(0.93*0.943*(0.9442 - 0.0007*$B16 - dis_BMI*($C16-21.75))-0.19*0.5)*BD16</f>
        <v>1.7778942212001364E-5</v>
      </c>
      <c r="CI16">
        <f>0.962*(0.93*0.943*(0.9442 - 0.0007*$B16 - dis_BMI*($C16-21.75)))*BE16</f>
        <v>6.107767682844912E-5</v>
      </c>
      <c r="CJ16">
        <f t="shared" si="17"/>
        <v>0</v>
      </c>
      <c r="CK16">
        <f t="shared" si="18"/>
        <v>0.77455618416797567</v>
      </c>
      <c r="CL16">
        <f>CK16/(1+r_)^A16</f>
        <v>0.52743507150918567</v>
      </c>
      <c r="CM16">
        <f t="shared" si="19"/>
        <v>0</v>
      </c>
      <c r="CN16">
        <f>AE16*c_Other</f>
        <v>373.09421543264784</v>
      </c>
      <c r="CO16">
        <f>AF16*(c_Stroke1+c_Stroke2)</f>
        <v>49.16266910959326</v>
      </c>
      <c r="CP16">
        <f>AG16*c_Stroke2</f>
        <v>49.42237679366248</v>
      </c>
      <c r="CQ16">
        <f>AH16*(c_MI1+c_MI2)</f>
        <v>35.708058208147882</v>
      </c>
      <c r="CR16">
        <f>AI16*c_MI2</f>
        <v>18.30872600842018</v>
      </c>
      <c r="CS16">
        <f>AJ16*(c_Stroke1+c_Stroke2+c_MI2)</f>
        <v>0.83759922962859079</v>
      </c>
      <c r="CT16">
        <f>AK16*(c_Stroke2+c_MI1+c_MI2)</f>
        <v>0.88840005872342698</v>
      </c>
      <c r="CU16">
        <f>AL16*(c_Stroke2+c_MI2)</f>
        <v>0.91353972057389876</v>
      </c>
      <c r="CV16">
        <f>AM16*(c_HF1)</f>
        <v>12.804446560063196</v>
      </c>
      <c r="CW16">
        <f>AN16*(c_HF2)</f>
        <v>35.446607060171402</v>
      </c>
      <c r="CX16">
        <f>AO16*(c_Stroke2+c_HF1)</f>
        <v>0.31508375557804658</v>
      </c>
      <c r="CY16">
        <f>AP16*(c_Stroke1+c_Stroke2+c_HF2)</f>
        <v>0.41256389271125415</v>
      </c>
      <c r="CZ16">
        <f>AQ16*(c_Stroke2+c_HF2)</f>
        <v>0.77453174546431325</v>
      </c>
      <c r="DA16">
        <f>AR16*c_DM</f>
        <v>4806.9583869304506</v>
      </c>
      <c r="DB16">
        <f>AS16*(c_Other+c_DM)</f>
        <v>1101.260181211147</v>
      </c>
      <c r="DC16">
        <f>AT16*(c_Stroke1+c_Stroke2+c_DM)</f>
        <v>133.67289265181188</v>
      </c>
      <c r="DD16">
        <f>AU16*(c_Stroke2+c_DM)</f>
        <v>224.09133830719381</v>
      </c>
      <c r="DE16">
        <f>AV16*(c_MI1+c_MI2+c_DM)</f>
        <v>94.448438230923401</v>
      </c>
      <c r="DF16">
        <f>AW16*(c_MI2+c_DM)</f>
        <v>141.63001745521461</v>
      </c>
      <c r="DG16">
        <f>AX16*(c_Stroke1+c_Stroke2+c_MI2+c_DM)</f>
        <v>3.3503715916803811</v>
      </c>
      <c r="DH16">
        <f>AY16*(c_Stroke2+c_MI1+c_MI2+c_DM)</f>
        <v>3.3732573924982052</v>
      </c>
      <c r="DI16">
        <f>AZ16*(c_Stroke2+c_MI2+c_DM)</f>
        <v>5.0466195648766936</v>
      </c>
      <c r="DJ16">
        <f>BA16*(c_HF1+c_DM)</f>
        <v>32.74978249247048</v>
      </c>
      <c r="DK16">
        <f>BB16*(c_HF2+c_DM)</f>
        <v>98.309301367287304</v>
      </c>
      <c r="DL16">
        <f>BC16*(c_Stroke2+c_HF1+c_DM)</f>
        <v>1.1550906246457693</v>
      </c>
      <c r="DM16">
        <f>BD16*(c_Stroke1+c_Stroke2+c_HF2+c_DM)</f>
        <v>1.4447544338243496</v>
      </c>
      <c r="DN16">
        <f>BE16*(c_Stroke2+c_HF2+c_DM)</f>
        <v>2.8558815953877539</v>
      </c>
      <c r="DO16">
        <f t="shared" si="20"/>
        <v>0</v>
      </c>
      <c r="DP16">
        <f t="shared" si="21"/>
        <v>7228.435131424797</v>
      </c>
      <c r="DQ16">
        <f>DP16/(1+r_)^A16</f>
        <v>4922.2125887974789</v>
      </c>
    </row>
    <row r="17" spans="1:121" x14ac:dyDescent="0.3">
      <c r="A17">
        <v>14</v>
      </c>
      <c r="B17">
        <v>59</v>
      </c>
      <c r="C17">
        <f t="shared" si="0"/>
        <v>38</v>
      </c>
      <c r="D17">
        <f t="shared" si="1"/>
        <v>125</v>
      </c>
      <c r="E17">
        <f t="shared" si="2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2"/>
        <v>5.6857293942168513E-2</v>
      </c>
      <c r="J17">
        <f t="shared" si="23"/>
        <v>0.16252156510334681</v>
      </c>
      <c r="K17">
        <f t="shared" si="24"/>
        <v>0.21994498006695473</v>
      </c>
      <c r="L17">
        <f t="shared" si="25"/>
        <v>8.0533720122064612E-2</v>
      </c>
      <c r="M17">
        <f t="shared" si="26"/>
        <v>0.11093766591234644</v>
      </c>
      <c r="N17">
        <f t="shared" si="27"/>
        <v>0.35427602730300467</v>
      </c>
      <c r="O17">
        <f t="shared" si="28"/>
        <v>0.46098805685556188</v>
      </c>
      <c r="P17">
        <f t="shared" si="29"/>
        <v>0.19357504401760717</v>
      </c>
      <c r="Q17">
        <f t="shared" si="30"/>
        <v>0.26213670075718443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1.318981019607195E-2</v>
      </c>
      <c r="U17">
        <f t="shared" si="31"/>
        <v>0.32022235591117032</v>
      </c>
      <c r="V17">
        <f t="shared" si="32"/>
        <v>0.417586737449408</v>
      </c>
      <c r="W17">
        <f t="shared" si="33"/>
        <v>0.1670044648217448</v>
      </c>
      <c r="X17">
        <f t="shared" si="34"/>
        <v>0.22578648578709981</v>
      </c>
      <c r="Y17">
        <f t="shared" si="35"/>
        <v>0.52492103997738415</v>
      </c>
      <c r="Z17">
        <f t="shared" si="36"/>
        <v>0.6506396193484929</v>
      </c>
      <c r="AA17">
        <f t="shared" si="37"/>
        <v>0.30656732547089294</v>
      </c>
      <c r="AB17">
        <f t="shared" si="38"/>
        <v>0.40387018989728529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2.4231446191988627E-2</v>
      </c>
      <c r="AD17">
        <f t="shared" si="40"/>
        <v>0.36433966774627352</v>
      </c>
      <c r="AE17">
        <f t="shared" si="41"/>
        <v>2.6767744872038805E-2</v>
      </c>
      <c r="AF17">
        <f t="shared" si="42"/>
        <v>2.0646964302110642E-3</v>
      </c>
      <c r="AG17">
        <f t="shared" si="43"/>
        <v>7.8067655030027621E-3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1.2054340541485858E-3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5.9009648371900984E-3</v>
      </c>
      <c r="AJ17">
        <f t="shared" si="44"/>
        <v>3.3604724532335785E-5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2.7090778837422005E-5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1.0563178105747909E-4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4.7059978754804375E-4</v>
      </c>
      <c r="AN17">
        <f t="shared" si="45"/>
        <v>2.5499358600007804E-3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1.0326928554152245E-5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1.263136872980797E-5</v>
      </c>
      <c r="AQ17">
        <f>AO16*(1-p_recur_Stroke-H16*rr_Stroke*rr_HF)*(1-I16) + AP16*(1-p_recur_Stroke-H16*rr_Stroke*rr_HF)*(1-I16) + AQ16*(1-p_recur_Stroke-H16*rr_Stroke*rr_HF)*(1-I16)</f>
        <v>4.3584091485866146E-5</v>
      </c>
      <c r="AR17">
        <f>AR16*(1-AC16-H16*rr_DM) + AD16*(1-T16-H16)*I16</f>
        <v>0.42965959932206987</v>
      </c>
      <c r="AS17">
        <f>AR16*AC16*p_Other + AD16*T16*p_Other*I16 + AE16*(1-T16*p_Stroke-T16*p_MI-H16*rr_Other)*I16 + AS16*(1-AC16*p_Stroke-AC16*p_MI-H16*rr_Other*rr_DM)</f>
        <v>4.8766157066168644E-2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4.2067225175873484E-3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1.4332390229479342E-2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2.540759485196927E-3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1.0942614707035732E-2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1.054919075315025E-4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8.6968478178664388E-5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3.0018321660718963E-4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9.410366459313192E-4</v>
      </c>
      <c r="BB17">
        <f>AM16*(1-T16*p_Stroke - H16*rr_HF)*I16 + AN16*(1-T16*p_Stroke - H16*rr_HF)*I16 + BA16*(1-AC16*p_Stroke - H16*rr_HF*rr_DM) + BB16*(1-AC16*p_Stroke - H16*rr_HF*rr_DM)</f>
        <v>4.5552419489633964E-3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3.1608372049017157E-5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3.8246627677594517E-5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1.1906448144031488E-4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7.2035236230472088E-2</v>
      </c>
      <c r="BG17">
        <f t="shared" si="16"/>
        <v>0.99999999999999956</v>
      </c>
      <c r="BH17">
        <f>(0.9442 - 0.0007*$B17 - dis_BMI*($C17-21.75))*AD17</f>
        <v>0.30942457132521645</v>
      </c>
      <c r="BI17">
        <f>0.959*(0.9442 - 0.0007*$B17 - dis_BMI*($C17-21.75))*AE17</f>
        <v>2.1801116288626524E-2</v>
      </c>
      <c r="BJ17">
        <f>(0.943*(0.9442 - 0.0007*$B17 - dis_BMI*($C17-21.75)) - 0.19*0.5)*AF17</f>
        <v>1.4573996814337029E-3</v>
      </c>
      <c r="BK17">
        <f>(0.943*(0.9442 - 0.0007*$B17 - dis_BMI*($C17-21.75)))*AG17</f>
        <v>6.2521755985265985E-3</v>
      </c>
      <c r="BL17">
        <f>(0.955*(0.9442 - 0.0007*$B17 - dis_BMI*($C17-21.75)) - 0.15*0.5)*AH17</f>
        <v>8.8726892699072949E-4</v>
      </c>
      <c r="BM17">
        <f>(0.955*(0.9442 - 0.0007*$B17 - dis_BMI*($C17-21.75)))*AI17</f>
        <v>4.7860225260599127E-3</v>
      </c>
      <c r="BN17">
        <f>(0.955*0.943*(0.9442 - 0.0007*$B17 - dis_BMI*($C17-21.75)) - 0.19*0.5)*AJ17</f>
        <v>2.2509363257528994E-5</v>
      </c>
      <c r="BO17">
        <f>(0.955*0.943*(0.9442 - 0.0007*$B17 - dis_BMI*($C17-21.75)) - 0.15*0.5)*AK17</f>
        <v>1.8687959914106158E-5</v>
      </c>
      <c r="BP17">
        <f>(0.955*0.943*(0.9442 - 0.0007*$B17 - dis_BMI*($C17-21.75)))*AL17</f>
        <v>8.0790074165266041E-5</v>
      </c>
      <c r="BQ17">
        <f>(0.93*(0.9442 - 0.0007*$B17 - dis_BMI*($C17-21.75)))*AM17</f>
        <v>3.7169183014997432E-4</v>
      </c>
      <c r="BR17">
        <f>(0.93*(0.9442 - 0.0007*$B17 - dis_BMI*($C17-21.75)))*AN17</f>
        <v>2.0140050030770114E-3</v>
      </c>
      <c r="BS17">
        <f>(0.93*0.943*(0.9442 - 0.0007*$B17 - dis_BMI*($C17-21.75)))*AO17</f>
        <v>7.6915550673223697E-6</v>
      </c>
      <c r="BT17">
        <f>(0.93*0.943*(0.9442 - 0.0007*$B17 - dis_BMI*($C17-21.75))-0.19*0.5)*AP17</f>
        <v>8.2079351752241834E-6</v>
      </c>
      <c r="BU17">
        <f>(0.93*0.943*(0.9442 - 0.0007*$B17 - dis_BMI*($C17-21.75)))*AQ17</f>
        <v>3.2461678994376952E-5</v>
      </c>
      <c r="BV17">
        <f>0.962*(0.9442 - 0.0007*$B17 - dis_BMI*($C17-21.75))*AR17</f>
        <v>0.35103298827810936</v>
      </c>
      <c r="BW17">
        <f>0.962*0.959*(0.9442 - 0.0007*$B17 - dis_BMI*($C17-21.75))*AS17</f>
        <v>3.8208549615013125E-2</v>
      </c>
      <c r="BX17">
        <f>0.962*(0.943*(0.9442 - 0.0007*$B17 - dis_BMI*($C17-21.75)) - 0.19*0.5)*AT17</f>
        <v>2.8565471807603326E-3</v>
      </c>
      <c r="BY17">
        <f>0.962*(0.943*(0.9442 - 0.0007*$B17 - dis_BMI*($C17-21.75)))*AU17</f>
        <v>1.1042152201270165E-2</v>
      </c>
      <c r="BZ17">
        <f>0.962*(0.955*(0.9442 - 0.0007*$B17 - dis_BMI*($C17-21.75)) - 0.15*0.5)*AV17</f>
        <v>1.7990798674602025E-3</v>
      </c>
      <c r="CA17">
        <f>0.962*(0.955*(0.9442 - 0.0007*$B17 - dis_BMI*($C17-21.75)))*AW17</f>
        <v>8.5378376339464903E-3</v>
      </c>
      <c r="CB17">
        <f>0.962*(0.955*0.943*(0.9442 - 0.0007*$B17 - dis_BMI*($C17-21.75)) - 0.19*0.5)*AX17</f>
        <v>6.7976232026501109E-5</v>
      </c>
      <c r="CC17">
        <f>0.962*(0.955*0.943*(0.9442 - 0.0007*$B17 - dis_BMI*($C17-21.75)) - 0.15*0.5)*AY17</f>
        <v>5.7713491106508211E-5</v>
      </c>
      <c r="CD17">
        <f>0.962*(0.955*0.943*(0.9442 - 0.0007*$B17 - dis_BMI*($C17-21.75)))*AZ17</f>
        <v>2.2086397459793959E-4</v>
      </c>
      <c r="CE17">
        <f>0.962*(0.93*(0.9442 - 0.0007*$B17 - dis_BMI*($C17-21.75)))*BA17</f>
        <v>7.1501128561348142E-4</v>
      </c>
      <c r="CF17">
        <f>0.962*(0.93*(0.9442 - 0.0007*$B17 - dis_BMI*($C17-21.75)))*BB17</f>
        <v>3.4611291879981599E-3</v>
      </c>
      <c r="CG17">
        <f>0.962*(0.93*0.943*(0.9442 - 0.0007*$B17 - dis_BMI*($C17-21.75)))*BC17</f>
        <v>2.2647495494646414E-5</v>
      </c>
      <c r="CH17">
        <f>0.962*(0.93*0.943*(0.9442 - 0.0007*$B17 - dis_BMI*($C17-21.75))-0.19*0.5)*BD17</f>
        <v>2.3908466704112601E-5</v>
      </c>
      <c r="CI17">
        <f>0.962*(0.93*0.943*(0.9442 - 0.0007*$B17 - dis_BMI*($C17-21.75)))*BE17</f>
        <v>8.5310066042322132E-5</v>
      </c>
      <c r="CJ17">
        <f t="shared" si="17"/>
        <v>0</v>
      </c>
      <c r="CK17">
        <f t="shared" si="18"/>
        <v>0.7652963147227978</v>
      </c>
      <c r="CL17">
        <f>CK17/(1+r_)^A17</f>
        <v>0.50595102039061157</v>
      </c>
      <c r="CM17">
        <f t="shared" si="19"/>
        <v>0</v>
      </c>
      <c r="CN17">
        <f>AE17*c_Other</f>
        <v>382.21662902784209</v>
      </c>
      <c r="CO17">
        <f>AF17*(c_Stroke1+c_Stroke2)</f>
        <v>49.172810181906705</v>
      </c>
      <c r="CP17">
        <f>AG17*c_Stroke2</f>
        <v>50.743975769517952</v>
      </c>
      <c r="CQ17">
        <f>AH17*(c_MI1+c_MI2)</f>
        <v>35.139608112485426</v>
      </c>
      <c r="CR17">
        <f>AI17*c_MI2</f>
        <v>18.393307397521536</v>
      </c>
      <c r="CS17">
        <f>AJ17*(c_Stroke1+c_Stroke2+c_MI2)</f>
        <v>0.90507604582939971</v>
      </c>
      <c r="CT17">
        <f>AK17*(c_Stroke2+c_MI1+c_MI2)</f>
        <v>0.96581335633293186</v>
      </c>
      <c r="CU17">
        <f>AL17*(c_Stroke2+c_MI2)</f>
        <v>1.0158608384297765</v>
      </c>
      <c r="CV17">
        <f>AM17*(c_HF1)</f>
        <v>12.720312257423622</v>
      </c>
      <c r="CW17">
        <f>AN17*(c_HF2)</f>
        <v>39.791749095312177</v>
      </c>
      <c r="CX17">
        <f>AO17*(c_Stroke2+c_HF1)</f>
        <v>0.34626191442072479</v>
      </c>
      <c r="CY17">
        <f>AP17*(c_Stroke1+c_Stroke2+c_HF2)</f>
        <v>0.49794118669776</v>
      </c>
      <c r="CZ17">
        <f>AQ17*(c_Stroke2+c_HF2)</f>
        <v>0.96342634229507118</v>
      </c>
      <c r="DA17">
        <f>AR17*c_DM</f>
        <v>4908.8609222546484</v>
      </c>
      <c r="DB17">
        <f>AS17*(c_Other+c_DM)</f>
        <v>1253.4853012287988</v>
      </c>
      <c r="DC17">
        <f>AT17*(c_Stroke1+c_Stroke2+c_DM)</f>
        <v>148.24910824229573</v>
      </c>
      <c r="DD17">
        <f>AU17*(c_Stroke2+c_DM)</f>
        <v>256.9080948634172</v>
      </c>
      <c r="DE17">
        <f>AV17*(c_MI1+c_MI2+c_DM)</f>
        <v>103.09385687135051</v>
      </c>
      <c r="DF17">
        <f>AW17*(c_MI2+c_DM)</f>
        <v>159.12750306971361</v>
      </c>
      <c r="DG17">
        <f>AX17*(c_Stroke1+c_Stroke2+c_MI2+c_DM)</f>
        <v>4.0464585890933726</v>
      </c>
      <c r="DH17">
        <f>AY17*(c_Stroke2+c_MI1+c_MI2+c_DM)</f>
        <v>4.0941280787388044</v>
      </c>
      <c r="DI17">
        <f>AZ17*(c_Stroke2+c_MI2+c_DM)</f>
        <v>6.316455243848484</v>
      </c>
      <c r="DJ17">
        <f>BA17*(c_HF1+c_DM)</f>
        <v>36.18756421928888</v>
      </c>
      <c r="DK17">
        <f>BB17*(c_HF2+c_DM)</f>
        <v>123.1281898804806</v>
      </c>
      <c r="DL17">
        <f>BC17*(c_Stroke2+c_HF1+c_DM)</f>
        <v>1.4209543654635663</v>
      </c>
      <c r="DM17">
        <f>BD17*(c_Stroke1+c_Stroke2+c_HF2+c_DM)</f>
        <v>1.9446880308949708</v>
      </c>
      <c r="DN17">
        <f>BE17*(c_Stroke2+c_HF2+c_DM)</f>
        <v>3.9922320626937582</v>
      </c>
      <c r="DO17">
        <f t="shared" si="20"/>
        <v>0</v>
      </c>
      <c r="DP17">
        <f t="shared" si="21"/>
        <v>7603.7282285267429</v>
      </c>
      <c r="DQ17">
        <f>DP17/(1+r_)^A17</f>
        <v>5026.9601224846965</v>
      </c>
    </row>
    <row r="18" spans="1:121" x14ac:dyDescent="0.3">
      <c r="A18">
        <v>15</v>
      </c>
      <c r="B18">
        <v>60</v>
      </c>
      <c r="C18">
        <f t="shared" si="0"/>
        <v>38</v>
      </c>
      <c r="D18">
        <f t="shared" si="1"/>
        <v>125</v>
      </c>
      <c r="E18">
        <f t="shared" si="2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22"/>
        <v>5.6857293942168513E-2</v>
      </c>
      <c r="J18">
        <f t="shared" si="23"/>
        <v>0.16944353073349439</v>
      </c>
      <c r="K18">
        <f t="shared" si="24"/>
        <v>0.22895946471811479</v>
      </c>
      <c r="L18">
        <f t="shared" si="25"/>
        <v>8.4139231724856378E-2</v>
      </c>
      <c r="M18">
        <f t="shared" si="26"/>
        <v>0.11581634580887656</v>
      </c>
      <c r="N18">
        <f t="shared" si="27"/>
        <v>0.36926944386695126</v>
      </c>
      <c r="O18">
        <f t="shared" si="28"/>
        <v>0.47858729727860949</v>
      </c>
      <c r="P18">
        <f t="shared" si="29"/>
        <v>0.20284057436943737</v>
      </c>
      <c r="Q18">
        <f t="shared" si="30"/>
        <v>0.2740872275377001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1.3770183216979901E-2</v>
      </c>
      <c r="U18">
        <f t="shared" si="31"/>
        <v>0.332390596174717</v>
      </c>
      <c r="V18">
        <f t="shared" si="32"/>
        <v>0.43213487702222586</v>
      </c>
      <c r="W18">
        <f t="shared" si="33"/>
        <v>0.17409683881768612</v>
      </c>
      <c r="X18">
        <f t="shared" si="34"/>
        <v>0.23500259889329544</v>
      </c>
      <c r="Y18">
        <f t="shared" si="35"/>
        <v>0.54353890503009594</v>
      </c>
      <c r="Z18">
        <f t="shared" si="36"/>
        <v>0.66982719681992742</v>
      </c>
      <c r="AA18">
        <f t="shared" si="37"/>
        <v>0.32007017521152192</v>
      </c>
      <c r="AB18">
        <f t="shared" si="38"/>
        <v>0.42020613242730909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2.5199187563845041E-2</v>
      </c>
      <c r="AD18">
        <f t="shared" si="40"/>
        <v>0.33660549542855578</v>
      </c>
      <c r="AE18">
        <f t="shared" si="41"/>
        <v>2.7241656235574469E-2</v>
      </c>
      <c r="AF18">
        <f t="shared" si="42"/>
        <v>2.0573489037647818E-3</v>
      </c>
      <c r="AG18">
        <f t="shared" si="43"/>
        <v>7.9550940203183176E-3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1.1834103858293012E-3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5.9009717114013047E-3</v>
      </c>
      <c r="AJ18">
        <f t="shared" si="44"/>
        <v>3.6024499987604398E-5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2.9180955093280141E-5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1.1594525334817333E-4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4.6601701225354285E-4</v>
      </c>
      <c r="AN18">
        <f t="shared" si="45"/>
        <v>2.8026366177507662E-3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1.1230859231209378E-5</v>
      </c>
      <c r="AP18">
        <f>AM17*T17*p_Stroke*p_Stroke_rec*(1-I17) + AN17*T17*p_Stroke*p_Stroke_rec*(1-I17) + AO17*(p_recur_Stroke*p_Stroke_rec)*(1-I17) + AP17*(p_recur_Stroke*p_Stroke_rec)*(1-I17) + AQ17*(p_recur_Stroke*p_Stroke_rec)*(1-I17)</f>
        <v>1.4879477209899529E-5</v>
      </c>
      <c r="AQ18">
        <f>AO17*(1-p_recur_Stroke-H17*rr_Stroke*rr_HF)*(1-I17) + AP17*(1-p_recur_Stroke-H17*rr_Stroke*rr_HF)*(1-I17) + AQ17*(1-p_recur_Stroke-H17*rr_Stroke*rr_HF)*(1-I17)</f>
        <v>5.2640930187551893E-5</v>
      </c>
      <c r="AR18">
        <f>AR17*(1-AC17-H17*rr_DM) + AD17*(1-T17-H17)*I17</f>
        <v>0.43596519588785954</v>
      </c>
      <c r="AS18">
        <f>AR17*AC17*p_Other + AD17*T17*p_Other*I17 + AE17*(1-T17*p_Stroke-T17*p_MI-H17*rr_Other)*I17 + AS17*(1-AC17*p_Stroke-AC17*p_MI-H17*rr_Other*rr_DM)</f>
        <v>5.4831840206298915E-2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4.6238129771706132E-3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1.6212291630073317E-2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2.7519744971566291E-3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1.2169588393305383E-2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1.2569389068681862E-4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1.0396445373057591E-4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3.6846568864516954E-4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1.0310469765311323E-3</v>
      </c>
      <c r="BB18">
        <f>AM17*(1-T17*p_Stroke - H17*rr_HF)*I17 + AN17*(1-T17*p_Stroke - H17*rr_HF)*I17 + BA17*(1-AC17*p_Stroke - H17*rr_HF*rr_DM) + BB17*(1-AC17*p_Stroke - H17*rr_HF*rr_DM)</f>
        <v>5.5513624602491702E-3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3.8252274505451782E-5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4.9935195035675783E-5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1.6046711832718683E-4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8.1543576059918133E-2</v>
      </c>
      <c r="BG18">
        <f t="shared" si="16"/>
        <v>0.99999999999999967</v>
      </c>
      <c r="BH18">
        <f>(0.9442 - 0.0007*$B18 - dis_BMI*($C18-21.75))*AD18</f>
        <v>0.2856350082832867</v>
      </c>
      <c r="BI18">
        <f>0.959*(0.9442 - 0.0007*$B18 - dis_BMI*($C18-21.75))*AE18</f>
        <v>2.2168808314058396E-2</v>
      </c>
      <c r="BJ18">
        <f>(0.943*(0.9442 - 0.0007*$B18 - dis_BMI*($C18-21.75)) - 0.19*0.5)*AF18</f>
        <v>1.45085525393185E-3</v>
      </c>
      <c r="BK18">
        <f>(0.943*(0.9442 - 0.0007*$B18 - dis_BMI*($C18-21.75)))*AG18</f>
        <v>6.3657157555189938E-3</v>
      </c>
      <c r="BL18">
        <f>(0.955*(0.9442 - 0.0007*$B18 - dis_BMI*($C18-21.75)) - 0.15*0.5)*AH18</f>
        <v>8.7026712815092215E-4</v>
      </c>
      <c r="BM18">
        <f>(0.955*(0.9442 - 0.0007*$B18 - dis_BMI*($C18-21.75)))*AI18</f>
        <v>4.7820833018522553E-3</v>
      </c>
      <c r="BN18">
        <f>(0.955*0.943*(0.9442 - 0.0007*$B18 - dis_BMI*($C18-21.75)) - 0.19*0.5)*AJ18</f>
        <v>2.4107485332354337E-5</v>
      </c>
      <c r="BO18">
        <f>(0.955*0.943*(0.9442 - 0.0007*$B18 - dis_BMI*($C18-21.75)) - 0.15*0.5)*AK18</f>
        <v>2.0111425098823243E-5</v>
      </c>
      <c r="BP18">
        <f>(0.955*0.943*(0.9442 - 0.0007*$B18 - dis_BMI*($C18-21.75)))*AL18</f>
        <v>8.8605008381431911E-5</v>
      </c>
      <c r="BQ18">
        <f>(0.93*(0.9442 - 0.0007*$B18 - dis_BMI*($C18-21.75)))*AM18</f>
        <v>3.6776885914093665E-4</v>
      </c>
      <c r="BR18">
        <f>(0.93*(0.9442 - 0.0007*$B18 - dis_BMI*($C18-21.75)))*AN18</f>
        <v>2.2117700521543065E-3</v>
      </c>
      <c r="BS18">
        <f>(0.93*0.943*(0.9442 - 0.0007*$B18 - dis_BMI*($C18-21.75)))*AO18</f>
        <v>8.3579132260885865E-6</v>
      </c>
      <c r="BT18">
        <f>(0.93*0.943*(0.9442 - 0.0007*$B18 - dis_BMI*($C18-21.75))-0.19*0.5)*AP18</f>
        <v>9.6596344329992729E-6</v>
      </c>
      <c r="BU18">
        <f>(0.93*0.943*(0.9442 - 0.0007*$B18 - dis_BMI*($C18-21.75)))*AQ18</f>
        <v>3.9174948024058576E-5</v>
      </c>
      <c r="BV18">
        <f>0.962*(0.9442 - 0.0007*$B18 - dis_BMI*($C18-21.75))*AR18</f>
        <v>0.35589109778871986</v>
      </c>
      <c r="BW18">
        <f>0.962*0.959*(0.9442 - 0.0007*$B18 - dis_BMI*($C18-21.75))*AS18</f>
        <v>4.2925635498693514E-2</v>
      </c>
      <c r="BX18">
        <f>0.962*(0.943*(0.9442 - 0.0007*$B18 - dis_BMI*($C18-21.75)) - 0.19*0.5)*AT18</f>
        <v>3.1368335103365121E-3</v>
      </c>
      <c r="BY18">
        <f>0.962*(0.943*(0.9442 - 0.0007*$B18 - dis_BMI*($C18-21.75)))*AU18</f>
        <v>1.2480195969911862E-2</v>
      </c>
      <c r="BZ18">
        <f>0.962*(0.955*(0.9442 - 0.0007*$B18 - dis_BMI*($C18-21.75)) - 0.15*0.5)*AV18</f>
        <v>1.9468687770218479E-3</v>
      </c>
      <c r="CA18">
        <f>0.962*(0.955*(0.9442 - 0.0007*$B18 - dis_BMI*($C18-21.75)))*AW18</f>
        <v>9.4873422102537894E-3</v>
      </c>
      <c r="CB18">
        <f>0.962*(0.955*0.943*(0.9442 - 0.0007*$B18 - dis_BMI*($C18-21.75)) - 0.19*0.5)*AX18</f>
        <v>8.0917636866862508E-5</v>
      </c>
      <c r="CC18">
        <f>0.962*(0.955*0.943*(0.9442 - 0.0007*$B18 - dis_BMI*($C18-21.75)) - 0.15*0.5)*AY18</f>
        <v>6.8929208499016179E-5</v>
      </c>
      <c r="CD18">
        <f>0.962*(0.955*0.943*(0.9442 - 0.0007*$B18 - dis_BMI*($C18-21.75)))*AZ18</f>
        <v>2.7088030011885325E-4</v>
      </c>
      <c r="CE18">
        <f>0.962*(0.93*(0.9442 - 0.0007*$B18 - dis_BMI*($C18-21.75)))*BA18</f>
        <v>7.8275654282440816E-4</v>
      </c>
      <c r="CF18">
        <f>0.962*(0.93*(0.9442 - 0.0007*$B18 - dis_BMI*($C18-21.75)))*BB18</f>
        <v>4.2145172686209155E-3</v>
      </c>
      <c r="CG18">
        <f>0.962*(0.93*0.943*(0.9442 - 0.0007*$B18 - dis_BMI*($C18-21.75)))*BC18</f>
        <v>2.7385281520024733E-5</v>
      </c>
      <c r="CH18">
        <f>0.962*(0.93*0.943*(0.9442 - 0.0007*$B18 - dis_BMI*($C18-21.75))-0.19*0.5)*BD18</f>
        <v>3.1185652904511272E-5</v>
      </c>
      <c r="CI18">
        <f>0.962*(0.93*0.943*(0.9442 - 0.0007*$B18 - dis_BMI*($C18-21.75)))*BE18</f>
        <v>1.1488041605136E-4</v>
      </c>
      <c r="CJ18">
        <f t="shared" si="17"/>
        <v>0</v>
      </c>
      <c r="CK18">
        <f t="shared" si="18"/>
        <v>0.7555017194249336</v>
      </c>
      <c r="CL18">
        <f>CK18/(1+r_)^A18</f>
        <v>0.48492780489165649</v>
      </c>
      <c r="CM18">
        <f t="shared" si="19"/>
        <v>0</v>
      </c>
      <c r="CN18">
        <f>AE18*c_Other</f>
        <v>388.98360938776784</v>
      </c>
      <c r="CO18">
        <f>AF18*(c_Stroke1+c_Stroke2)</f>
        <v>48.997821492062045</v>
      </c>
      <c r="CP18">
        <f>AG18*c_Stroke2</f>
        <v>51.708111132069064</v>
      </c>
      <c r="CQ18">
        <f>AH18*(c_MI1+c_MI2)</f>
        <v>34.497596157309957</v>
      </c>
      <c r="CR18">
        <f>AI18*c_MI2</f>
        <v>18.393328824437866</v>
      </c>
      <c r="CS18">
        <f>AJ18*(c_Stroke1+c_Stroke2+c_MI2)</f>
        <v>0.97024785816614922</v>
      </c>
      <c r="CT18">
        <f>AK18*(c_Stroke2+c_MI1+c_MI2)</f>
        <v>1.0403302300305304</v>
      </c>
      <c r="CU18">
        <f>AL18*(c_Stroke2+c_MI2)</f>
        <v>1.115045501449383</v>
      </c>
      <c r="CV18">
        <f>AM18*(c_HF1)</f>
        <v>12.596439841213263</v>
      </c>
      <c r="CW18">
        <f>AN18*(c_HF2)</f>
        <v>43.735144420000708</v>
      </c>
      <c r="CX18">
        <f>AO18*(c_Stroke2+c_HF1)</f>
        <v>0.37657071002245046</v>
      </c>
      <c r="CY18">
        <f>AP18*(c_Stroke1+c_Stroke2+c_HF2)</f>
        <v>0.58656387109144936</v>
      </c>
      <c r="CZ18">
        <f>AQ18*(c_Stroke2+c_HF2)</f>
        <v>1.1636277617958346</v>
      </c>
      <c r="DA18">
        <f>AR18*c_DM</f>
        <v>4980.9023630187949</v>
      </c>
      <c r="DB18">
        <f>AS18*(c_Other+c_DM)</f>
        <v>1409.3976206627074</v>
      </c>
      <c r="DC18">
        <f>AT18*(c_Stroke1+c_Stroke2+c_DM)</f>
        <v>162.94779312846958</v>
      </c>
      <c r="DD18">
        <f>AU18*(c_Stroke2+c_DM)</f>
        <v>290.60532746906421</v>
      </c>
      <c r="DE18">
        <f>AV18*(c_MI1+c_MI2+c_DM)</f>
        <v>111.66411719662739</v>
      </c>
      <c r="DF18">
        <f>AW18*(c_MI2+c_DM)</f>
        <v>176.97015441544687</v>
      </c>
      <c r="DG18">
        <f>AX18*(c_Stroke1+c_Stroke2+c_MI2+c_DM)</f>
        <v>4.8213662589649884</v>
      </c>
      <c r="DH18">
        <f>AY18*(c_Stroke2+c_MI1+c_MI2+c_DM)</f>
        <v>4.894230623820591</v>
      </c>
      <c r="DI18">
        <f>AZ18*(c_Stroke2+c_MI2+c_DM)</f>
        <v>7.7532550204716575</v>
      </c>
      <c r="DJ18">
        <f>BA18*(c_HF1+c_DM)</f>
        <v>39.648911482504694</v>
      </c>
      <c r="DK18">
        <f>BB18*(c_HF2+c_DM)</f>
        <v>150.05332730053507</v>
      </c>
      <c r="DL18">
        <f>BC18*(c_Stroke2+c_HF1+c_DM)</f>
        <v>1.7196310003925848</v>
      </c>
      <c r="DM18">
        <f>BD18*(c_Stroke1+c_Stroke2+c_HF2+c_DM)</f>
        <v>2.5390049267839707</v>
      </c>
      <c r="DN18">
        <f>BE18*(c_Stroke2+c_HF2+c_DM)</f>
        <v>5.3804624775105747</v>
      </c>
      <c r="DO18">
        <f t="shared" si="20"/>
        <v>0</v>
      </c>
      <c r="DP18">
        <f t="shared" si="21"/>
        <v>7953.46200216951</v>
      </c>
      <c r="DQ18">
        <f>DP18/(1+r_)^A18</f>
        <v>5105.0246092583193</v>
      </c>
    </row>
    <row r="19" spans="1:121" x14ac:dyDescent="0.3">
      <c r="A19">
        <v>16</v>
      </c>
      <c r="B19">
        <v>61</v>
      </c>
      <c r="C19">
        <f t="shared" si="0"/>
        <v>38</v>
      </c>
      <c r="D19">
        <f t="shared" si="1"/>
        <v>125</v>
      </c>
      <c r="E19">
        <f t="shared" si="2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22"/>
        <v>5.6857293942168513E-2</v>
      </c>
      <c r="J19">
        <f t="shared" si="23"/>
        <v>0.17650719745473487</v>
      </c>
      <c r="K19">
        <f t="shared" si="24"/>
        <v>0.23812751895721851</v>
      </c>
      <c r="L19">
        <f t="shared" si="25"/>
        <v>8.7834903016497989E-2</v>
      </c>
      <c r="M19">
        <f t="shared" si="26"/>
        <v>0.12080904564181083</v>
      </c>
      <c r="N19">
        <f t="shared" si="27"/>
        <v>0.38443330512479745</v>
      </c>
      <c r="O19">
        <f t="shared" si="28"/>
        <v>0.49621170717274032</v>
      </c>
      <c r="P19">
        <f t="shared" si="29"/>
        <v>0.21232598427209914</v>
      </c>
      <c r="Q19">
        <f t="shared" si="30"/>
        <v>0.28626206580165348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1.4362547337072817E-2</v>
      </c>
      <c r="U19">
        <f t="shared" si="31"/>
        <v>0.34468555719966509</v>
      </c>
      <c r="V19">
        <f t="shared" si="32"/>
        <v>0.44672704551613773</v>
      </c>
      <c r="W19">
        <f t="shared" si="33"/>
        <v>0.18133255844045704</v>
      </c>
      <c r="X19">
        <f t="shared" si="34"/>
        <v>0.24437237233875142</v>
      </c>
      <c r="Y19">
        <f t="shared" si="35"/>
        <v>0.56205516034703007</v>
      </c>
      <c r="Z19">
        <f t="shared" si="36"/>
        <v>0.68859211604288417</v>
      </c>
      <c r="AA19">
        <f t="shared" si="37"/>
        <v>0.33377984648983594</v>
      </c>
      <c r="AB19">
        <f t="shared" si="38"/>
        <v>0.43665576073864132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2.6179125236601337E-2</v>
      </c>
      <c r="AD19">
        <f t="shared" si="40"/>
        <v>0.31062554543278814</v>
      </c>
      <c r="AE19">
        <f t="shared" si="41"/>
        <v>2.7558139949275879E-2</v>
      </c>
      <c r="AF19">
        <f t="shared" si="42"/>
        <v>2.0424140984850046E-3</v>
      </c>
      <c r="AG19">
        <f t="shared" si="43"/>
        <v>8.0514212872422278E-3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1.1589959350881539E-3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5.8760546782794425E-3</v>
      </c>
      <c r="AJ19">
        <f t="shared" si="44"/>
        <v>3.8330549130352444E-5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3.1165256765995216E-5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1.2581888888469622E-4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4.6004556819473661E-4</v>
      </c>
      <c r="AN19">
        <f t="shared" si="45"/>
        <v>3.0293918307614876E-3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1.2097272945883615E-5</v>
      </c>
      <c r="AP19">
        <f>AM18*T18*p_Stroke*p_Stroke_rec*(1-I18) + AN18*T18*p_Stroke*p_Stroke_rec*(1-I18) + AO18*(p_recur_Stroke*p_Stroke_rec)*(1-I18) + AP18*(p_recur_Stroke*p_Stroke_rec)*(1-I18) + AQ18*(p_recur_Stroke*p_Stroke_rec)*(1-I18)</f>
        <v>1.7182406997752201E-5</v>
      </c>
      <c r="AQ19">
        <f>AO18*(1-p_recur_Stroke-H18*rr_Stroke*rr_HF)*(1-I18) + AP18*(1-p_recur_Stroke-H18*rr_Stroke*rr_HF)*(1-I18) + AQ18*(1-p_recur_Stroke-H18*rr_Stroke*rr_HF)*(1-I18)</f>
        <v>6.2069064741836693E-5</v>
      </c>
      <c r="AR19">
        <f>AR18*(1-AC18-H18*rr_DM) + AD18*(1-T18-H18)*I18</f>
        <v>0.43980468643520421</v>
      </c>
      <c r="AS19">
        <f>AR18*AC18*p_Other + AD18*T18*p_Other*I18 + AE18*(1-T18*p_Stroke-T18*p_MI-H18*rr_Other)*I18 + AS18*(1-AC18*p_Stroke-AC18*p_MI-H18*rr_Other*rr_DM)</f>
        <v>6.0981587685916147E-2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5.0404352216275585E-3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1.8122143234356632E-2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2.9597023426423258E-3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1.3410126504748262E-2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1.4790763084357943E-4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1.2258439803913964E-4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4.4460640506586969E-4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1.1209224607589877E-3</v>
      </c>
      <c r="BB19">
        <f>AM18*(1-T18*p_Stroke - H18*rr_HF)*I18 + AN18*(1-T18*p_Stroke - H18*rr_HF)*I18 + BA18*(1-AC18*p_Stroke - H18*rr_HF*rr_DM) + BB18*(1-AC18*p_Stroke - H18*rr_HF*rr_DM)</f>
        <v>6.6197007749667098E-3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4.5611545830460245E-5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6.3585688634983599E-5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2.0988456889027427E-4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9.181784288289295E-2</v>
      </c>
      <c r="BG19">
        <f t="shared" si="16"/>
        <v>0.99999999999999967</v>
      </c>
      <c r="BH19">
        <f>(0.9442 - 0.0007*$B19 - dis_BMI*($C19-21.75))*AD19</f>
        <v>0.26337163433382527</v>
      </c>
      <c r="BI19">
        <f>0.959*(0.9442 - 0.0007*$B19 - dis_BMI*($C19-21.75))*AE19</f>
        <v>2.24078577352031E-2</v>
      </c>
      <c r="BJ19">
        <f>(0.943*(0.9442 - 0.0007*$B19 - dis_BMI*($C19-21.75)) - 0.19*0.5)*AF19</f>
        <v>1.4389749387329785E-3</v>
      </c>
      <c r="BK19">
        <f>(0.943*(0.9442 - 0.0007*$B19 - dis_BMI*($C19-21.75)))*AG19</f>
        <v>6.4374826909570351E-3</v>
      </c>
      <c r="BL19">
        <f>(0.955*(0.9442 - 0.0007*$B19 - dis_BMI*($C19-21.75)) - 0.15*0.5)*AH19</f>
        <v>8.5153821780042797E-4</v>
      </c>
      <c r="BM19">
        <f>(0.955*(0.9442 - 0.0007*$B19 - dis_BMI*($C19-21.75)))*AI19</f>
        <v>4.7579626666306041E-3</v>
      </c>
      <c r="BN19">
        <f>(0.955*0.943*(0.9442 - 0.0007*$B19 - dis_BMI*($C19-21.75)) - 0.19*0.5)*AJ19</f>
        <v>2.5626522967728643E-5</v>
      </c>
      <c r="BO19">
        <f>(0.955*0.943*(0.9442 - 0.0007*$B19 - dis_BMI*($C19-21.75)) - 0.15*0.5)*AK19</f>
        <v>2.1459353311747198E-5</v>
      </c>
      <c r="BP19">
        <f>(0.955*0.943*(0.9442 - 0.0007*$B19 - dis_BMI*($C19-21.75)))*AL19</f>
        <v>9.607109483188404E-5</v>
      </c>
      <c r="BQ19">
        <f>(0.93*(0.9442 - 0.0007*$B19 - dis_BMI*($C19-21.75)))*AM19</f>
        <v>3.6275685660379446E-4</v>
      </c>
      <c r="BR19">
        <f>(0.93*(0.9442 - 0.0007*$B19 - dis_BMI*($C19-21.75)))*AN19</f>
        <v>2.3887474066114139E-3</v>
      </c>
      <c r="BS19">
        <f>(0.93*0.943*(0.9442 - 0.0007*$B19 - dis_BMI*($C19-21.75)))*AO19</f>
        <v>8.9952647674621792E-6</v>
      </c>
      <c r="BT19">
        <f>(0.93*0.943*(0.9442 - 0.0007*$B19 - dis_BMI*($C19-21.75))-0.19*0.5)*AP19</f>
        <v>1.1144129383113402E-5</v>
      </c>
      <c r="BU19">
        <f>(0.93*0.943*(0.9442 - 0.0007*$B19 - dis_BMI*($C19-21.75)))*AQ19</f>
        <v>4.615318458293998E-5</v>
      </c>
      <c r="BV19">
        <f>0.962*(0.9442 - 0.0007*$B19 - dis_BMI*($C19-21.75))*AR19</f>
        <v>0.35872922136782132</v>
      </c>
      <c r="BW19">
        <f>0.962*0.959*(0.9442 - 0.0007*$B19 - dis_BMI*($C19-21.75))*AS19</f>
        <v>4.7700643351900683E-2</v>
      </c>
      <c r="BX19">
        <f>0.962*(0.943*(0.9442 - 0.0007*$B19 - dis_BMI*($C19-21.75)) - 0.19*0.5)*AT19</f>
        <v>3.4162727777701865E-3</v>
      </c>
      <c r="BY19">
        <f>0.962*(0.943*(0.9442 - 0.0007*$B19 - dis_BMI*($C19-21.75)))*AU19</f>
        <v>1.3938888802535269E-2</v>
      </c>
      <c r="BZ19">
        <f>0.962*(0.955*(0.9442 - 0.0007*$B19 - dis_BMI*($C19-21.75)) - 0.15*0.5)*AV19</f>
        <v>2.0919212895101286E-3</v>
      </c>
      <c r="CA19">
        <f>0.962*(0.955*(0.9442 - 0.0007*$B19 - dis_BMI*($C19-21.75)))*AW19</f>
        <v>1.0445834686193181E-2</v>
      </c>
      <c r="CB19">
        <f>0.962*(0.955*0.943*(0.9442 - 0.0007*$B19 - dis_BMI*($C19-21.75)) - 0.19*0.5)*AX19</f>
        <v>9.5128422792908947E-5</v>
      </c>
      <c r="CC19">
        <f>0.962*(0.955*0.943*(0.9442 - 0.0007*$B19 - dis_BMI*($C19-21.75)) - 0.15*0.5)*AY19</f>
        <v>8.1200030358351068E-5</v>
      </c>
      <c r="CD19">
        <f>0.962*(0.955*0.943*(0.9442 - 0.0007*$B19 - dis_BMI*($C19-21.75)))*AZ19</f>
        <v>3.2658608856141517E-4</v>
      </c>
      <c r="CE19">
        <f>0.962*(0.93*(0.9442 - 0.0007*$B19 - dis_BMI*($C19-21.75)))*BA19</f>
        <v>8.5028677089266254E-4</v>
      </c>
      <c r="CF19">
        <f>0.962*(0.93*(0.9442 - 0.0007*$B19 - dis_BMI*($C19-21.75)))*BB19</f>
        <v>5.0214392103543797E-3</v>
      </c>
      <c r="CG19">
        <f>0.962*(0.93*0.943*(0.9442 - 0.0007*$B19 - dis_BMI*($C19-21.75)))*BC19</f>
        <v>3.2626939276177773E-5</v>
      </c>
      <c r="CH19">
        <f>0.962*(0.93*0.943*(0.9442 - 0.0007*$B19 - dis_BMI*($C19-21.75))-0.19*0.5)*BD19</f>
        <v>3.9673141824158765E-5</v>
      </c>
      <c r="CI19">
        <f>0.962*(0.93*0.943*(0.9442 - 0.0007*$B19 - dis_BMI*($C19-21.75)))*BE19</f>
        <v>1.5013503619551916E-4</v>
      </c>
      <c r="CJ19">
        <f t="shared" si="17"/>
        <v>0</v>
      </c>
      <c r="CK19">
        <f t="shared" si="18"/>
        <v>0.74514626231219594</v>
      </c>
      <c r="CL19">
        <f>CK19/(1+r_)^A19</f>
        <v>0.46435051555639961</v>
      </c>
      <c r="CM19">
        <f t="shared" si="19"/>
        <v>0</v>
      </c>
      <c r="CN19">
        <f>AE19*c_Other</f>
        <v>393.50268033571029</v>
      </c>
      <c r="CO19">
        <f>AF19*(c_Stroke1+c_Stroke2)</f>
        <v>48.642134169518869</v>
      </c>
      <c r="CP19">
        <f>AG19*c_Stroke2</f>
        <v>52.334238367074484</v>
      </c>
      <c r="CQ19">
        <f>AH19*(c_MI1+c_MI2)</f>
        <v>33.785890503754779</v>
      </c>
      <c r="CR19">
        <f>AI19*c_MI2</f>
        <v>18.315662432197023</v>
      </c>
      <c r="CS19">
        <f>AJ19*(c_Stroke1+c_Stroke2+c_MI2)</f>
        <v>1.0323566797277823</v>
      </c>
      <c r="CT19">
        <f>AK19*(c_Stroke2+c_MI1+c_MI2)</f>
        <v>1.1110725689644954</v>
      </c>
      <c r="CU19">
        <f>AL19*(c_Stroke2+c_MI2)</f>
        <v>1.2100002544041235</v>
      </c>
      <c r="CV19">
        <f>AM19*(c_HF1)</f>
        <v>12.435031708303731</v>
      </c>
      <c r="CW19">
        <f>AN19*(c_HF2)</f>
        <v>47.273659519033011</v>
      </c>
      <c r="CX19">
        <f>AO19*(c_Stroke2+c_HF1)</f>
        <v>0.4056215618754776</v>
      </c>
      <c r="CY19">
        <f>AP19*(c_Stroke1+c_Stroke2+c_HF2)</f>
        <v>0.67734766625838949</v>
      </c>
      <c r="CZ19">
        <f>AQ19*(c_Stroke2+c_HF2)</f>
        <v>1.3720366761183</v>
      </c>
      <c r="DA19">
        <f>AR19*c_DM</f>
        <v>5024.768542522208</v>
      </c>
      <c r="DB19">
        <f>AS19*(c_Other+c_DM)</f>
        <v>1567.4707298787887</v>
      </c>
      <c r="DC19">
        <f>AT19*(c_Stroke1+c_Stroke2+c_DM)</f>
        <v>177.62997764537678</v>
      </c>
      <c r="DD19">
        <f>AU19*(c_Stroke2+c_DM)</f>
        <v>324.83941747584259</v>
      </c>
      <c r="DE19">
        <f>AV19*(c_MI1+c_MI2+c_DM)</f>
        <v>120.09288225505502</v>
      </c>
      <c r="DF19">
        <f>AW19*(c_MI2+c_DM)</f>
        <v>195.01005963204923</v>
      </c>
      <c r="DG19">
        <f>AX19*(c_Stroke1+c_Stroke2+c_MI2+c_DM)</f>
        <v>5.6734409038980198</v>
      </c>
      <c r="DH19">
        <f>AY19*(c_Stroke2+c_MI1+c_MI2+c_DM)</f>
        <v>5.7707831220905375</v>
      </c>
      <c r="DI19">
        <f>AZ19*(c_Stroke2+c_MI2+c_DM)</f>
        <v>9.3554079753960302</v>
      </c>
      <c r="DJ19">
        <f>BA19*(c_HF1+c_DM)</f>
        <v>43.105073228486873</v>
      </c>
      <c r="DK19">
        <f>BB19*(c_HF2+c_DM)</f>
        <v>178.93051194735017</v>
      </c>
      <c r="DL19">
        <f>BC19*(c_Stroke2+c_HF1+c_DM)</f>
        <v>2.0504670428083402</v>
      </c>
      <c r="DM19">
        <f>BD19*(c_Stroke1+c_Stroke2+c_HF2+c_DM)</f>
        <v>3.2330779243343759</v>
      </c>
      <c r="DN19">
        <f>BE19*(c_Stroke2+c_HF2+c_DM)</f>
        <v>7.037429594890896</v>
      </c>
      <c r="DO19">
        <f t="shared" si="20"/>
        <v>0</v>
      </c>
      <c r="DP19">
        <f t="shared" si="21"/>
        <v>8277.0655335915162</v>
      </c>
      <c r="DQ19">
        <f>DP19/(1+r_)^A19</f>
        <v>5157.9935942925276</v>
      </c>
    </row>
    <row r="20" spans="1:121" x14ac:dyDescent="0.3">
      <c r="A20">
        <v>17</v>
      </c>
      <c r="B20">
        <v>62</v>
      </c>
      <c r="C20">
        <f t="shared" si="0"/>
        <v>38</v>
      </c>
      <c r="D20">
        <f t="shared" si="1"/>
        <v>125</v>
      </c>
      <c r="E20">
        <f t="shared" si="2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2"/>
        <v>5.6857293942168513E-2</v>
      </c>
      <c r="J20">
        <f t="shared" si="23"/>
        <v>0.18371032691240885</v>
      </c>
      <c r="K20">
        <f t="shared" si="24"/>
        <v>0.24744420468978656</v>
      </c>
      <c r="L20">
        <f t="shared" si="25"/>
        <v>9.1620772150942442E-2</v>
      </c>
      <c r="M20">
        <f t="shared" si="26"/>
        <v>0.12591520549769275</v>
      </c>
      <c r="N20">
        <f t="shared" si="27"/>
        <v>0.39974767732337146</v>
      </c>
      <c r="O20">
        <f t="shared" si="28"/>
        <v>0.51382996844569806</v>
      </c>
      <c r="P20">
        <f t="shared" si="29"/>
        <v>0.22202683102575449</v>
      </c>
      <c r="Q20">
        <f t="shared" si="30"/>
        <v>0.29865094728417563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1.4966651808364591E-2</v>
      </c>
      <c r="U20">
        <f t="shared" si="31"/>
        <v>0.35709615448462551</v>
      </c>
      <c r="V20">
        <f t="shared" si="32"/>
        <v>0.46134566641002273</v>
      </c>
      <c r="W20">
        <f t="shared" si="33"/>
        <v>0.18870920366291344</v>
      </c>
      <c r="X20">
        <f t="shared" si="34"/>
        <v>0.25389055235605928</v>
      </c>
      <c r="Y20">
        <f t="shared" si="35"/>
        <v>0.58043313846874378</v>
      </c>
      <c r="Z20">
        <f t="shared" si="36"/>
        <v>0.70689566289179329</v>
      </c>
      <c r="AA20">
        <f t="shared" si="37"/>
        <v>0.34768158109126879</v>
      </c>
      <c r="AB20">
        <f t="shared" si="38"/>
        <v>0.45319367584219483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2.7170430613183548E-2</v>
      </c>
      <c r="AD20">
        <f t="shared" si="40"/>
        <v>0.28628154333904166</v>
      </c>
      <c r="AE20">
        <f t="shared" si="41"/>
        <v>2.7720324329788531E-2</v>
      </c>
      <c r="AF20">
        <f t="shared" si="42"/>
        <v>2.0203423423585404E-3</v>
      </c>
      <c r="AG20">
        <f t="shared" si="43"/>
        <v>8.0957270642584202E-3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1.1324077392640079E-3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5.8272303890053636E-3</v>
      </c>
      <c r="AJ20">
        <f t="shared" si="44"/>
        <v>4.0501443496091411E-5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3.3025366294669506E-5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1.3504799602749622E-4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4.5280115758432706E-4</v>
      </c>
      <c r="AN20">
        <f t="shared" si="45"/>
        <v>3.2295649791896607E-3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1.2917305150690446E-5</v>
      </c>
      <c r="AP20">
        <f>AM19*T19*p_Stroke*p_Stroke_rec*(1-I19) + AN19*T19*p_Stroke*p_Stroke_rec*(1-I19) + AO19*(p_recur_Stroke*p_Stroke_rec)*(1-I19) + AP19*(p_recur_Stroke*p_Stroke_rec)*(1-I19) + AQ19*(p_recur_Stroke*p_Stroke_rec)*(1-I19)</f>
        <v>1.95133424859561E-5</v>
      </c>
      <c r="AQ20">
        <f>AO19*(1-p_recur_Stroke-H19*rr_Stroke*rr_HF)*(1-I19) + AP19*(1-p_recur_Stroke-H19*rr_Stroke*rr_HF)*(1-I19) + AQ19*(1-p_recur_Stroke-H19*rr_Stroke*rr_HF)*(1-I19)</f>
        <v>7.167011992986031E-5</v>
      </c>
      <c r="AR20">
        <f>AR19*(1-AC19-H19*rr_DM) + AD19*(1-T19-H19)*I19</f>
        <v>0.44127665736526522</v>
      </c>
      <c r="AS20">
        <f>AR19*AC19*p_Other + AD19*T19*p_Other*I19 + AE19*(1-T19*p_Stroke-T19*p_MI-H19*rr_Other)*I19 + AS19*(1-AC19*p_Stroke-AC19*p_MI-H19*rr_Other*rr_DM)</f>
        <v>6.7141189746748708E-2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5.4530518801612785E-3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2.0033375640559757E-2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3.1625001788009493E-3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1.4650810894924619E-2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1.7206920825044142E-4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1.4275381031363116E-4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5.2791383810950484E-4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1.2099863674803009E-3</v>
      </c>
      <c r="BB20">
        <f>AM19*(1-T19*p_Stroke - H19*rr_HF)*I19 + AN19*(1-T19*p_Stroke - H19*rr_HF)*I19 + BA19*(1-AC19*p_Stroke - H19*rr_HF*rr_DM) + BB19*(1-AC19*p_Stroke - H19*rr_HF*rr_DM)</f>
        <v>7.7518424104496258E-3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5.3664093345553102E-5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7.9282196478793593E-5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2.6745347691560631E-4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0.1030048319783203</v>
      </c>
      <c r="BG20">
        <f t="shared" si="16"/>
        <v>0.99999999999999922</v>
      </c>
      <c r="BH20">
        <f>(0.9442 - 0.0007*$B20 - dis_BMI*($C20-21.75))*AD20</f>
        <v>0.24253056647825261</v>
      </c>
      <c r="BI20">
        <f>0.959*(0.9442 - 0.0007*$B20 - dis_BMI*($C20-21.75))*AE20</f>
        <v>2.2521123167760965E-2</v>
      </c>
      <c r="BJ20">
        <f>(0.943*(0.9442 - 0.0007*$B20 - dis_BMI*($C20-21.75)) - 0.19*0.5)*AF20</f>
        <v>1.4220907405019421E-3</v>
      </c>
      <c r="BK20">
        <f>(0.943*(0.9442 - 0.0007*$B20 - dis_BMI*($C20-21.75)))*AG20</f>
        <v>6.4675632138503289E-3</v>
      </c>
      <c r="BL20">
        <f>(0.955*(0.9442 - 0.0007*$B20 - dis_BMI*($C20-21.75)) - 0.15*0.5)*AH20</f>
        <v>8.3124630737319092E-4</v>
      </c>
      <c r="BM20">
        <f>(0.955*(0.9442 - 0.0007*$B20 - dis_BMI*($C20-21.75)))*AI20</f>
        <v>4.7145331290893659E-3</v>
      </c>
      <c r="BN20">
        <f>(0.955*0.943*(0.9442 - 0.0007*$B20 - dis_BMI*($C20-21.75)) - 0.19*0.5)*AJ20</f>
        <v>2.7052378395164928E-5</v>
      </c>
      <c r="BO20">
        <f>(0.955*0.943*(0.9442 - 0.0007*$B20 - dis_BMI*($C20-21.75)) - 0.15*0.5)*AK20</f>
        <v>2.2719343469067997E-5</v>
      </c>
      <c r="BP20">
        <f>(0.955*0.943*(0.9442 - 0.0007*$B20 - dis_BMI*($C20-21.75)))*AL20</f>
        <v>1.0303299867774423E-4</v>
      </c>
      <c r="BQ20">
        <f>(0.93*(0.9442 - 0.0007*$B20 - dis_BMI*($C20-21.75)))*AM20</f>
        <v>3.5674969322914711E-4</v>
      </c>
      <c r="BR20">
        <f>(0.93*(0.9442 - 0.0007*$B20 - dis_BMI*($C20-21.75)))*AN20</f>
        <v>2.5444862414578506E-3</v>
      </c>
      <c r="BS20">
        <f>(0.93*0.943*(0.9442 - 0.0007*$B20 - dis_BMI*($C20-21.75)))*AO20</f>
        <v>9.5970927459588178E-6</v>
      </c>
      <c r="BT20">
        <f>(0.93*0.943*(0.9442 - 0.0007*$B20 - dis_BMI*($C20-21.75))-0.19*0.5)*AP20</f>
        <v>1.2643943513988422E-5</v>
      </c>
      <c r="BU20">
        <f>(0.93*0.943*(0.9442 - 0.0007*$B20 - dis_BMI*($C20-21.75)))*AQ20</f>
        <v>5.3248319216496622E-5</v>
      </c>
      <c r="BV20">
        <f>0.962*(0.9442 - 0.0007*$B20 - dis_BMI*($C20-21.75))*AR20</f>
        <v>0.35963268721968866</v>
      </c>
      <c r="BW20">
        <f>0.962*0.959*(0.9442 - 0.0007*$B20 - dis_BMI*($C20-21.75))*AS20</f>
        <v>5.2475410332935513E-2</v>
      </c>
      <c r="BX20">
        <f>0.962*(0.943*(0.9442 - 0.0007*$B20 - dis_BMI*($C20-21.75)) - 0.19*0.5)*AT20</f>
        <v>3.6924705855877695E-3</v>
      </c>
      <c r="BY20">
        <f>0.962*(0.943*(0.9442 - 0.0007*$B20 - dis_BMI*($C20-21.75)))*AU20</f>
        <v>1.5396217247171504E-2</v>
      </c>
      <c r="BZ20">
        <f>0.962*(0.955*(0.9442 - 0.0007*$B20 - dis_BMI*($C20-21.75)) - 0.15*0.5)*AV20</f>
        <v>2.2332252574523716E-3</v>
      </c>
      <c r="CA20">
        <f>0.962*(0.955*(0.9442 - 0.0007*$B20 - dis_BMI*($C20-21.75)))*AW20</f>
        <v>1.1402845439386461E-2</v>
      </c>
      <c r="CB20">
        <f>0.962*(0.955*0.943*(0.9442 - 0.0007*$B20 - dis_BMI*($C20-21.75)) - 0.19*0.5)*AX20</f>
        <v>1.1056385784306983E-4</v>
      </c>
      <c r="CC20">
        <f>0.962*(0.955*0.943*(0.9442 - 0.0007*$B20 - dis_BMI*($C20-21.75)) - 0.15*0.5)*AY20</f>
        <v>9.4473697943870614E-5</v>
      </c>
      <c r="CD20">
        <f>0.962*(0.955*0.943*(0.9442 - 0.0007*$B20 - dis_BMI*($C20-21.75)))*AZ20</f>
        <v>3.8745950020211805E-4</v>
      </c>
      <c r="CE20">
        <f>0.962*(0.93*(0.9442 - 0.0007*$B20 - dis_BMI*($C20-21.75)))*BA20</f>
        <v>9.1708930591046509E-4</v>
      </c>
      <c r="CF20">
        <f>0.962*(0.93*(0.9442 - 0.0007*$B20 - dis_BMI*($C20-21.75)))*BB20</f>
        <v>5.8753817123830474E-3</v>
      </c>
      <c r="CG20">
        <f>0.962*(0.93*0.943*(0.9442 - 0.0007*$B20 - dis_BMI*($C20-21.75)))*BC20</f>
        <v>3.8355411017127656E-5</v>
      </c>
      <c r="CH20">
        <f>0.962*(0.93*0.943*(0.9442 - 0.0007*$B20 - dis_BMI*($C20-21.75))-0.19*0.5)*BD20</f>
        <v>4.9419873059011773E-5</v>
      </c>
      <c r="CI20">
        <f>0.962*(0.93*0.943*(0.9442 - 0.0007*$B20 - dis_BMI*($C20-21.75)))*BE20</f>
        <v>1.91157390268441E-4</v>
      </c>
      <c r="CJ20">
        <f t="shared" si="17"/>
        <v>0</v>
      </c>
      <c r="CK20">
        <f t="shared" si="18"/>
        <v>0.73411340987838336</v>
      </c>
      <c r="CL20">
        <f>CK20/(1+r_)^A20</f>
        <v>0.4441506860916053</v>
      </c>
      <c r="CM20">
        <f t="shared" si="19"/>
        <v>0</v>
      </c>
      <c r="CN20">
        <f>AE20*c_Other</f>
        <v>395.81851110505045</v>
      </c>
      <c r="CO20">
        <f>AF20*(c_Stroke1+c_Stroke2)</f>
        <v>48.116473225611003</v>
      </c>
      <c r="CP20">
        <f>AG20*c_Stroke2</f>
        <v>52.622225917679735</v>
      </c>
      <c r="CQ20">
        <f>AH20*(c_MI1+c_MI2)</f>
        <v>33.010818007285096</v>
      </c>
      <c r="CR20">
        <f>AI20*c_MI2</f>
        <v>18.16347712252972</v>
      </c>
      <c r="CS20">
        <f>AJ20*(c_Stroke1+c_Stroke2+c_MI2)</f>
        <v>1.0908253776802299</v>
      </c>
      <c r="CT20">
        <f>AK20*(c_Stroke2+c_MI1+c_MI2)</f>
        <v>1.1773873337712626</v>
      </c>
      <c r="CU20">
        <f>AL20*(c_Stroke2+c_MI2)</f>
        <v>1.2987565777964312</v>
      </c>
      <c r="CV20">
        <f>AM20*(c_HF1)</f>
        <v>12.23921528950436</v>
      </c>
      <c r="CW20">
        <f>AN20*(c_HF2)</f>
        <v>50.397361500254654</v>
      </c>
      <c r="CX20">
        <f>AO20*(c_Stroke2+c_HF1)</f>
        <v>0.43311724170265065</v>
      </c>
      <c r="CY20">
        <f>AP20*(c_Stroke1+c_Stroke2+c_HF2)</f>
        <v>0.76923547413887539</v>
      </c>
      <c r="CZ20">
        <f>AQ20*(c_Stroke2+c_HF2)</f>
        <v>1.5842680010495622</v>
      </c>
      <c r="DA20">
        <f>AR20*c_DM</f>
        <v>5041.5858103981554</v>
      </c>
      <c r="DB20">
        <f>AS20*(c_Other+c_DM)</f>
        <v>1725.7971412504287</v>
      </c>
      <c r="DC20">
        <f>AT20*(c_Stroke1+c_Stroke2+c_DM)</f>
        <v>192.17100130876361</v>
      </c>
      <c r="DD20">
        <f>AU20*(c_Stroke2+c_DM)</f>
        <v>359.09825835703367</v>
      </c>
      <c r="DE20">
        <f>AV20*(c_MI1+c_MI2+c_DM)</f>
        <v>128.32160725502732</v>
      </c>
      <c r="DF20">
        <f>AW20*(c_MI2+c_DM)</f>
        <v>213.0520920339938</v>
      </c>
      <c r="DG20">
        <f>AX20*(c_Stroke1+c_Stroke2+c_MI2+c_DM)</f>
        <v>6.6002306900704317</v>
      </c>
      <c r="DH20">
        <f>AY20*(c_Stroke2+c_MI1+c_MI2+c_DM)</f>
        <v>6.7202783743245007</v>
      </c>
      <c r="DI20">
        <f>AZ20*(c_Stroke2+c_MI2+c_DM)</f>
        <v>11.108362981500202</v>
      </c>
      <c r="DJ20">
        <f>BA20*(c_HF1+c_DM)</f>
        <v>46.530025761454972</v>
      </c>
      <c r="DK20">
        <f>BB20*(c_HF2+c_DM)</f>
        <v>209.53230035445338</v>
      </c>
      <c r="DL20">
        <f>BC20*(c_Stroke2+c_HF1+c_DM)</f>
        <v>2.4124693163493398</v>
      </c>
      <c r="DM20">
        <f>BD20*(c_Stroke1+c_Stroke2+c_HF2+c_DM)</f>
        <v>4.0311825621607387</v>
      </c>
      <c r="DN20">
        <f>BE20*(c_Stroke2+c_HF2+c_DM)</f>
        <v>8.9677150809802786</v>
      </c>
      <c r="DO20">
        <f t="shared" si="20"/>
        <v>0</v>
      </c>
      <c r="DP20">
        <f t="shared" si="21"/>
        <v>8572.6501478987502</v>
      </c>
      <c r="DQ20">
        <f>DP20/(1+r_)^A20</f>
        <v>5186.594323952354</v>
      </c>
    </row>
    <row r="21" spans="1:121" x14ac:dyDescent="0.3">
      <c r="A21">
        <v>18</v>
      </c>
      <c r="B21">
        <v>63</v>
      </c>
      <c r="C21">
        <f t="shared" si="0"/>
        <v>38</v>
      </c>
      <c r="D21">
        <f t="shared" si="1"/>
        <v>125</v>
      </c>
      <c r="E21">
        <f t="shared" si="2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2"/>
        <v>5.6857293942168513E-2</v>
      </c>
      <c r="J21">
        <f t="shared" si="23"/>
        <v>0.19105052587520022</v>
      </c>
      <c r="K21">
        <f t="shared" si="24"/>
        <v>0.25690436620684087</v>
      </c>
      <c r="L21">
        <f t="shared" si="25"/>
        <v>9.5496824872994934E-2</v>
      </c>
      <c r="M21">
        <f t="shared" si="26"/>
        <v>0.13113417706784181</v>
      </c>
      <c r="N21">
        <f t="shared" si="27"/>
        <v>0.41519204339966309</v>
      </c>
      <c r="O21">
        <f t="shared" si="28"/>
        <v>0.53141073453278997</v>
      </c>
      <c r="P21">
        <f t="shared" si="29"/>
        <v>0.23193824578633826</v>
      </c>
      <c r="Q21">
        <f t="shared" si="30"/>
        <v>0.31124301664856635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1.5582230769991162E-2</v>
      </c>
      <c r="U21">
        <f t="shared" si="31"/>
        <v>0.3696110784304858</v>
      </c>
      <c r="V21">
        <f t="shared" si="32"/>
        <v>0.47597316035039894</v>
      </c>
      <c r="W21">
        <f t="shared" si="33"/>
        <v>0.19622419396021684</v>
      </c>
      <c r="X21">
        <f t="shared" si="34"/>
        <v>0.26355166279233133</v>
      </c>
      <c r="Y21">
        <f t="shared" si="35"/>
        <v>0.59863685707515391</v>
      </c>
      <c r="Z21">
        <f t="shared" si="36"/>
        <v>0.72470212207280416</v>
      </c>
      <c r="AA21">
        <f t="shared" si="37"/>
        <v>0.36175999369291867</v>
      </c>
      <c r="AB21">
        <f t="shared" si="38"/>
        <v>0.4697940644600046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2.8172259624016364E-2</v>
      </c>
      <c r="AD21">
        <f t="shared" si="40"/>
        <v>0.26354674946595819</v>
      </c>
      <c r="AE21">
        <f t="shared" si="41"/>
        <v>2.7746141649787018E-2</v>
      </c>
      <c r="AF21">
        <f t="shared" si="42"/>
        <v>1.9912008363025266E-3</v>
      </c>
      <c r="AG21">
        <f t="shared" si="43"/>
        <v>8.0973005430600292E-3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1.1037285134811981E-3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5.758646910047802E-3</v>
      </c>
      <c r="AJ21">
        <f t="shared" si="44"/>
        <v>4.2505026800465913E-5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3.473285923723207E-5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1.4372817543000291E-4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4.4433790041898216E-4</v>
      </c>
      <c r="AN21">
        <f t="shared" si="45"/>
        <v>3.4044699180063799E-3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1.3677606326621823E-5</v>
      </c>
      <c r="AP21">
        <f>AM20*T20*p_Stroke*p_Stroke_rec*(1-I20) + AN20*T20*p_Stroke*p_Stroke_rec*(1-I20) + AO20*(p_recur_Stroke*p_Stroke_rec)*(1-I20) + AP20*(p_recur_Stroke*p_Stroke_rec)*(1-I20) + AQ20*(p_recur_Stroke*p_Stroke_rec)*(1-I20)</f>
        <v>2.1838064113195215E-5</v>
      </c>
      <c r="AQ21">
        <f>AO20*(1-p_recur_Stroke-H20*rr_Stroke*rr_HF)*(1-I20) + AP20*(1-p_recur_Stroke-H20*rr_Stroke*rr_HF)*(1-I20) + AQ20*(1-p_recur_Stroke-H20*rr_Stroke*rr_HF)*(1-I20)</f>
        <v>8.139429315583652E-5</v>
      </c>
      <c r="AR21">
        <f>AR20*(1-AC20-H20*rr_DM) + AD20*(1-T20-H20)*I20</f>
        <v>0.44063303845105506</v>
      </c>
      <c r="AS21">
        <f>AR20*AC20*p_Other + AD20*T20*p_Other*I20 + AE20*(1-T20*p_Stroke-T20*p_MI-H20*rr_Other)*I20 + AS20*(1-AC20*p_Stroke-AC20*p_MI-H20*rr_Other*rr_DM)</f>
        <v>7.3274275162492866E-2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5.8567689821961534E-3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2.1942797801938956E-2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3.3584786775782312E-3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1.5887290054355543E-2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1.9801397399011453E-4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1.643046259002896E-4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6.1880568129106116E-4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1.2973678906884568E-3</v>
      </c>
      <c r="BB21">
        <f>AM20*(1-T20*p_Stroke - H20*rr_HF)*I20 + AN20*(1-T20*p_Stroke - H20*rr_HF)*I20 + BA20*(1-AC20*p_Stroke - H20*rr_HF*rr_DM) + BB20*(1-AC20*p_Stroke - H20*rr_HF*rr_DM)</f>
        <v>8.9431866504684297E-3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6.2347082687668959E-5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9.7044552119659685E-5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3.3378230273716257E-4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0.11490204634837441</v>
      </c>
      <c r="BG21">
        <f t="shared" si="16"/>
        <v>0.99999999999999956</v>
      </c>
      <c r="BH21">
        <f>(0.9442 - 0.0007*$B21 - dis_BMI*($C21-21.75))*AD21</f>
        <v>0.22308573475419696</v>
      </c>
      <c r="BI21">
        <f>0.959*(0.9442 - 0.0007*$B21 - dis_BMI*($C21-21.75))*AE21</f>
        <v>2.2523472227630324E-2</v>
      </c>
      <c r="BJ21">
        <f>(0.943*(0.9442 - 0.0007*$B21 - dis_BMI*($C21-21.75)) - 0.19*0.5)*AF21</f>
        <v>1.4002640499696177E-3</v>
      </c>
      <c r="BK21">
        <f>(0.943*(0.9442 - 0.0007*$B21 - dis_BMI*($C21-21.75)))*AG21</f>
        <v>6.4634752159870934E-3</v>
      </c>
      <c r="BL21">
        <f>(0.955*(0.9442 - 0.0007*$B21 - dis_BMI*($C21-21.75)) - 0.15*0.5)*AH21</f>
        <v>8.0945641823270244E-4</v>
      </c>
      <c r="BM21">
        <f>(0.955*(0.9442 - 0.0007*$B21 - dis_BMI*($C21-21.75)))*AI21</f>
        <v>4.6551958642394907E-3</v>
      </c>
      <c r="BN21">
        <f>(0.955*0.943*(0.9442 - 0.0007*$B21 - dis_BMI*($C21-21.75)) - 0.19*0.5)*AJ21</f>
        <v>2.8363849143834602E-5</v>
      </c>
      <c r="BO21">
        <f>(0.955*0.943*(0.9442 - 0.0007*$B21 - dis_BMI*($C21-21.75)) - 0.15*0.5)*AK21</f>
        <v>2.3872094158577912E-5</v>
      </c>
      <c r="BP21">
        <f>(0.955*0.943*(0.9442 - 0.0007*$B21 - dis_BMI*($C21-21.75)))*AL21</f>
        <v>1.095648157710234E-4</v>
      </c>
      <c r="BQ21">
        <f>(0.93*(0.9442 - 0.0007*$B21 - dis_BMI*($C21-21.75)))*AM21</f>
        <v>3.4979245955915687E-4</v>
      </c>
      <c r="BR21">
        <f>(0.93*(0.9442 - 0.0007*$B21 - dis_BMI*($C21-21.75)))*AN21</f>
        <v>2.680072766675339E-3</v>
      </c>
      <c r="BS21">
        <f>(0.93*0.943*(0.9442 - 0.0007*$B21 - dis_BMI*($C21-21.75)))*AO21</f>
        <v>1.0153572564523807E-5</v>
      </c>
      <c r="BT21">
        <f>(0.93*0.943*(0.9442 - 0.0007*$B21 - dis_BMI*($C21-21.75))-0.19*0.5)*AP21</f>
        <v>1.413687321132349E-5</v>
      </c>
      <c r="BU21">
        <f>(0.93*0.943*(0.9442 - 0.0007*$B21 - dis_BMI*($C21-21.75)))*AQ21</f>
        <v>6.0423062497956057E-5</v>
      </c>
      <c r="BV21">
        <f>0.962*(0.9442 - 0.0007*$B21 - dis_BMI*($C21-21.75))*AR21</f>
        <v>0.35881142687638823</v>
      </c>
      <c r="BW21">
        <f>0.962*0.959*(0.9442 - 0.0007*$B21 - dis_BMI*($C21-21.75))*AS21</f>
        <v>5.7221514248727831E-2</v>
      </c>
      <c r="BX21">
        <f>0.962*(0.943*(0.9442 - 0.0007*$B21 - dis_BMI*($C21-21.75)) - 0.19*0.5)*AT21</f>
        <v>3.9621237771855821E-3</v>
      </c>
      <c r="BY21">
        <f>0.962*(0.943*(0.9442 - 0.0007*$B21 - dis_BMI*($C21-21.75)))*AU21</f>
        <v>1.6849728289784142E-2</v>
      </c>
      <c r="BZ21">
        <f>0.962*(0.955*(0.9442 - 0.0007*$B21 - dis_BMI*($C21-21.75)) - 0.15*0.5)*AV21</f>
        <v>2.3694572428997231E-3</v>
      </c>
      <c r="CA21">
        <f>0.962*(0.955*(0.9442 - 0.0007*$B21 - dis_BMI*($C21-21.75)))*AW21</f>
        <v>1.2354990170794857E-2</v>
      </c>
      <c r="CB21">
        <f>0.962*(0.955*0.943*(0.9442 - 0.0007*$B21 - dis_BMI*($C21-21.75)) - 0.19*0.5)*AX21</f>
        <v>1.2711470220919268E-4</v>
      </c>
      <c r="CC21">
        <f>0.962*(0.955*0.943*(0.9442 - 0.0007*$B21 - dis_BMI*($C21-21.75)) - 0.15*0.5)*AY21</f>
        <v>1.0863626991958027E-4</v>
      </c>
      <c r="CD21">
        <f>0.962*(0.955*0.943*(0.9442 - 0.0007*$B21 - dis_BMI*($C21-21.75)))*AZ21</f>
        <v>4.5379380706513388E-4</v>
      </c>
      <c r="CE21">
        <f>0.962*(0.93*(0.9442 - 0.0007*$B21 - dis_BMI*($C21-21.75)))*BA21</f>
        <v>9.8250620489211582E-4</v>
      </c>
      <c r="CF21">
        <f>0.962*(0.93*(0.9442 - 0.0007*$B21 - dis_BMI*($C21-21.75)))*BB21</f>
        <v>6.7727407458271771E-3</v>
      </c>
      <c r="CG21">
        <f>0.962*(0.93*0.943*(0.9442 - 0.0007*$B21 - dis_BMI*($C21-21.75)))*BC21</f>
        <v>4.4524595886092547E-5</v>
      </c>
      <c r="CH21">
        <f>0.962*(0.93*0.943*(0.9442 - 0.0007*$B21 - dis_BMI*($C21-21.75))-0.19*0.5)*BD21</f>
        <v>6.0434573056298267E-5</v>
      </c>
      <c r="CI21">
        <f>0.962*(0.93*0.943*(0.9442 - 0.0007*$B21 - dis_BMI*($C21-21.75)))*BE21</f>
        <v>2.3836756272544707E-4</v>
      </c>
      <c r="CJ21">
        <f t="shared" si="17"/>
        <v>0</v>
      </c>
      <c r="CK21">
        <f t="shared" si="18"/>
        <v>0.72257133709119936</v>
      </c>
      <c r="CL21">
        <f>CK21/(1+r_)^A21</f>
        <v>0.42443450702545782</v>
      </c>
      <c r="CM21">
        <f t="shared" si="19"/>
        <v>0</v>
      </c>
      <c r="CN21">
        <f>AE21*c_Other</f>
        <v>396.1871566173088</v>
      </c>
      <c r="CO21">
        <f>AF21*(c_Stroke1+c_Stroke2)</f>
        <v>47.422439117380975</v>
      </c>
      <c r="CP21">
        <f>AG21*c_Stroke2</f>
        <v>52.632453529890192</v>
      </c>
      <c r="CQ21">
        <f>AH21*(c_MI1+c_MI2)</f>
        <v>32.174789896490402</v>
      </c>
      <c r="CR21">
        <f>AI21*c_MI2</f>
        <v>17.949702418618998</v>
      </c>
      <c r="CS21">
        <f>AJ21*(c_Stroke1+c_Stroke2+c_MI2)</f>
        <v>1.1447878868169485</v>
      </c>
      <c r="CT21">
        <f>AK21*(c_Stroke2+c_MI1+c_MI2)</f>
        <v>1.2382611646665604</v>
      </c>
      <c r="CU21">
        <f>AL21*(c_Stroke2+c_MI2)</f>
        <v>1.3822338631103379</v>
      </c>
      <c r="CV21">
        <f>AM21*(c_HF1)</f>
        <v>12.010453448325087</v>
      </c>
      <c r="CW21">
        <f>AN21*(c_HF2)</f>
        <v>53.126753070489556</v>
      </c>
      <c r="CX21">
        <f>AO21*(c_Stroke2+c_HF1)</f>
        <v>0.45861014013162971</v>
      </c>
      <c r="CY21">
        <f>AP21*(c_Stroke1+c_Stroke2+c_HF2)</f>
        <v>0.86087832540626852</v>
      </c>
      <c r="CZ21">
        <f>AQ21*(c_Stroke2+c_HF2)</f>
        <v>1.7992208502097662</v>
      </c>
      <c r="DA21">
        <f>AR21*c_DM</f>
        <v>5034.2324643033044</v>
      </c>
      <c r="DB21">
        <f>AS21*(c_Other+c_DM)</f>
        <v>1883.4419687767165</v>
      </c>
      <c r="DC21">
        <f>AT21*(c_Stroke1+c_Stroke2+c_DM)</f>
        <v>206.39839570157466</v>
      </c>
      <c r="DD21">
        <f>AU21*(c_Stroke2+c_DM)</f>
        <v>393.32465059975578</v>
      </c>
      <c r="DE21">
        <f>AV21*(c_MI1+c_MI2+c_DM)</f>
        <v>136.27363082141432</v>
      </c>
      <c r="DF21">
        <f>AW21*(c_MI2+c_DM)</f>
        <v>231.0329719704383</v>
      </c>
      <c r="DG21">
        <f>AX21*(c_Stroke1+c_Stroke2+c_MI2+c_DM)</f>
        <v>7.595420014312813</v>
      </c>
      <c r="DH21">
        <f>AY21*(c_Stroke2+c_MI1+c_MI2+c_DM)</f>
        <v>7.7348045688820326</v>
      </c>
      <c r="DI21">
        <f>AZ21*(c_Stroke2+c_MI2+c_DM)</f>
        <v>13.02090914572651</v>
      </c>
      <c r="DJ21">
        <f>BA21*(c_HF1+c_DM)</f>
        <v>49.890282236424603</v>
      </c>
      <c r="DK21">
        <f>BB21*(c_HF2+c_DM)</f>
        <v>241.73433516216164</v>
      </c>
      <c r="DL21">
        <f>BC21*(c_Stroke2+c_HF1+c_DM)</f>
        <v>2.802813102224158</v>
      </c>
      <c r="DM21">
        <f>BD21*(c_Stroke1+c_Stroke2+c_HF2+c_DM)</f>
        <v>4.9343272970762166</v>
      </c>
      <c r="DN21">
        <f>BE21*(c_Stroke2+c_HF2+c_DM)</f>
        <v>11.191720610777061</v>
      </c>
      <c r="DO21">
        <f t="shared" si="20"/>
        <v>0</v>
      </c>
      <c r="DP21">
        <f t="shared" si="21"/>
        <v>8841.9964346396355</v>
      </c>
      <c r="DQ21">
        <f>DP21/(1+r_)^A21</f>
        <v>5193.7410262697194</v>
      </c>
    </row>
    <row r="22" spans="1:121" x14ac:dyDescent="0.3">
      <c r="A22">
        <v>19</v>
      </c>
      <c r="B22">
        <v>64</v>
      </c>
      <c r="C22">
        <f t="shared" si="0"/>
        <v>38</v>
      </c>
      <c r="D22">
        <f t="shared" si="1"/>
        <v>125</v>
      </c>
      <c r="E22">
        <f t="shared" si="2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22"/>
        <v>5.6857293942168513E-2</v>
      </c>
      <c r="J22">
        <f t="shared" si="23"/>
        <v>0.19852524814975803</v>
      </c>
      <c r="K22">
        <f t="shared" si="24"/>
        <v>0.26650263735212254</v>
      </c>
      <c r="L22">
        <f t="shared" si="25"/>
        <v>9.9462994216178546E-2</v>
      </c>
      <c r="M22">
        <f t="shared" si="26"/>
        <v>0.13646522362411928</v>
      </c>
      <c r="N22">
        <f t="shared" si="27"/>
        <v>0.43074537261737778</v>
      </c>
      <c r="O22">
        <f t="shared" si="28"/>
        <v>0.54892278167769382</v>
      </c>
      <c r="P22">
        <f t="shared" si="29"/>
        <v>0.24205493656968358</v>
      </c>
      <c r="Q22">
        <f t="shared" si="30"/>
        <v>0.3240268528839334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1.6209003816558612E-2</v>
      </c>
      <c r="U22">
        <f t="shared" si="31"/>
        <v>0.38221882025103582</v>
      </c>
      <c r="V22">
        <f t="shared" si="32"/>
        <v>0.49059199901712325</v>
      </c>
      <c r="W22">
        <f t="shared" si="33"/>
        <v>0.20387479050532364</v>
      </c>
      <c r="X22">
        <f t="shared" si="34"/>
        <v>0.27335001302590789</v>
      </c>
      <c r="Y22">
        <f t="shared" si="35"/>
        <v>0.61663121815541189</v>
      </c>
      <c r="Z22">
        <f t="shared" si="36"/>
        <v>0.74197898861652956</v>
      </c>
      <c r="AA22">
        <f t="shared" si="37"/>
        <v>0.37599911316483481</v>
      </c>
      <c r="AB22">
        <f t="shared" si="38"/>
        <v>0.4864308045377197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2.918375517545984E-2</v>
      </c>
      <c r="AD22">
        <f t="shared" si="40"/>
        <v>0.24228594169315595</v>
      </c>
      <c r="AE22">
        <f t="shared" si="41"/>
        <v>2.7634615691479354E-2</v>
      </c>
      <c r="AF22">
        <f t="shared" si="42"/>
        <v>1.9562868613818797E-3</v>
      </c>
      <c r="AG22">
        <f t="shared" si="43"/>
        <v>8.0525622229168543E-3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1.0734352170188096E-3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5.6699096853793911E-3</v>
      </c>
      <c r="AJ22">
        <f t="shared" si="44"/>
        <v>4.4347775040164399E-5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3.6295332074941015E-5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1.5152695161278523E-4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4.3488357606907829E-4</v>
      </c>
      <c r="AN22">
        <f t="shared" si="45"/>
        <v>3.553093336744138E-3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1.438085807284327E-5</v>
      </c>
      <c r="AP22">
        <f>AM21*T21*p_Stroke*p_Stroke_rec*(1-I21) + AN21*T21*p_Stroke*p_Stroke_rec*(1-I21) + AO21*(p_recur_Stroke*p_Stroke_rec)*(1-I21) + AP21*(p_recur_Stroke*p_Stroke_rec)*(1-I21) + AQ21*(p_recur_Stroke*p_Stroke_rec)*(1-I21)</f>
        <v>2.4141764600557759E-5</v>
      </c>
      <c r="AQ22">
        <f>AO21*(1-p_recur_Stroke-H21*rr_Stroke*rr_HF)*(1-I21) + AP21*(1-p_recur_Stroke-H21*rr_Stroke*rr_HF)*(1-I21) + AQ21*(1-p_recur_Stroke-H21*rr_Stroke*rr_HF)*(1-I21)</f>
        <v>9.0958553225158479E-5</v>
      </c>
      <c r="AR22">
        <f>AR21*(1-AC21-H21*rr_DM) + AD21*(1-T21-H21)*I21</f>
        <v>0.43792655537489195</v>
      </c>
      <c r="AS22">
        <f>AR21*AC21*p_Other + AD21*T21*p_Other*I21 + AE21*(1-T21*p_Stroke-T21*p_MI-H21*rr_Other)*I21 + AS21*(1-AC21*p_Stroke-AC21*p_MI-H21*rr_Other*rr_DM)</f>
        <v>7.9290897544245786E-2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6.2505368368620581E-3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2.3809344102689017E-2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3.5471325914130337E-3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1.7102057572460645E-2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2.2571846472618627E-4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1.8721218553229981E-4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7.1546191269779161E-4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1.382770766200437E-3</v>
      </c>
      <c r="BB22">
        <f>AM21*(1-T21*p_Stroke - H21*rr_HF)*I21 + AN21*(1-T21*p_Stroke - H21*rr_HF)*I21 + BA21*(1-AC21*p_Stroke - H21*rr_HF*rr_DM) + BB21*(1-AC21*p_Stroke - H21*rr_HF*rr_DM)</f>
        <v>1.0181178741455915E-2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7.165782880679317E-5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1.1694829449898228E-4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4.0824086124840585E-4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0.1277619074034983</v>
      </c>
      <c r="BG22">
        <f t="shared" si="16"/>
        <v>0.99999999999999933</v>
      </c>
      <c r="BH22">
        <f>(0.9442 - 0.0007*$B22 - dis_BMI*($C22-21.75))*AD22</f>
        <v>0.204919392335529</v>
      </c>
      <c r="BI22">
        <f>0.959*(0.9442 - 0.0007*$B22 - dis_BMI*($C22-21.75))*AE22</f>
        <v>2.2414387735916055E-2</v>
      </c>
      <c r="BJ22">
        <f>(0.943*(0.9442 - 0.0007*$B22 - dis_BMI*($C22-21.75)) - 0.19*0.5)*AF22</f>
        <v>1.3744202927034211E-3</v>
      </c>
      <c r="BK22">
        <f>(0.943*(0.9442 - 0.0007*$B22 - dis_BMI*($C22-21.75)))*AG22</f>
        <v>6.4224484326845157E-3</v>
      </c>
      <c r="BL22">
        <f>(0.955*(0.9442 - 0.0007*$B22 - dis_BMI*($C22-21.75)) - 0.15*0.5)*AH22</f>
        <v>7.8652221921733916E-4</v>
      </c>
      <c r="BM22">
        <f>(0.955*(0.9442 - 0.0007*$B22 - dis_BMI*($C22-21.75)))*AI22</f>
        <v>4.5796718102649259E-3</v>
      </c>
      <c r="BN22">
        <f>(0.955*0.943*(0.9442 - 0.0007*$B22 - dis_BMI*($C22-21.75)) - 0.19*0.5)*AJ22</f>
        <v>2.9565569017600473E-5</v>
      </c>
      <c r="BO22">
        <f>(0.955*0.943*(0.9442 - 0.0007*$B22 - dis_BMI*($C22-21.75)) - 0.15*0.5)*AK22</f>
        <v>2.4923110323228751E-5</v>
      </c>
      <c r="BP22">
        <f>(0.955*0.943*(0.9442 - 0.0007*$B22 - dis_BMI*($C22-21.75)))*AL22</f>
        <v>1.1541434585501077E-4</v>
      </c>
      <c r="BQ22">
        <f>(0.93*(0.9442 - 0.0007*$B22 - dis_BMI*($C22-21.75)))*AM22</f>
        <v>3.4206670059133703E-4</v>
      </c>
      <c r="BR22">
        <f>(0.93*(0.9442 - 0.0007*$B22 - dis_BMI*($C22-21.75)))*AN22</f>
        <v>2.7947592907028394E-3</v>
      </c>
      <c r="BS22">
        <f>(0.93*0.943*(0.9442 - 0.0007*$B22 - dis_BMI*($C22-21.75)))*AO22</f>
        <v>1.0666803267759892E-5</v>
      </c>
      <c r="BT22">
        <f>(0.93*0.943*(0.9442 - 0.0007*$B22 - dis_BMI*($C22-21.75))-0.19*0.5)*AP22</f>
        <v>1.5613353515504685E-5</v>
      </c>
      <c r="BU22">
        <f>(0.93*0.943*(0.9442 - 0.0007*$B22 - dis_BMI*($C22-21.75)))*AQ22</f>
        <v>6.7467253195761838E-5</v>
      </c>
      <c r="BV22">
        <f>0.962*(0.9442 - 0.0007*$B22 - dis_BMI*($C22-21.75))*AR22</f>
        <v>0.35631261374205564</v>
      </c>
      <c r="BW22">
        <f>0.962*0.959*(0.9442 - 0.0007*$B22 - dis_BMI*($C22-21.75))*AS22</f>
        <v>6.186882341903642E-2</v>
      </c>
      <c r="BX22">
        <f>0.962*(0.943*(0.9442 - 0.0007*$B22 - dis_BMI*($C22-21.75)) - 0.19*0.5)*AT22</f>
        <v>4.2245398538425334E-3</v>
      </c>
      <c r="BY22">
        <f>0.962*(0.943*(0.9442 - 0.0007*$B22 - dis_BMI*($C22-21.75)))*AU22</f>
        <v>1.8267917443435189E-2</v>
      </c>
      <c r="BZ22">
        <f>0.962*(0.955*(0.9442 - 0.0007*$B22 - dis_BMI*($C22-21.75)) - 0.15*0.5)*AV22</f>
        <v>2.5002742675046415E-3</v>
      </c>
      <c r="CA22">
        <f>0.962*(0.955*(0.9442 - 0.0007*$B22 - dis_BMI*($C22-21.75)))*AW22</f>
        <v>1.3288674128241151E-2</v>
      </c>
      <c r="CB22">
        <f>0.962*(0.955*0.943*(0.9442 - 0.0007*$B22 - dis_BMI*($C22-21.75)) - 0.19*0.5)*AX22</f>
        <v>1.4476266368251923E-4</v>
      </c>
      <c r="CC22">
        <f>0.962*(0.955*0.943*(0.9442 - 0.0007*$B22 - dis_BMI*($C22-21.75)) - 0.15*0.5)*AY22</f>
        <v>1.2366894360848327E-4</v>
      </c>
      <c r="CD22">
        <f>0.962*(0.955*0.943*(0.9442 - 0.0007*$B22 - dis_BMI*($C22-21.75)))*AZ22</f>
        <v>5.2424162292219337E-4</v>
      </c>
      <c r="CE22">
        <f>0.962*(0.93*(0.9442 - 0.0007*$B22 - dis_BMI*($C22-21.75)))*BA22</f>
        <v>1.0463164511797152E-3</v>
      </c>
      <c r="CF22">
        <f>0.962*(0.93*(0.9442 - 0.0007*$B22 - dis_BMI*($C22-21.75)))*BB22</f>
        <v>7.7039051374060957E-3</v>
      </c>
      <c r="CG22">
        <f>0.962*(0.93*0.943*(0.9442 - 0.0007*$B22 - dis_BMI*($C22-21.75)))*BC22</f>
        <v>5.1131461014229893E-5</v>
      </c>
      <c r="CH22">
        <f>0.962*(0.93*0.943*(0.9442 - 0.0007*$B22 - dis_BMI*($C22-21.75))-0.19*0.5)*BD22</f>
        <v>7.2760579089382581E-5</v>
      </c>
      <c r="CI22">
        <f>0.962*(0.93*0.943*(0.9442 - 0.0007*$B22 - dis_BMI*($C22-21.75)))*BE22</f>
        <v>2.9130036492760222E-4</v>
      </c>
      <c r="CJ22">
        <f t="shared" si="17"/>
        <v>0</v>
      </c>
      <c r="CK22">
        <f t="shared" si="18"/>
        <v>0.71031824933073007</v>
      </c>
      <c r="CL22">
        <f>CK22/(1+r_)^A22</f>
        <v>0.40508457218282434</v>
      </c>
      <c r="CM22">
        <f t="shared" si="19"/>
        <v>0</v>
      </c>
      <c r="CN22">
        <f>AE22*c_Other</f>
        <v>394.59467745863373</v>
      </c>
      <c r="CO22">
        <f>AF22*(c_Stroke1+c_Stroke2)</f>
        <v>46.590927890670848</v>
      </c>
      <c r="CP22">
        <f>AG22*c_Stroke2</f>
        <v>52.341654448959552</v>
      </c>
      <c r="CQ22">
        <f>AH22*(c_MI1+c_MI2)</f>
        <v>31.291710011315317</v>
      </c>
      <c r="CR22">
        <f>AI22*c_MI2</f>
        <v>17.673108489327561</v>
      </c>
      <c r="CS22">
        <f>AJ22*(c_Stroke1+c_Stroke2+c_MI2)</f>
        <v>1.1944186251567477</v>
      </c>
      <c r="CT22">
        <f>AK22*(c_Stroke2+c_MI1+c_MI2)</f>
        <v>1.2939648838037221</v>
      </c>
      <c r="CU22">
        <f>AL22*(c_Stroke2+c_MI2)</f>
        <v>1.4572346936601557</v>
      </c>
      <c r="CV22">
        <f>AM22*(c_HF1)</f>
        <v>11.754903061147186</v>
      </c>
      <c r="CW22">
        <f>AN22*(c_HF2)</f>
        <v>55.446021519892277</v>
      </c>
      <c r="CX22">
        <f>AO22*(c_Stroke2+c_HF1)</f>
        <v>0.48219017118243485</v>
      </c>
      <c r="CY22">
        <f>AP22*(c_Stroke1+c_Stroke2+c_HF2)</f>
        <v>0.95169250231858737</v>
      </c>
      <c r="CZ22">
        <f>AQ22*(c_Stroke2+c_HF2)</f>
        <v>2.010638819042128</v>
      </c>
      <c r="DA22">
        <f>AR22*c_DM</f>
        <v>5003.3108951581407</v>
      </c>
      <c r="DB22">
        <f>AS22*(c_Other+c_DM)</f>
        <v>2038.0932304772937</v>
      </c>
      <c r="DC22">
        <f>AT22*(c_Stroke1+c_Stroke2+c_DM)</f>
        <v>220.27516866785578</v>
      </c>
      <c r="DD22">
        <f>AU22*(c_Stroke2+c_DM)</f>
        <v>426.78249304070061</v>
      </c>
      <c r="DE22">
        <f>AV22*(c_MI1+c_MI2+c_DM)</f>
        <v>143.92845202917525</v>
      </c>
      <c r="DF22">
        <f>AW22*(c_MI2+c_DM)</f>
        <v>248.69812121872269</v>
      </c>
      <c r="DG22">
        <f>AX22*(c_Stroke1+c_Stroke2+c_MI2+c_DM)</f>
        <v>8.6581088699670534</v>
      </c>
      <c r="DH22">
        <f>AY22*(c_Stroke2+c_MI1+c_MI2+c_DM)</f>
        <v>8.813200846118546</v>
      </c>
      <c r="DI22">
        <f>AZ22*(c_Stroke2+c_MI2+c_DM)</f>
        <v>15.054749566986931</v>
      </c>
      <c r="DJ22">
        <f>BA22*(c_HF1+c_DM)</f>
        <v>53.174449814237803</v>
      </c>
      <c r="DK22">
        <f>BB22*(c_HF2+c_DM)</f>
        <v>275.1972613815534</v>
      </c>
      <c r="DL22">
        <f>BC22*(c_Stroke2+c_HF1+c_DM)</f>
        <v>3.2213776940093868</v>
      </c>
      <c r="DM22">
        <f>BD22*(c_Stroke1+c_Stroke2+c_HF2+c_DM)</f>
        <v>5.9463529820952532</v>
      </c>
      <c r="DN22">
        <f>BE22*(c_Stroke2+c_HF2+c_DM)</f>
        <v>13.688316077659048</v>
      </c>
      <c r="DO22">
        <f t="shared" si="20"/>
        <v>0</v>
      </c>
      <c r="DP22">
        <f t="shared" si="21"/>
        <v>9081.9253203996286</v>
      </c>
      <c r="DQ22">
        <f>DP22/(1+r_)^A22</f>
        <v>5179.2951067733229</v>
      </c>
    </row>
    <row r="23" spans="1:121" x14ac:dyDescent="0.3">
      <c r="A23">
        <v>20</v>
      </c>
      <c r="B23">
        <v>65</v>
      </c>
      <c r="C23">
        <f t="shared" si="0"/>
        <v>38</v>
      </c>
      <c r="D23">
        <f t="shared" si="1"/>
        <v>125</v>
      </c>
      <c r="E23">
        <f t="shared" si="2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2"/>
        <v>5.6857293942168513E-2</v>
      </c>
      <c r="J23">
        <f t="shared" si="23"/>
        <v>0.20613179673728965</v>
      </c>
      <c r="K23">
        <f t="shared" si="24"/>
        <v>0.27623344917106485</v>
      </c>
      <c r="L23">
        <f t="shared" si="25"/>
        <v>0.10351916023209251</v>
      </c>
      <c r="M23">
        <f t="shared" si="26"/>
        <v>0.14190752007968155</v>
      </c>
      <c r="N23">
        <f t="shared" si="27"/>
        <v>0.44638619386734046</v>
      </c>
      <c r="O23">
        <f t="shared" si="28"/>
        <v>0.56633516095568992</v>
      </c>
      <c r="P23">
        <f t="shared" si="29"/>
        <v>0.25237119249524065</v>
      </c>
      <c r="Q23">
        <f t="shared" si="30"/>
        <v>0.33699049321146501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1.6846676606070518E-2</v>
      </c>
      <c r="U23">
        <f t="shared" si="31"/>
        <v>0.39490769860290664</v>
      </c>
      <c r="V23">
        <f t="shared" si="32"/>
        <v>0.50518475880173264</v>
      </c>
      <c r="W23">
        <f t="shared" si="33"/>
        <v>0.21165809862351648</v>
      </c>
      <c r="X23">
        <f t="shared" si="34"/>
        <v>0.28327970638974265</v>
      </c>
      <c r="Y23">
        <f t="shared" si="35"/>
        <v>0.63438220166633008</v>
      </c>
      <c r="Z23">
        <f t="shared" si="36"/>
        <v>0.75869714695595181</v>
      </c>
      <c r="AA23">
        <f t="shared" si="37"/>
        <v>0.39038242713377103</v>
      </c>
      <c r="AB23">
        <f t="shared" si="38"/>
        <v>0.50307757393780883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3.0204049613351689E-2</v>
      </c>
      <c r="AD23">
        <f t="shared" si="40"/>
        <v>0.22247229230773072</v>
      </c>
      <c r="AE23">
        <f t="shared" si="41"/>
        <v>2.7404634479744432E-2</v>
      </c>
      <c r="AF23">
        <f t="shared" si="42"/>
        <v>1.9152939076058225E-3</v>
      </c>
      <c r="AG23">
        <f t="shared" si="43"/>
        <v>7.9715503550522766E-3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1.0414781169823097E-3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5.5651595131102393E-3</v>
      </c>
      <c r="AJ23">
        <f t="shared" si="44"/>
        <v>4.5987703248081681E-5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3.7675183069018096E-5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1.5861880721510023E-4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4.244297410643119E-4</v>
      </c>
      <c r="AN23">
        <f t="shared" si="45"/>
        <v>3.6772898655145999E-3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1.5009545641650709E-5</v>
      </c>
      <c r="AP23">
        <f>AM22*T22*p_Stroke*p_Stroke_rec*(1-I22) + AN22*T22*p_Stroke*p_Stroke_rec*(1-I22) + AO22*(p_recur_Stroke*p_Stroke_rec)*(1-I22) + AP22*(p_recur_Stroke*p_Stroke_rec)*(1-I22) + AQ22*(p_recur_Stroke*p_Stroke_rec)*(1-I22)</f>
        <v>2.6382328670948384E-5</v>
      </c>
      <c r="AQ23">
        <f>AO22*(1-p_recur_Stroke-H22*rr_Stroke*rr_HF)*(1-I22) + AP22*(1-p_recur_Stroke-H22*rr_Stroke*rr_HF)*(1-I22) + AQ22*(1-p_recur_Stroke-H22*rr_Stroke*rr_HF)*(1-I22)</f>
        <v>1.0035940338370856E-4</v>
      </c>
      <c r="AR23">
        <f>AR22*(1-AC22-H22*rr_DM) + AD22*(1-T22-H22)*I22</f>
        <v>0.43341401190927809</v>
      </c>
      <c r="AS23">
        <f>AR22*AC22*p_Other + AD22*T22*p_Other*I22 + AE22*(1-T22*p_Stroke-T22*p_MI-H22*rr_Other)*I22 + AS22*(1-AC22*p_Stroke-AC22*p_MI-H22*rr_Other*rr_DM)</f>
        <v>8.5161287322997131E-2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6.6280381536977153E-3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2.5635102022646634E-2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3.7261560009266481E-3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1.8292627756255779E-2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2.5486148913797063E-4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2.1116797441595022E-4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8.1840634159877676E-4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1.4651335793473678E-3</v>
      </c>
      <c r="BB23">
        <f>AM22*(1-T22*p_Stroke - H22*rr_HF)*I22 + AN22*(1-T22*p_Stroke - H22*rr_HF)*I22 + BA22*(1-AC22*p_Stroke - H22*rr_HF*rr_DM) + BB22*(1-AC22*p_Stroke - H22*rr_HF*rr_DM)</f>
        <v>1.1460801419598758E-2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8.1470533810541008E-5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1.3889302011142442E-4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4.9133878346140081E-4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0.14136454243468208</v>
      </c>
      <c r="BG23">
        <f t="shared" si="16"/>
        <v>0.99999999999999956</v>
      </c>
      <c r="BH23">
        <f>(0.9442 - 0.0007*$B23 - dis_BMI*($C23-21.75))*AD23</f>
        <v>0.18800577242195554</v>
      </c>
      <c r="BI23">
        <f>0.959*(0.9442 - 0.0007*$B23 - dis_BMI*($C23-21.75))*AE23</f>
        <v>2.2209453652168254E-2</v>
      </c>
      <c r="BJ23">
        <f>(0.943*(0.9442 - 0.0007*$B23 - dis_BMI*($C23-21.75)) - 0.19*0.5)*AF23</f>
        <v>1.3443557588061479E-3</v>
      </c>
      <c r="BK23">
        <f>(0.943*(0.9442 - 0.0007*$B23 - dis_BMI*($C23-21.75)))*AG23</f>
        <v>6.3525741150669418E-3</v>
      </c>
      <c r="BL23">
        <f>(0.955*(0.9442 - 0.0007*$B23 - dis_BMI*($C23-21.75)) - 0.15*0.5)*AH23</f>
        <v>7.6241054054825507E-4</v>
      </c>
      <c r="BM23">
        <f>(0.955*(0.9442 - 0.0007*$B23 - dis_BMI*($C23-21.75)))*AI23</f>
        <v>4.4913432026422615E-3</v>
      </c>
      <c r="BN23">
        <f>(0.955*0.943*(0.9442 - 0.0007*$B23 - dis_BMI*($C23-21.75)) - 0.19*0.5)*AJ23</f>
        <v>3.062987830951974E-5</v>
      </c>
      <c r="BO23">
        <f>(0.955*0.943*(0.9442 - 0.0007*$B23 - dis_BMI*($C23-21.75)) - 0.15*0.5)*AK23</f>
        <v>2.5846869739431672E-5</v>
      </c>
      <c r="BP23">
        <f>(0.955*0.943*(0.9442 - 0.0007*$B23 - dis_BMI*($C23-21.75)))*AL23</f>
        <v>1.2071604496207736E-4</v>
      </c>
      <c r="BQ23">
        <f>(0.93*(0.9442 - 0.0007*$B23 - dis_BMI*($C23-21.75)))*AM23</f>
        <v>3.3356771598982873E-4</v>
      </c>
      <c r="BR23">
        <f>(0.93*(0.9442 - 0.0007*$B23 - dis_BMI*($C23-21.75)))*AN23</f>
        <v>2.890054731782768E-3</v>
      </c>
      <c r="BS23">
        <f>(0.93*0.943*(0.9442 - 0.0007*$B23 - dis_BMI*($C23-21.75)))*AO23</f>
        <v>1.1123909351876631E-5</v>
      </c>
      <c r="BT23">
        <f>(0.93*0.943*(0.9442 - 0.0007*$B23 - dis_BMI*($C23-21.75))-0.19*0.5)*AP23</f>
        <v>1.7046211520000583E-5</v>
      </c>
      <c r="BU23">
        <f>(0.93*0.943*(0.9442 - 0.0007*$B23 - dis_BMI*($C23-21.75)))*AQ23</f>
        <v>7.4378594296077409E-5</v>
      </c>
      <c r="BV23">
        <f>0.962*(0.9442 - 0.0007*$B23 - dis_BMI*($C23-21.75))*AR23</f>
        <v>0.35234918696189227</v>
      </c>
      <c r="BW23">
        <f>0.962*0.959*(0.9442 - 0.0007*$B23 - dis_BMI*($C23-21.75))*AS23</f>
        <v>6.6394354206077755E-2</v>
      </c>
      <c r="BX23">
        <f>0.962*(0.943*(0.9442 - 0.0007*$B23 - dis_BMI*($C23-21.75)) - 0.19*0.5)*AT23</f>
        <v>4.4754721244260999E-3</v>
      </c>
      <c r="BY23">
        <f>0.962*(0.943*(0.9442 - 0.0007*$B23 - dis_BMI*($C23-21.75)))*AU23</f>
        <v>1.9652466699419547E-2</v>
      </c>
      <c r="BZ23">
        <f>0.962*(0.955*(0.9442 - 0.0007*$B23 - dis_BMI*($C23-21.75)) - 0.15*0.5)*AV23</f>
        <v>2.6240665675631796E-3</v>
      </c>
      <c r="CA23">
        <f>0.962*(0.955*(0.9442 - 0.0007*$B23 - dis_BMI*($C23-21.75)))*AW23</f>
        <v>1.4202009360330982E-2</v>
      </c>
      <c r="CB23">
        <f>0.962*(0.955*0.943*(0.9442 - 0.0007*$B23 - dis_BMI*($C23-21.75)) - 0.19*0.5)*AX23</f>
        <v>1.6329874215375789E-4</v>
      </c>
      <c r="CC23">
        <f>0.962*(0.955*0.943*(0.9442 - 0.0007*$B23 - dis_BMI*($C23-21.75)) - 0.15*0.5)*AY23</f>
        <v>1.3936563852631965E-4</v>
      </c>
      <c r="CD23">
        <f>0.962*(0.955*0.943*(0.9442 - 0.0007*$B23 - dis_BMI*($C23-21.75)))*AZ23</f>
        <v>5.991759544949557E-4</v>
      </c>
      <c r="CE23">
        <f>0.962*(0.93*(0.9442 - 0.0007*$B23 - dis_BMI*($C23-21.75)))*BA23</f>
        <v>1.1077212745741914E-3</v>
      </c>
      <c r="CF23">
        <f>0.962*(0.93*(0.9442 - 0.0007*$B23 - dis_BMI*($C23-21.75)))*BB23</f>
        <v>8.6649939194040539E-3</v>
      </c>
      <c r="CG23">
        <f>0.962*(0.93*0.943*(0.9442 - 0.0007*$B23 - dis_BMI*($C23-21.75)))*BC23</f>
        <v>5.8085205383285219E-5</v>
      </c>
      <c r="CH23">
        <f>0.962*(0.93*0.943*(0.9442 - 0.0007*$B23 - dis_BMI*($C23-21.75))-0.19*0.5)*BD23</f>
        <v>8.6331689499388707E-5</v>
      </c>
      <c r="CI23">
        <f>0.962*(0.93*0.943*(0.9442 - 0.0007*$B23 - dis_BMI*($C23-21.75)))*BE23</f>
        <v>3.5030473982774373E-4</v>
      </c>
      <c r="CJ23">
        <f t="shared" si="17"/>
        <v>0</v>
      </c>
      <c r="CK23">
        <f t="shared" si="18"/>
        <v>0.69753610673071254</v>
      </c>
      <c r="CL23">
        <f>CK23/(1+r_)^A23</f>
        <v>0.38620882996632711</v>
      </c>
      <c r="CM23">
        <f t="shared" si="19"/>
        <v>0</v>
      </c>
      <c r="CN23">
        <f>AE23*c_Other</f>
        <v>391.31077573627073</v>
      </c>
      <c r="CO23">
        <f>AF23*(c_Stroke1+c_Stroke2)</f>
        <v>45.61463970354027</v>
      </c>
      <c r="CP23">
        <f>AG23*c_Stroke2</f>
        <v>51.8150773078398</v>
      </c>
      <c r="CQ23">
        <f>AH23*(c_MI1+c_MI2)</f>
        <v>30.360128588151309</v>
      </c>
      <c r="CR23">
        <f>AI23*c_MI2</f>
        <v>17.346602202364615</v>
      </c>
      <c r="CS23">
        <f>AJ23*(c_Stroke1+c_Stroke2+c_MI2)</f>
        <v>1.2385868115805838</v>
      </c>
      <c r="CT23">
        <f>AK23*(c_Stroke2+c_MI1+c_MI2)</f>
        <v>1.3431579515935641</v>
      </c>
      <c r="CU23">
        <f>AL23*(c_Stroke2+c_MI2)</f>
        <v>1.5254370689876189</v>
      </c>
      <c r="CV23">
        <f>AM23*(c_HF1)</f>
        <v>11.47233590096835</v>
      </c>
      <c r="CW23">
        <f>AN23*(c_HF2)</f>
        <v>57.38410835135533</v>
      </c>
      <c r="CX23">
        <f>AO23*(c_Stroke2+c_HF1)</f>
        <v>0.50327006536454832</v>
      </c>
      <c r="CY23">
        <f>AP23*(c_Stroke1+c_Stroke2+c_HF2)</f>
        <v>1.0400177785374563</v>
      </c>
      <c r="CZ23">
        <f>AQ23*(c_Stroke2+c_HF2)</f>
        <v>2.2184446117968779</v>
      </c>
      <c r="DA23">
        <f>AR23*c_DM</f>
        <v>4951.7550860635019</v>
      </c>
      <c r="DB23">
        <f>AS23*(c_Other+c_DM)</f>
        <v>2188.9857293503183</v>
      </c>
      <c r="DC23">
        <f>AT23*(c_Stroke1+c_Stroke2+c_DM)</f>
        <v>233.57869257446117</v>
      </c>
      <c r="DD23">
        <f>AU23*(c_Stroke2+c_DM)</f>
        <v>459.50920375594092</v>
      </c>
      <c r="DE23">
        <f>AV23*(c_MI1+c_MI2+c_DM)</f>
        <v>151.19250589359967</v>
      </c>
      <c r="DF23">
        <f>AW23*(c_MI2+c_DM)</f>
        <v>266.01139283147154</v>
      </c>
      <c r="DG23">
        <f>AX23*(c_Stroke1+c_Stroke2+c_MI2+c_DM)</f>
        <v>9.7759770003542776</v>
      </c>
      <c r="DH23">
        <f>AY23*(c_Stroke2+c_MI1+c_MI2+c_DM)</f>
        <v>9.9409435636052734</v>
      </c>
      <c r="DI23">
        <f>AZ23*(c_Stroke2+c_MI2+c_DM)</f>
        <v>17.220906239921462</v>
      </c>
      <c r="DJ23">
        <f>BA23*(c_HF1+c_DM)</f>
        <v>56.341711793803029</v>
      </c>
      <c r="DK23">
        <f>BB23*(c_HF2+c_DM)</f>
        <v>309.78546237175442</v>
      </c>
      <c r="DL23">
        <f>BC23*(c_Stroke2+c_HF1+c_DM)</f>
        <v>3.6625078474528712</v>
      </c>
      <c r="DM23">
        <f>BD23*(c_Stroke1+c_Stroke2+c_HF2+c_DM)</f>
        <v>7.0621545005854864</v>
      </c>
      <c r="DN23">
        <f>BE23*(c_Stroke2+c_HF2+c_DM)</f>
        <v>16.474589409460769</v>
      </c>
      <c r="DO23">
        <f t="shared" si="20"/>
        <v>0</v>
      </c>
      <c r="DP23">
        <f t="shared" si="21"/>
        <v>9294.4694452745807</v>
      </c>
      <c r="DQ23">
        <f>DP23/(1+r_)^A23</f>
        <v>5146.1223798742494</v>
      </c>
    </row>
    <row r="24" spans="1:121" x14ac:dyDescent="0.3">
      <c r="A24">
        <v>21</v>
      </c>
      <c r="B24">
        <v>66</v>
      </c>
      <c r="C24">
        <f t="shared" si="0"/>
        <v>38</v>
      </c>
      <c r="D24">
        <f t="shared" si="1"/>
        <v>125</v>
      </c>
      <c r="E24">
        <f t="shared" si="2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22"/>
        <v>5.6857293942168513E-2</v>
      </c>
      <c r="J24">
        <f t="shared" si="23"/>
        <v>0.21386732623289251</v>
      </c>
      <c r="K24">
        <f t="shared" si="24"/>
        <v>0.28609103803054747</v>
      </c>
      <c r="L24">
        <f t="shared" si="25"/>
        <v>0.10766514975253938</v>
      </c>
      <c r="M24">
        <f t="shared" si="26"/>
        <v>0.14746015313673289</v>
      </c>
      <c r="N24">
        <f t="shared" si="27"/>
        <v>0.46209267227680184</v>
      </c>
      <c r="O24">
        <f t="shared" si="28"/>
        <v>0.58361734985565961</v>
      </c>
      <c r="P24">
        <f t="shared" si="29"/>
        <v>0.26288088929252929</v>
      </c>
      <c r="Q24">
        <f t="shared" si="30"/>
        <v>0.35012145946127471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1.749494150504045E-2</v>
      </c>
      <c r="U24">
        <f t="shared" si="31"/>
        <v>0.4076658868474915</v>
      </c>
      <c r="V24">
        <f t="shared" si="32"/>
        <v>0.51973417404264943</v>
      </c>
      <c r="W24">
        <f t="shared" si="33"/>
        <v>0.21957107050633728</v>
      </c>
      <c r="X24">
        <f t="shared" si="34"/>
        <v>0.29333464908830365</v>
      </c>
      <c r="Y24">
        <f t="shared" si="35"/>
        <v>0.6518570518616047</v>
      </c>
      <c r="Z24">
        <f t="shared" si="36"/>
        <v>0.77483101558464695</v>
      </c>
      <c r="AA24">
        <f t="shared" si="37"/>
        <v>0.40489292966082036</v>
      </c>
      <c r="AB24">
        <f t="shared" si="38"/>
        <v>0.51970796163352184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3.1232267188788299E-2</v>
      </c>
      <c r="AD24">
        <f t="shared" si="40"/>
        <v>0.20397478782761849</v>
      </c>
      <c r="AE24">
        <f t="shared" si="41"/>
        <v>2.7053222795119937E-2</v>
      </c>
      <c r="AF24">
        <f t="shared" si="42"/>
        <v>1.8695522430657615E-3</v>
      </c>
      <c r="AG24">
        <f t="shared" si="43"/>
        <v>7.8493721426369893E-3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1.0083220126516843E-3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5.4434295007953146E-3</v>
      </c>
      <c r="AJ24">
        <f t="shared" si="44"/>
        <v>4.7439092703871182E-5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3.8886889967789913E-5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1.6460948147729837E-4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4.1319743626898114E-4</v>
      </c>
      <c r="AN24">
        <f t="shared" si="45"/>
        <v>3.7758869211754315E-3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1.556960288482095E-5</v>
      </c>
      <c r="AP24">
        <f>AM23*T23*p_Stroke*p_Stroke_rec*(1-I23) + AN23*T23*p_Stroke*p_Stroke_rec*(1-I23) + AO23*(p_recur_Stroke*p_Stroke_rec)*(1-I23) + AP23*(p_recur_Stroke*p_Stroke_rec)*(1-I23) + AQ23*(p_recur_Stroke*p_Stroke_rec)*(1-I23)</f>
        <v>2.8549848138351279E-5</v>
      </c>
      <c r="AQ24">
        <f>AO23*(1-p_recur_Stroke-H23*rr_Stroke*rr_HF)*(1-I23) + AP23*(1-p_recur_Stroke-H23*rr_Stroke*rr_HF)*(1-I23) + AQ23*(1-p_recur_Stroke-H23*rr_Stroke*rr_HF)*(1-I23)</f>
        <v>1.0925141181358097E-4</v>
      </c>
      <c r="AR24">
        <f>AR23*(1-AC23-H23*rr_DM) + AD23*(1-T23-H23)*I23</f>
        <v>0.42712411348364765</v>
      </c>
      <c r="AS24">
        <f>AR23*AC23*p_Other + AD23*T23*p_Other*I23 + AE23*(1-T23*p_Stroke-T23*p_MI-H23*rr_Other)*I23 + AS23*(1-AC23*p_Stroke-AC23*p_MI-H23*rr_Other*rr_DM)</f>
        <v>9.078297445622982E-2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6.9888629778165085E-3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2.7369914860130191E-2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3.8952905867399822E-3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1.9438673738989033E-2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2.8538751744376374E-4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2.3612531972339089E-4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9.2468943284773814E-4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1.5442586304173517E-3</v>
      </c>
      <c r="BB24">
        <f>AM23*(1-T23*p_Stroke - H23*rr_HF)*I23 + AN23*(1-T23*p_Stroke - H23*rr_HF)*I23 + BA23*(1-AC23*p_Stroke - H23*rr_HF*rr_DM) + BB23*(1-AC23*p_Stroke - H23*rr_HF*rr_DM)</f>
        <v>1.2765471296520578E-2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9.1771897197698215E-5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1.6290500085470915E-4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5.8147636103702042E-4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0.15601600723408574</v>
      </c>
      <c r="BG24">
        <f t="shared" si="16"/>
        <v>0.99999999999999944</v>
      </c>
      <c r="BH24">
        <f>(0.9442 - 0.0007*$B24 - dis_BMI*($C24-21.75))*AD24</f>
        <v>0.17223121147194537</v>
      </c>
      <c r="BI24">
        <f>0.959*(0.9442 - 0.0007*$B24 - dis_BMI*($C24-21.75))*AE24</f>
        <v>2.1906499332726592E-2</v>
      </c>
      <c r="BJ24">
        <f>(0.943*(0.9442 - 0.0007*$B24 - dis_BMI*($C24-21.75)) - 0.19*0.5)*AF24</f>
        <v>1.3110153311588018E-3</v>
      </c>
      <c r="BK24">
        <f>(0.943*(0.9442 - 0.0007*$B24 - dis_BMI*($C24-21.75)))*AG24</f>
        <v>6.2500282275715783E-3</v>
      </c>
      <c r="BL24">
        <f>(0.955*(0.9442 - 0.0007*$B24 - dis_BMI*($C24-21.75)) - 0.15*0.5)*AH24</f>
        <v>7.3746466300941512E-4</v>
      </c>
      <c r="BM24">
        <f>(0.955*(0.9442 - 0.0007*$B24 - dis_BMI*($C24-21.75)))*AI24</f>
        <v>4.3894624744210114E-3</v>
      </c>
      <c r="BN24">
        <f>(0.955*0.943*(0.9442 - 0.0007*$B24 - dis_BMI*($C24-21.75)) - 0.19*0.5)*AJ24</f>
        <v>3.1566663561684877E-5</v>
      </c>
      <c r="BO24">
        <f>(0.955*0.943*(0.9442 - 0.0007*$B24 - dis_BMI*($C24-21.75)) - 0.15*0.5)*AK24</f>
        <v>2.6653641038822956E-5</v>
      </c>
      <c r="BP24">
        <f>(0.955*0.943*(0.9442 - 0.0007*$B24 - dis_BMI*($C24-21.75)))*AL24</f>
        <v>1.2517144838412558E-4</v>
      </c>
      <c r="BQ24">
        <f>(0.93*(0.9442 - 0.0007*$B24 - dis_BMI*($C24-21.75)))*AM24</f>
        <v>3.2447103428214749E-4</v>
      </c>
      <c r="BR24">
        <f>(0.93*(0.9442 - 0.0007*$B24 - dis_BMI*($C24-21.75)))*AN24</f>
        <v>2.9650860027327797E-3</v>
      </c>
      <c r="BS24">
        <f>(0.93*0.943*(0.9442 - 0.0007*$B24 - dis_BMI*($C24-21.75)))*AO24</f>
        <v>1.1529422207424235E-5</v>
      </c>
      <c r="BT24">
        <f>(0.93*0.943*(0.9442 - 0.0007*$B24 - dis_BMI*($C24-21.75))-0.19*0.5)*AP24</f>
        <v>1.8429167684212868E-5</v>
      </c>
      <c r="BU24">
        <f>(0.93*0.943*(0.9442 - 0.0007*$B24 - dis_BMI*($C24-21.75)))*AQ24</f>
        <v>8.0901591573922556E-5</v>
      </c>
      <c r="BV24">
        <f>0.962*(0.9442 - 0.0007*$B24 - dis_BMI*($C24-21.75))*AR24</f>
        <v>0.3469481122364903</v>
      </c>
      <c r="BW24">
        <f>0.962*0.959*(0.9442 - 0.0007*$B24 - dis_BMI*($C24-21.75))*AS24</f>
        <v>7.0718567299797197E-2</v>
      </c>
      <c r="BX24">
        <f>0.962*(0.943*(0.9442 - 0.0007*$B24 - dis_BMI*($C24-21.75)) - 0.19*0.5)*AT24</f>
        <v>4.7146750226154024E-3</v>
      </c>
      <c r="BY24">
        <f>0.962*(0.943*(0.9442 - 0.0007*$B24 - dis_BMI*($C24-21.75)))*AU24</f>
        <v>2.0965034315369106E-2</v>
      </c>
      <c r="BZ24">
        <f>0.962*(0.955*(0.9442 - 0.0007*$B24 - dis_BMI*($C24-21.75)) - 0.15*0.5)*AV24</f>
        <v>2.7406709732849563E-3</v>
      </c>
      <c r="CA24">
        <f>0.962*(0.955*(0.9442 - 0.0007*$B24 - dis_BMI*($C24-21.75)))*AW24</f>
        <v>1.507927427341167E-2</v>
      </c>
      <c r="CB24">
        <f>0.962*(0.955*0.943*(0.9442 - 0.0007*$B24 - dis_BMI*($C24-21.75)) - 0.19*0.5)*AX24</f>
        <v>1.8268477425425531E-4</v>
      </c>
      <c r="CC24">
        <f>0.962*(0.955*0.943*(0.9442 - 0.0007*$B24 - dis_BMI*($C24-21.75)) - 0.15*0.5)*AY24</f>
        <v>1.5569367299982732E-4</v>
      </c>
      <c r="CD24">
        <f>0.962*(0.955*0.943*(0.9442 - 0.0007*$B24 - dis_BMI*($C24-21.75)))*AZ24</f>
        <v>6.7642772106679184E-4</v>
      </c>
      <c r="CE24">
        <f>0.962*(0.93*(0.9442 - 0.0007*$B24 - dis_BMI*($C24-21.75)))*BA24</f>
        <v>1.1665770386979331E-3</v>
      </c>
      <c r="CF24">
        <f>0.962*(0.93*(0.9442 - 0.0007*$B24 - dis_BMI*($C24-21.75)))*BB24</f>
        <v>9.6434013120287702E-3</v>
      </c>
      <c r="CG24">
        <f>0.962*(0.93*0.943*(0.9442 - 0.0007*$B24 - dis_BMI*($C24-21.75)))*BC24</f>
        <v>6.5375464808889027E-5</v>
      </c>
      <c r="CH24">
        <f>0.962*(0.93*0.943*(0.9442 - 0.0007*$B24 - dis_BMI*($C24-21.75))-0.19*0.5)*BD24</f>
        <v>1.011606025858121E-4</v>
      </c>
      <c r="CI24">
        <f>0.962*(0.93*0.943*(0.9442 - 0.0007*$B24 - dis_BMI*($C24-21.75)))*BE24</f>
        <v>4.1422579829950425E-4</v>
      </c>
      <c r="CJ24">
        <f t="shared" si="17"/>
        <v>0</v>
      </c>
      <c r="CK24">
        <f t="shared" si="18"/>
        <v>0.68398137097800837</v>
      </c>
      <c r="CL24">
        <f>CK24/(1+r_)^A24</f>
        <v>0.36767369070451672</v>
      </c>
      <c r="CM24">
        <f t="shared" si="19"/>
        <v>0</v>
      </c>
      <c r="CN24">
        <f>AE24*c_Other</f>
        <v>386.29296829151758</v>
      </c>
      <c r="CO24">
        <f>AF24*(c_Stroke1+c_Stroke2)</f>
        <v>44.525256220854175</v>
      </c>
      <c r="CP24">
        <f>AG24*c_Stroke2</f>
        <v>51.020918927140428</v>
      </c>
      <c r="CQ24">
        <f>AH24*(c_MI1+c_MI2)</f>
        <v>29.393594990809248</v>
      </c>
      <c r="CR24">
        <f>AI24*c_MI2</f>
        <v>16.967169753978997</v>
      </c>
      <c r="CS24">
        <f>AJ24*(c_Stroke1+c_Stroke2+c_MI2)</f>
        <v>1.2776770837933626</v>
      </c>
      <c r="CT24">
        <f>AK24*(c_Stroke2+c_MI1+c_MI2)</f>
        <v>1.3863565142416783</v>
      </c>
      <c r="CU24">
        <f>AL24*(c_Stroke2+c_MI2)</f>
        <v>1.5830493833671784</v>
      </c>
      <c r="CV24">
        <f>AM24*(c_HF1)</f>
        <v>11.168726702350559</v>
      </c>
      <c r="CW24">
        <f>AN24*(c_HF2)</f>
        <v>58.922715404942608</v>
      </c>
      <c r="CX24">
        <f>AO24*(c_Stroke2+c_HF1)</f>
        <v>0.5220487847280465</v>
      </c>
      <c r="CY24">
        <f>AP24*(c_Stroke1+c_Stroke2+c_HF2)</f>
        <v>1.1254635634619456</v>
      </c>
      <c r="CZ24">
        <f>AQ24*(c_Stroke2+c_HF2)</f>
        <v>2.4150024581392073</v>
      </c>
      <c r="DA24">
        <f>AR24*c_DM</f>
        <v>4879.8929965506741</v>
      </c>
      <c r="DB24">
        <f>AS24*(c_Other+c_DM)</f>
        <v>2333.4855754229311</v>
      </c>
      <c r="DC24">
        <f>AT24*(c_Stroke1+c_Stroke2+c_DM)</f>
        <v>246.29452020123156</v>
      </c>
      <c r="DD24">
        <f>AU24*(c_Stroke2+c_DM)</f>
        <v>490.60572386783366</v>
      </c>
      <c r="DE24">
        <f>AV24*(c_MI1+c_MI2+c_DM)</f>
        <v>158.05531084756151</v>
      </c>
      <c r="DF24">
        <f>AW24*(c_MI2+c_DM)</f>
        <v>282.67719351237849</v>
      </c>
      <c r="DG24">
        <f>AX24*(c_Stroke1+c_Stroke2+c_MI2+c_DM)</f>
        <v>10.94689439410789</v>
      </c>
      <c r="DH24">
        <f>AY24*(c_Stroke2+c_MI1+c_MI2+c_DM)</f>
        <v>11.11583555129835</v>
      </c>
      <c r="DI24">
        <f>AZ24*(c_Stroke2+c_MI2+c_DM)</f>
        <v>19.457315045982106</v>
      </c>
      <c r="DJ24">
        <f>BA24*(c_HF1+c_DM)</f>
        <v>59.384465632699261</v>
      </c>
      <c r="DK24">
        <f>BB24*(c_HF2+c_DM)</f>
        <v>345.05068914495121</v>
      </c>
      <c r="DL24">
        <f>BC24*(c_Stroke2+c_HF1+c_DM)</f>
        <v>4.125605638522523</v>
      </c>
      <c r="DM24">
        <f>BD24*(c_Stroke1+c_Stroke2+c_HF2+c_DM)</f>
        <v>8.2830676734585413</v>
      </c>
      <c r="DN24">
        <f>BE24*(c_Stroke2+c_HF2+c_DM)</f>
        <v>19.496902385571296</v>
      </c>
      <c r="DO24">
        <f t="shared" si="20"/>
        <v>0</v>
      </c>
      <c r="DP24">
        <f t="shared" si="21"/>
        <v>9475.4730439485284</v>
      </c>
      <c r="DQ24">
        <f>DP24/(1+r_)^A24</f>
        <v>5093.5336736703775</v>
      </c>
    </row>
    <row r="25" spans="1:121" x14ac:dyDescent="0.3">
      <c r="A25">
        <v>22</v>
      </c>
      <c r="B25">
        <v>67</v>
      </c>
      <c r="C25">
        <f t="shared" si="0"/>
        <v>38</v>
      </c>
      <c r="D25">
        <f t="shared" si="1"/>
        <v>125</v>
      </c>
      <c r="E25">
        <f t="shared" si="2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22"/>
        <v>5.6857293942168513E-2</v>
      </c>
      <c r="J25">
        <f t="shared" si="23"/>
        <v>0.22172884546776117</v>
      </c>
      <c r="K25">
        <f t="shared" si="24"/>
        <v>0.29606945419669006</v>
      </c>
      <c r="L25">
        <f t="shared" si="25"/>
        <v>0.11190073618564633</v>
      </c>
      <c r="M25">
        <f t="shared" si="26"/>
        <v>0.15312212152314586</v>
      </c>
      <c r="N25">
        <f t="shared" si="27"/>
        <v>0.47784268873754021</v>
      </c>
      <c r="O25">
        <f t="shared" si="28"/>
        <v>0.6007394022144712</v>
      </c>
      <c r="P25">
        <f t="shared" si="29"/>
        <v>0.27357749608871329</v>
      </c>
      <c r="Q25">
        <f t="shared" si="30"/>
        <v>0.36340678686646066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1.8153478268199186E-2</v>
      </c>
      <c r="U25">
        <f t="shared" si="31"/>
        <v>0.42048144085334394</v>
      </c>
      <c r="V25">
        <f t="shared" si="32"/>
        <v>0.53422318956159787</v>
      </c>
      <c r="W25">
        <f t="shared" si="33"/>
        <v>0.22761050818458528</v>
      </c>
      <c r="X25">
        <f t="shared" si="34"/>
        <v>0.30350855959291878</v>
      </c>
      <c r="Y25">
        <f t="shared" si="35"/>
        <v>0.66902445452379977</v>
      </c>
      <c r="Z25">
        <f t="shared" si="36"/>
        <v>0.79035865578006415</v>
      </c>
      <c r="AA25">
        <f t="shared" si="37"/>
        <v>0.41951317185930115</v>
      </c>
      <c r="AB25">
        <f t="shared" si="38"/>
        <v>0.53629558068432526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3.2267526513491573E-2</v>
      </c>
      <c r="AD25">
        <f t="shared" si="40"/>
        <v>0.18673818783965493</v>
      </c>
      <c r="AE25">
        <f t="shared" si="41"/>
        <v>2.6592353394755398E-2</v>
      </c>
      <c r="AF25">
        <f t="shared" si="42"/>
        <v>1.8185853915785172E-3</v>
      </c>
      <c r="AG25">
        <f t="shared" si="43"/>
        <v>7.6920267868380984E-3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9.7385754021220229E-4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5.3072919578147082E-3</v>
      </c>
      <c r="AJ25">
        <f t="shared" si="44"/>
        <v>4.8654096391840323E-5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3.9887606119661168E-5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1.6956200025040056E-4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4.0114811636366527E-4</v>
      </c>
      <c r="AN25">
        <f t="shared" si="45"/>
        <v>3.8500275098504099E-3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1.6040993462458033E-5</v>
      </c>
      <c r="AP25">
        <f>AM24*T24*p_Stroke*p_Stroke_rec*(1-I24) + AN24*T24*p_Stroke*p_Stroke_rec*(1-I24) + AO24*(p_recur_Stroke*p_Stroke_rec)*(1-I24) + AP24*(p_recur_Stroke*p_Stroke_rec)*(1-I24) + AQ24*(p_recur_Stroke*p_Stroke_rec)*(1-I24)</f>
        <v>3.0595397284846609E-5</v>
      </c>
      <c r="AQ25">
        <f>AO24*(1-p_recur_Stroke-H24*rr_Stroke*rr_HF)*(1-I24) + AP24*(1-p_recur_Stroke-H24*rr_Stroke*rr_HF)*(1-I24) + AQ24*(1-p_recur_Stroke-H24*rr_Stroke*rr_HF)*(1-I24)</f>
        <v>1.1755430834661463E-4</v>
      </c>
      <c r="AR25">
        <f>AR24*(1-AC24-H24*rr_DM) + AD24*(1-T24-H24)*I24</f>
        <v>0.41923664232329932</v>
      </c>
      <c r="AS25">
        <f>AR24*AC24*p_Other + AD24*T24*p_Other*I24 + AE24*(1-T24*p_Stroke-T24*p_MI-H24*rr_Other)*I24 + AS24*(1-AC24*p_Stroke-AC24*p_MI-H24*rr_Other*rr_DM)</f>
        <v>9.6102983536541398E-2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7.325559665531587E-3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2.9001770947636708E-2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4.0519327887933243E-3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2.0532839354017337E-2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3.1680212344061643E-4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2.616241101360316E-4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1.0336828243463993E-3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1.6189387439041157E-3</v>
      </c>
      <c r="BB25">
        <f>AM24*(1-T24*p_Stroke - H24*rr_HF)*I24 + AN24*(1-T24*p_Stroke - H24*rr_HF)*I24 + BA24*(1-AC24*p_Stroke - H24*rr_HF*rr_DM) + BB24*(1-AC24*p_Stroke - H24*rr_HF*rr_DM)</f>
        <v>1.4085083524122823E-2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1.0236626522530011E-4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1.8872515652348292E-4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6.7816598261599757E-4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0.17166710971494123</v>
      </c>
      <c r="BG25">
        <f t="shared" si="16"/>
        <v>0.99999999999999956</v>
      </c>
      <c r="BH25">
        <f>(0.9442 - 0.0007*$B25 - dis_BMI*($C25-21.75))*AD25</f>
        <v>0.15754634062562087</v>
      </c>
      <c r="BI25">
        <f>0.959*(0.9442 - 0.0007*$B25 - dis_BMI*($C25-21.75))*AE25</f>
        <v>2.1515456296557128E-2</v>
      </c>
      <c r="BJ25">
        <f>(0.943*(0.9442 - 0.0007*$B25 - dis_BMI*($C25-21.75)) - 0.19*0.5)*AF25</f>
        <v>1.2740746013163659E-3</v>
      </c>
      <c r="BK25">
        <f>(0.943*(0.9442 - 0.0007*$B25 - dis_BMI*($C25-21.75)))*AG25</f>
        <v>6.1196651695206508E-3</v>
      </c>
      <c r="BL25">
        <f>(0.955*(0.9442 - 0.0007*$B25 - dis_BMI*($C25-21.75)) - 0.15*0.5)*AH25</f>
        <v>7.1160707801188065E-4</v>
      </c>
      <c r="BM25">
        <f>(0.955*(0.9442 - 0.0007*$B25 - dis_BMI*($C25-21.75)))*AI25</f>
        <v>4.2761362130964041E-3</v>
      </c>
      <c r="BN25">
        <f>(0.955*0.943*(0.9442 - 0.0007*$B25 - dis_BMI*($C25-21.75)) - 0.19*0.5)*AJ25</f>
        <v>3.2344473397119425E-5</v>
      </c>
      <c r="BO25">
        <f>(0.955*0.943*(0.9442 - 0.0007*$B25 - dis_BMI*($C25-21.75)) - 0.15*0.5)*AK25</f>
        <v>2.7314401504222583E-5</v>
      </c>
      <c r="BP25">
        <f>(0.955*0.943*(0.9442 - 0.0007*$B25 - dis_BMI*($C25-21.75)))*AL25</f>
        <v>1.2883052470474813E-4</v>
      </c>
      <c r="BQ25">
        <f>(0.93*(0.9442 - 0.0007*$B25 - dis_BMI*($C25-21.75)))*AM25</f>
        <v>3.1474793247799726E-4</v>
      </c>
      <c r="BR25">
        <f>(0.93*(0.9442 - 0.0007*$B25 - dis_BMI*($C25-21.75)))*AN25</f>
        <v>3.0207999222169315E-3</v>
      </c>
      <c r="BS25">
        <f>(0.93*0.943*(0.9442 - 0.0007*$B25 - dis_BMI*($C25-21.75)))*AO25</f>
        <v>1.1868643450976654E-5</v>
      </c>
      <c r="BT25">
        <f>(0.93*0.943*(0.9442 - 0.0007*$B25 - dis_BMI*($C25-21.75))-0.19*0.5)*AP25</f>
        <v>1.9730804604586458E-5</v>
      </c>
      <c r="BU25">
        <f>(0.93*0.943*(0.9442 - 0.0007*$B25 - dis_BMI*($C25-21.75)))*AQ25</f>
        <v>8.6977790693416548E-5</v>
      </c>
      <c r="BV25">
        <f>0.962*(0.9442 - 0.0007*$B25 - dis_BMI*($C25-21.75))*AR25</f>
        <v>0.34025889419204935</v>
      </c>
      <c r="BW25">
        <f>0.962*0.959*(0.9442 - 0.0007*$B25 - dis_BMI*($C25-21.75))*AS25</f>
        <v>7.480071169767305E-2</v>
      </c>
      <c r="BX25">
        <f>0.962*(0.943*(0.9442 - 0.0007*$B25 - dis_BMI*($C25-21.75)) - 0.19*0.5)*AT25</f>
        <v>4.9371581837558496E-3</v>
      </c>
      <c r="BY25">
        <f>0.962*(0.943*(0.9442 - 0.0007*$B25 - dis_BMI*($C25-21.75)))*AU25</f>
        <v>2.219660037702369E-2</v>
      </c>
      <c r="BZ25">
        <f>0.962*(0.955*(0.9442 - 0.0007*$B25 - dis_BMI*($C25-21.75)) - 0.15*0.5)*AV25</f>
        <v>2.8482764096566474E-3</v>
      </c>
      <c r="CA25">
        <f>0.962*(0.955*(0.9442 - 0.0007*$B25 - dis_BMI*($C25-21.75)))*AW25</f>
        <v>1.5914853056858348E-2</v>
      </c>
      <c r="CB25">
        <f>0.962*(0.955*0.943*(0.9442 - 0.0007*$B25 - dis_BMI*($C25-21.75)) - 0.19*0.5)*AX25</f>
        <v>2.0260204723451905E-4</v>
      </c>
      <c r="CC25">
        <f>0.962*(0.955*0.943*(0.9442 - 0.0007*$B25 - dis_BMI*($C25-21.75)) - 0.15*0.5)*AY25</f>
        <v>1.7234812084972957E-4</v>
      </c>
      <c r="CD25">
        <f>0.962*(0.955*0.943*(0.9442 - 0.0007*$B25 - dis_BMI*($C25-21.75)))*AZ25</f>
        <v>7.555315709025102E-4</v>
      </c>
      <c r="CE25">
        <f>0.962*(0.93*(0.9442 - 0.0007*$B25 - dis_BMI*($C25-21.75)))*BA25</f>
        <v>1.2219786477939384E-3</v>
      </c>
      <c r="CF25">
        <f>0.962*(0.93*(0.9442 - 0.0007*$B25 - dis_BMI*($C25-21.75)))*BB25</f>
        <v>1.0631453094615466E-2</v>
      </c>
      <c r="CG25">
        <f>0.962*(0.93*0.943*(0.9442 - 0.0007*$B25 - dis_BMI*($C25-21.75)))*BC25</f>
        <v>7.286211140068293E-5</v>
      </c>
      <c r="CH25">
        <f>0.962*(0.93*0.943*(0.9442 - 0.0007*$B25 - dis_BMI*($C25-21.75))-0.19*0.5)*BD25</f>
        <v>1.170829254108204E-4</v>
      </c>
      <c r="CI25">
        <f>0.962*(0.93*0.943*(0.9442 - 0.0007*$B25 - dis_BMI*($C25-21.75)))*BE25</f>
        <v>4.8270399691506918E-4</v>
      </c>
      <c r="CJ25">
        <f t="shared" si="17"/>
        <v>0</v>
      </c>
      <c r="CK25">
        <f t="shared" si="18"/>
        <v>0.66969895090931286</v>
      </c>
      <c r="CL25">
        <f>CK25/(1+r_)^A25</f>
        <v>0.34951086032850515</v>
      </c>
      <c r="CM25">
        <f t="shared" si="19"/>
        <v>0</v>
      </c>
      <c r="CN25">
        <f>AE25*c_Other</f>
        <v>379.71221412371233</v>
      </c>
      <c r="CO25">
        <f>AF25*(c_Stroke1+c_Stroke2)</f>
        <v>43.311429685833964</v>
      </c>
      <c r="CP25">
        <f>AG25*c_Stroke2</f>
        <v>49.998174114447643</v>
      </c>
      <c r="CQ25">
        <f>AH25*(c_MI1+c_MI2)</f>
        <v>28.38892115472591</v>
      </c>
      <c r="CR25">
        <f>AI25*c_MI2</f>
        <v>16.542829032508447</v>
      </c>
      <c r="CS25">
        <f>AJ25*(c_Stroke1+c_Stroke2+c_MI2)</f>
        <v>1.3104007781214355</v>
      </c>
      <c r="CT25">
        <f>AK25*(c_Stroke2+c_MI1+c_MI2)</f>
        <v>1.4220330457720403</v>
      </c>
      <c r="CU25">
        <f>AL25*(c_Stroke2+c_MI2)</f>
        <v>1.6306777564081021</v>
      </c>
      <c r="CV25">
        <f>AM25*(c_HF1)</f>
        <v>10.843033585309872</v>
      </c>
      <c r="CW25">
        <f>AN25*(c_HF2)</f>
        <v>60.079679291215648</v>
      </c>
      <c r="CX25">
        <f>AO25*(c_Stroke2+c_HF1)</f>
        <v>0.53785451079621782</v>
      </c>
      <c r="CY25">
        <f>AP25*(c_Stroke1+c_Stroke2+c_HF2)</f>
        <v>1.2061011563659383</v>
      </c>
      <c r="CZ25">
        <f>AQ25*(c_Stroke2+c_HF2)</f>
        <v>2.5985379860019164</v>
      </c>
      <c r="DA25">
        <f>AR25*c_DM</f>
        <v>4789.7786385436948</v>
      </c>
      <c r="DB25">
        <f>AS25*(c_Other+c_DM)</f>
        <v>2470.2310888232601</v>
      </c>
      <c r="DC25">
        <f>AT25*(c_Stroke1+c_Stroke2+c_DM)</f>
        <v>258.16004817299864</v>
      </c>
      <c r="DD25">
        <f>AU25*(c_Stroke2+c_DM)</f>
        <v>519.85674423638795</v>
      </c>
      <c r="DE25">
        <f>AV25*(c_MI1+c_MI2+c_DM)</f>
        <v>164.41122483807794</v>
      </c>
      <c r="DF25">
        <f>AW25*(c_MI2+c_DM)</f>
        <v>298.58854988612012</v>
      </c>
      <c r="DG25">
        <f>AX25*(c_Stroke1+c_Stroke2+c_MI2+c_DM)</f>
        <v>12.151895850935166</v>
      </c>
      <c r="DH25">
        <f>AY25*(c_Stroke2+c_MI1+c_MI2+c_DM)</f>
        <v>12.316216608763824</v>
      </c>
      <c r="DI25">
        <f>AZ25*(c_Stroke2+c_MI2+c_DM)</f>
        <v>21.750753989896932</v>
      </c>
      <c r="DJ25">
        <f>BA25*(c_HF1+c_DM)</f>
        <v>62.25628939683277</v>
      </c>
      <c r="DK25">
        <f>BB25*(c_HF2+c_DM)</f>
        <v>380.71980765703989</v>
      </c>
      <c r="DL25">
        <f>BC25*(c_Stroke2+c_HF1+c_DM)</f>
        <v>4.6018754532033661</v>
      </c>
      <c r="DM25">
        <f>BD25*(c_Stroke1+c_Stroke2+c_HF2+c_DM)</f>
        <v>9.5959193085930128</v>
      </c>
      <c r="DN25">
        <f>BE25*(c_Stroke2+c_HF2+c_DM)</f>
        <v>22.738905397114397</v>
      </c>
      <c r="DO25">
        <f t="shared" si="20"/>
        <v>0</v>
      </c>
      <c r="DP25">
        <f t="shared" si="21"/>
        <v>9624.7398443841394</v>
      </c>
      <c r="DQ25">
        <f>DP25/(1+r_)^A25</f>
        <v>5023.0795477299052</v>
      </c>
    </row>
    <row r="26" spans="1:121" x14ac:dyDescent="0.3">
      <c r="A26">
        <v>23</v>
      </c>
      <c r="B26">
        <v>68</v>
      </c>
      <c r="C26">
        <f t="shared" si="0"/>
        <v>38</v>
      </c>
      <c r="D26">
        <f t="shared" si="1"/>
        <v>125</v>
      </c>
      <c r="E26">
        <f t="shared" si="2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22"/>
        <v>5.6857293942168513E-2</v>
      </c>
      <c r="J26">
        <f t="shared" si="23"/>
        <v>0.22971322039376219</v>
      </c>
      <c r="K26">
        <f t="shared" si="24"/>
        <v>0.3061625708562129</v>
      </c>
      <c r="L26">
        <f t="shared" si="25"/>
        <v>0.11622563934716068</v>
      </c>
      <c r="M26">
        <f t="shared" si="26"/>
        <v>0.1588923363196455</v>
      </c>
      <c r="N26">
        <f t="shared" si="27"/>
        <v>0.49361392192968434</v>
      </c>
      <c r="O26">
        <f t="shared" si="28"/>
        <v>0.61767209528777356</v>
      </c>
      <c r="P26">
        <f t="shared" si="29"/>
        <v>0.28445408349064571</v>
      </c>
      <c r="Q26">
        <f t="shared" si="30"/>
        <v>0.37683305520545485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1.8821954750021103E-2</v>
      </c>
      <c r="U26">
        <f t="shared" si="31"/>
        <v>0.43334232724377486</v>
      </c>
      <c r="V26">
        <f t="shared" si="32"/>
        <v>0.54863501224749978</v>
      </c>
      <c r="W26">
        <f t="shared" si="33"/>
        <v>0.23577306675933107</v>
      </c>
      <c r="X26">
        <f t="shared" si="34"/>
        <v>0.31379497849860227</v>
      </c>
      <c r="Y26">
        <f t="shared" si="35"/>
        <v>0.6858547034051703</v>
      </c>
      <c r="Z26">
        <f t="shared" si="36"/>
        <v>0.80526184339624896</v>
      </c>
      <c r="AA26">
        <f t="shared" si="37"/>
        <v>0.43422531525461283</v>
      </c>
      <c r="AB26">
        <f t="shared" si="38"/>
        <v>0.55281418224012413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3.3308942992431909E-2</v>
      </c>
      <c r="AD26">
        <f t="shared" si="40"/>
        <v>0.17069527556472455</v>
      </c>
      <c r="AE26">
        <f t="shared" si="41"/>
        <v>2.6031060921192298E-2</v>
      </c>
      <c r="AF26">
        <f t="shared" si="42"/>
        <v>1.7631421672055162E-3</v>
      </c>
      <c r="AG26">
        <f t="shared" si="43"/>
        <v>7.5024437810448184E-3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9.3835113232959479E-4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5.1582491210955947E-3</v>
      </c>
      <c r="AJ26">
        <f t="shared" si="44"/>
        <v>4.9630317307642134E-5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4.0676275767573376E-5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1.7340170675677821E-4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3.8841193255850342E-4</v>
      </c>
      <c r="AN26">
        <f t="shared" si="45"/>
        <v>3.9004000499394866E-3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1.6422678051226521E-5</v>
      </c>
      <c r="AP26">
        <f>AM25*T25*p_Stroke*p_Stroke_rec*(1-I25) + AN25*T25*p_Stroke*p_Stroke_rec*(1-I25) + AO25*(p_recur_Stroke*p_Stroke_rec)*(1-I25) + AP25*(p_recur_Stroke*p_Stroke_rec)*(1-I25) + AQ25*(p_recur_Stroke*p_Stroke_rec)*(1-I25)</f>
        <v>3.2497483506541375E-5</v>
      </c>
      <c r="AQ26">
        <f>AO25*(1-p_recur_Stroke-H25*rr_Stroke*rr_HF)*(1-I25) + AP25*(1-p_recur_Stroke-H25*rr_Stroke*rr_HF)*(1-I25) + AQ25*(1-p_recur_Stroke-H25*rr_Stroke*rr_HF)*(1-I25)</f>
        <v>1.2511168650986248E-4</v>
      </c>
      <c r="AR26">
        <f>AR25*(1-AC25-H25*rr_DM) + AD25*(1-T25-H25)*I25</f>
        <v>0.40989945664082256</v>
      </c>
      <c r="AS26">
        <f>AR25*AC25*p_Other + AD25*T25*p_Other*I25 + AE25*(1-T25*p_Stroke-T25*p_MI-H25*rr_Other)*I25 + AS25*(1-AC25*p_Stroke-AC25*p_MI-H25*rr_Other*rr_DM)</f>
        <v>0.10106033251766176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7.6354685400783903E-3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3.0508074384059669E-2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4.1951047051171867E-3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2.1564249079330043E-2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3.4882891921873626E-4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2.8741915630195973E-4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1.1436781874324675E-3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1.6886561113096193E-3</v>
      </c>
      <c r="BB26">
        <f>AM25*(1-T25*p_Stroke - H25*rr_HF)*I25 + AN25*(1-T25*p_Stroke - H25*rr_HF)*I25 + BA25*(1-AC25*p_Stroke - H25*rr_HF*rr_DM) + BB25*(1-AC25*p_Stroke - H25*rr_HF*rr_DM)</f>
        <v>1.5406757232937641E-2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1.1315101393501097E-4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2.1618918448392124E-4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7.8015255598726826E-4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0.18833740695333326</v>
      </c>
      <c r="BG26">
        <f t="shared" si="16"/>
        <v>0.99999999999999944</v>
      </c>
      <c r="BH26">
        <f>(0.9442 - 0.0007*$B26 - dis_BMI*($C26-21.75))*AD26</f>
        <v>0.1438918499191737</v>
      </c>
      <c r="BI26">
        <f>0.959*(0.9442 - 0.0007*$B26 - dis_BMI*($C26-21.75))*AE26</f>
        <v>2.1043848703260353E-2</v>
      </c>
      <c r="BJ26">
        <f>(0.943*(0.9442 - 0.0007*$B26 - dis_BMI*($C26-21.75)) - 0.19*0.5)*AF26</f>
        <v>1.2340680307167419E-3</v>
      </c>
      <c r="BK26">
        <f>(0.943*(0.9442 - 0.0007*$B26 - dis_BMI*($C26-21.75)))*AG26</f>
        <v>5.9638833111856585E-3</v>
      </c>
      <c r="BL26">
        <f>(0.955*(0.9442 - 0.0007*$B26 - dis_BMI*($C26-21.75)) - 0.15*0.5)*AH26</f>
        <v>6.8503491629092134E-4</v>
      </c>
      <c r="BM26">
        <f>(0.955*(0.9442 - 0.0007*$B26 - dis_BMI*($C26-21.75)))*AI26</f>
        <v>4.1526026754770589E-3</v>
      </c>
      <c r="BN26">
        <f>(0.955*0.943*(0.9442 - 0.0007*$B26 - dis_BMI*($C26-21.75)) - 0.19*0.5)*AJ26</f>
        <v>3.2962162885896476E-5</v>
      </c>
      <c r="BO26">
        <f>(0.955*0.943*(0.9442 - 0.0007*$B26 - dis_BMI*($C26-21.75)) - 0.15*0.5)*AK26</f>
        <v>2.7828827858299469E-5</v>
      </c>
      <c r="BP26">
        <f>(0.955*0.943*(0.9442 - 0.0007*$B26 - dis_BMI*($C26-21.75)))*AL26</f>
        <v>1.316385612945862E-4</v>
      </c>
      <c r="BQ26">
        <f>(0.93*(0.9442 - 0.0007*$B26 - dis_BMI*($C26-21.75)))*AM26</f>
        <v>3.0450204042910912E-4</v>
      </c>
      <c r="BR26">
        <f>(0.93*(0.9442 - 0.0007*$B26 - dis_BMI*($C26-21.75)))*AN26</f>
        <v>3.0577839508508973E-3</v>
      </c>
      <c r="BS26">
        <f>(0.93*0.943*(0.9442 - 0.0007*$B26 - dis_BMI*($C26-21.75)))*AO26</f>
        <v>1.2140968026443756E-5</v>
      </c>
      <c r="BT26">
        <f>(0.93*0.943*(0.9442 - 0.0007*$B26 - dis_BMI*($C26-21.75))-0.19*0.5)*AP26</f>
        <v>2.0937499642595712E-5</v>
      </c>
      <c r="BU26">
        <f>(0.93*0.943*(0.9442 - 0.0007*$B26 - dis_BMI*($C26-21.75)))*AQ26</f>
        <v>9.2492648331326865E-5</v>
      </c>
      <c r="BV26">
        <f>0.962*(0.9442 - 0.0007*$B26 - dis_BMI*($C26-21.75))*AR26</f>
        <v>0.33240466467224911</v>
      </c>
      <c r="BW26">
        <f>0.962*0.959*(0.9442 - 0.0007*$B26 - dis_BMI*($C26-21.75))*AS26</f>
        <v>7.8593946531620676E-2</v>
      </c>
      <c r="BX26">
        <f>0.962*(0.943*(0.9442 - 0.0007*$B26 - dis_BMI*($C26-21.75)) - 0.19*0.5)*AT26</f>
        <v>5.141176737594933E-3</v>
      </c>
      <c r="BY26">
        <f>0.962*(0.943*(0.9442 - 0.0007*$B26 - dis_BMI*($C26-21.75)))*AU26</f>
        <v>2.3330081523844394E-2</v>
      </c>
      <c r="BZ26">
        <f>0.962*(0.955*(0.9442 - 0.0007*$B26 - dis_BMI*($C26-21.75)) - 0.15*0.5)*AV26</f>
        <v>2.9462201979967156E-3</v>
      </c>
      <c r="CA26">
        <f>0.962*(0.955*(0.9442 - 0.0007*$B26 - dis_BMI*($C26-21.75)))*AW26</f>
        <v>1.6700423259737116E-2</v>
      </c>
      <c r="CB26">
        <f>0.962*(0.955*0.943*(0.9442 - 0.0007*$B26 - dis_BMI*($C26-21.75)) - 0.19*0.5)*AX26</f>
        <v>2.2287235584571242E-4</v>
      </c>
      <c r="CC26">
        <f>0.962*(0.955*0.943*(0.9442 - 0.0007*$B26 - dis_BMI*($C26-21.75)) - 0.15*0.5)*AY26</f>
        <v>1.891666241856526E-4</v>
      </c>
      <c r="CD26">
        <f>0.962*(0.955*0.943*(0.9442 - 0.0007*$B26 - dis_BMI*($C26-21.75)))*AZ26</f>
        <v>8.3523497053006681E-4</v>
      </c>
      <c r="CE26">
        <f>0.962*(0.93*(0.9442 - 0.0007*$B26 - dis_BMI*($C26-21.75)))*BA26</f>
        <v>1.2735439341999008E-3</v>
      </c>
      <c r="CF26">
        <f>0.962*(0.93*(0.9442 - 0.0007*$B26 - dis_BMI*($C26-21.75)))*BB26</f>
        <v>1.1619406750899201E-2</v>
      </c>
      <c r="CG26">
        <f>0.962*(0.93*0.943*(0.9442 - 0.0007*$B26 - dis_BMI*($C26-21.75)))*BC26</f>
        <v>8.0471641118049121E-5</v>
      </c>
      <c r="CH26">
        <f>0.962*(0.93*0.943*(0.9442 - 0.0007*$B26 - dis_BMI*($C26-21.75))-0.19*0.5)*BD26</f>
        <v>1.3399361999890793E-4</v>
      </c>
      <c r="CI26">
        <f>0.962*(0.93*0.943*(0.9442 - 0.0007*$B26 - dis_BMI*($C26-21.75)))*BE26</f>
        <v>5.5483512095432365E-4</v>
      </c>
      <c r="CJ26">
        <f t="shared" si="17"/>
        <v>0</v>
      </c>
      <c r="CK26">
        <f t="shared" si="18"/>
        <v>0.65467761215619835</v>
      </c>
      <c r="CL26">
        <f>CK26/(1+r_)^A26</f>
        <v>0.33171974396120169</v>
      </c>
      <c r="CM26">
        <f t="shared" si="19"/>
        <v>0</v>
      </c>
      <c r="CN26">
        <f>AE26*c_Other</f>
        <v>371.6975188937048</v>
      </c>
      <c r="CO26">
        <f>AF26*(c_Stroke1+c_Stroke2)</f>
        <v>41.990993854166575</v>
      </c>
      <c r="CP26">
        <f>AG26*c_Stroke2</f>
        <v>48.765884576791322</v>
      </c>
      <c r="CQ26">
        <f>AH26*(c_MI1+c_MI2)</f>
        <v>27.353873858540016</v>
      </c>
      <c r="CR26">
        <f>AI26*c_MI2</f>
        <v>16.078262510454969</v>
      </c>
      <c r="CS26">
        <f>AJ26*(c_Stroke1+c_Stroke2+c_MI2)</f>
        <v>1.3366933360467257</v>
      </c>
      <c r="CT26">
        <f>AK26*(c_Stroke2+c_MI1+c_MI2)</f>
        <v>1.4501499073897584</v>
      </c>
      <c r="CU26">
        <f>AL26*(c_Stroke2+c_MI2)</f>
        <v>1.6676042138799361</v>
      </c>
      <c r="CV26">
        <f>AM26*(c_HF1)</f>
        <v>10.498774537056347</v>
      </c>
      <c r="CW26">
        <f>AN26*(c_HF2)</f>
        <v>60.865742779305691</v>
      </c>
      <c r="CX26">
        <f>AO26*(c_Stroke2+c_HF1)</f>
        <v>0.5506523950576252</v>
      </c>
      <c r="CY26">
        <f>AP26*(c_Stroke1+c_Stroke2+c_HF2)</f>
        <v>1.2810832973113675</v>
      </c>
      <c r="CZ26">
        <f>AQ26*(c_Stroke2+c_HF2)</f>
        <v>2.7655938303005101</v>
      </c>
      <c r="DA26">
        <f>AR26*c_DM</f>
        <v>4683.1012921213978</v>
      </c>
      <c r="DB26">
        <f>AS26*(c_Other+c_DM)</f>
        <v>2597.6547870339778</v>
      </c>
      <c r="DC26">
        <f>AT26*(c_Stroke1+c_Stroke2+c_DM)</f>
        <v>269.08154682090253</v>
      </c>
      <c r="DD26">
        <f>AU26*(c_Stroke2+c_DM)</f>
        <v>546.85723333426961</v>
      </c>
      <c r="DE26">
        <f>AV26*(c_MI1+c_MI2+c_DM)</f>
        <v>170.22056851483498</v>
      </c>
      <c r="DF26">
        <f>AW26*(c_MI2+c_DM)</f>
        <v>313.58731011161751</v>
      </c>
      <c r="DG26">
        <f>AX26*(c_Stroke1+c_Stroke2+c_MI2+c_DM)</f>
        <v>13.380379683392285</v>
      </c>
      <c r="DH26">
        <f>AY26*(c_Stroke2+c_MI1+c_MI2+c_DM)</f>
        <v>13.530544202071056</v>
      </c>
      <c r="DI26">
        <f>AZ26*(c_Stroke2+c_MI2+c_DM)</f>
        <v>24.065276419953982</v>
      </c>
      <c r="DJ26">
        <f>BA26*(c_HF1+c_DM)</f>
        <v>64.937270760411408</v>
      </c>
      <c r="DK26">
        <f>BB26*(c_HF2+c_DM)</f>
        <v>416.44464800630448</v>
      </c>
      <c r="DL26">
        <f>BC26*(c_Stroke2+c_HF1+c_DM)</f>
        <v>5.0867038314484185</v>
      </c>
      <c r="DM26">
        <f>BD26*(c_Stroke1+c_Stroke2+c_HF2+c_DM)</f>
        <v>10.992355274269459</v>
      </c>
      <c r="DN26">
        <f>BE26*(c_Stroke2+c_HF2+c_DM)</f>
        <v>26.158515202253106</v>
      </c>
      <c r="DO26">
        <f t="shared" si="20"/>
        <v>0</v>
      </c>
      <c r="DP26">
        <f t="shared" si="21"/>
        <v>9741.4012593071075</v>
      </c>
      <c r="DQ26">
        <f>DP26/(1+r_)^A26</f>
        <v>4935.8876362335477</v>
      </c>
    </row>
    <row r="27" spans="1:121" x14ac:dyDescent="0.3">
      <c r="A27">
        <v>24</v>
      </c>
      <c r="B27">
        <v>69</v>
      </c>
      <c r="C27">
        <f t="shared" si="0"/>
        <v>38</v>
      </c>
      <c r="D27">
        <f t="shared" si="1"/>
        <v>125</v>
      </c>
      <c r="E27">
        <f t="shared" si="2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22"/>
        <v>5.6857293942168513E-2</v>
      </c>
      <c r="J27">
        <f t="shared" si="23"/>
        <v>0.2378171772092178</v>
      </c>
      <c r="K27">
        <f t="shared" si="24"/>
        <v>0.31636409356515138</v>
      </c>
      <c r="L27">
        <f t="shared" si="25"/>
        <v>0.12063952532804434</v>
      </c>
      <c r="M27">
        <f t="shared" si="26"/>
        <v>0.16476962137910789</v>
      </c>
      <c r="N27">
        <f t="shared" si="27"/>
        <v>0.50938393238789381</v>
      </c>
      <c r="O27">
        <f t="shared" si="28"/>
        <v>0.63438707274539841</v>
      </c>
      <c r="P27">
        <f t="shared" si="29"/>
        <v>0.2955033329694281</v>
      </c>
      <c r="Q27">
        <f t="shared" si="30"/>
        <v>0.39038642220808906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1.9500027645134969E-2</v>
      </c>
      <c r="U27">
        <f t="shared" si="31"/>
        <v>0.44623645199106932</v>
      </c>
      <c r="V27">
        <f t="shared" si="32"/>
        <v>0.56295316143777807</v>
      </c>
      <c r="W27">
        <f t="shared" si="33"/>
        <v>0.24405525788918603</v>
      </c>
      <c r="X27">
        <f t="shared" si="34"/>
        <v>0.32418727882356235</v>
      </c>
      <c r="Y27">
        <f t="shared" si="35"/>
        <v>0.70231985428150057</v>
      </c>
      <c r="Z27">
        <f t="shared" si="36"/>
        <v>0.81952610327027742</v>
      </c>
      <c r="AA27">
        <f t="shared" si="37"/>
        <v>0.44901118766381498</v>
      </c>
      <c r="AB27">
        <f t="shared" si="38"/>
        <v>0.56923776979474672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3.4355631221798355E-2</v>
      </c>
      <c r="AD27">
        <f t="shared" si="40"/>
        <v>0.15579196613957605</v>
      </c>
      <c r="AE27">
        <f t="shared" si="41"/>
        <v>2.5381494504864686E-2</v>
      </c>
      <c r="AF27">
        <f t="shared" si="42"/>
        <v>1.7037191188413871E-3</v>
      </c>
      <c r="AG27">
        <f t="shared" si="43"/>
        <v>7.2856049291441065E-3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9.0198529607754931E-4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4.998413113060516E-3</v>
      </c>
      <c r="AJ27">
        <f t="shared" si="44"/>
        <v>5.0358616578537218E-5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4.1245632715924239E-5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1.7616582666304552E-4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3.750804229515874E-4</v>
      </c>
      <c r="AN27">
        <f t="shared" si="45"/>
        <v>3.9283164912852159E-3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1.671078729775655E-5</v>
      </c>
      <c r="AP27">
        <f>AM26*T26*p_Stroke*p_Stroke_rec*(1-I26) + AN26*T26*p_Stroke*p_Stroke_rec*(1-I26) + AO26*(p_recur_Stroke*p_Stroke_rec)*(1-I26) + AP26*(p_recur_Stroke*p_Stroke_rec)*(1-I26) + AQ26*(p_recur_Stroke*p_Stroke_rec)*(1-I26)</f>
        <v>3.423068301146221E-5</v>
      </c>
      <c r="AQ27">
        <f>AO26*(1-p_recur_Stroke-H26*rr_Stroke*rr_HF)*(1-I26) + AP26*(1-p_recur_Stroke-H26*rr_Stroke*rr_HF)*(1-I26) + AQ26*(1-p_recur_Stroke-H26*rr_Stroke*rr_HF)*(1-I26)</f>
        <v>1.3184943658225485E-4</v>
      </c>
      <c r="AR27">
        <f>AR26*(1-AC26-H26*rr_DM) + AD26*(1-T26-H26)*I26</f>
        <v>0.39929038510302273</v>
      </c>
      <c r="AS27">
        <f>AR26*AC26*p_Other + AD26*T26*p_Other*I26 + AE26*(1-T26*p_Stroke-T26*p_MI-H26*rr_Other)*I26 + AS26*(1-AC26*p_Stroke-AC26*p_MI-H26*rr_Other*rr_DM)</f>
        <v>0.10561146371676776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7.9150883814933307E-3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3.1877164734013509E-2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4.3235706765314633E-3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2.2525758114503858E-2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3.8109608997593185E-4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3.1318119052163411E-4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1.2535711867761755E-3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1.7527767479401026E-3</v>
      </c>
      <c r="BB27">
        <f>AM26*(1-T26*p_Stroke - H26*rr_HF)*I26 + AN26*(1-T26*p_Stroke - H26*rr_HF)*I26 + BA26*(1-AC26*p_Stroke - H26*rr_HF*rr_DM) + BB26*(1-AC26*p_Stroke - H26*rr_HF*rr_DM)</f>
        <v>1.671943979486781E-2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1.2398502566016915E-4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2.4504301391149779E-4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8.8642606036177065E-4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0.20596390916500162</v>
      </c>
      <c r="BG27">
        <f t="shared" si="16"/>
        <v>0.99999999999999933</v>
      </c>
      <c r="BH27">
        <f>(0.9442 - 0.0007*$B27 - dis_BMI*($C27-21.75))*AD27</f>
        <v>0.13121967828021142</v>
      </c>
      <c r="BI27">
        <f>0.959*(0.9442 - 0.0007*$B27 - dis_BMI*($C27-21.75))*AE27</f>
        <v>2.050169215443742E-2</v>
      </c>
      <c r="BJ27">
        <f>(0.943*(0.9442 - 0.0007*$B27 - dis_BMI*($C27-21.75)) - 0.19*0.5)*AF27</f>
        <v>1.191351703345336E-3</v>
      </c>
      <c r="BK27">
        <f>(0.943*(0.9442 - 0.0007*$B27 - dis_BMI*($C27-21.75)))*AG27</f>
        <v>5.7867033668682448E-3</v>
      </c>
      <c r="BL27">
        <f>(0.955*(0.9442 - 0.0007*$B27 - dis_BMI*($C27-21.75)) - 0.15*0.5)*AH27</f>
        <v>6.5788338311148433E-4</v>
      </c>
      <c r="BM27">
        <f>(0.955*(0.9442 - 0.0007*$B27 - dis_BMI*($C27-21.75)))*AI27</f>
        <v>4.0205866765869085E-3</v>
      </c>
      <c r="BN27">
        <f>(0.955*0.943*(0.9442 - 0.0007*$B27 - dis_BMI*($C27-21.75)) - 0.19*0.5)*AJ27</f>
        <v>3.3414119754992614E-5</v>
      </c>
      <c r="BO27">
        <f>(0.955*0.943*(0.9442 - 0.0007*$B27 - dis_BMI*($C27-21.75)) - 0.15*0.5)*AK27</f>
        <v>2.8192354505922394E-5</v>
      </c>
      <c r="BP27">
        <f>(0.955*0.943*(0.9442 - 0.0007*$B27 - dis_BMI*($C27-21.75)))*AL27</f>
        <v>1.3362589922783871E-4</v>
      </c>
      <c r="BQ27">
        <f>(0.93*(0.9442 - 0.0007*$B27 - dis_BMI*($C27-21.75)))*AM27</f>
        <v>2.9380640281463996E-4</v>
      </c>
      <c r="BR27">
        <f>(0.93*(0.9442 - 0.0007*$B27 - dis_BMI*($C27-21.75)))*AN27</f>
        <v>3.0771121786084478E-3</v>
      </c>
      <c r="BS27">
        <f>(0.93*0.943*(0.9442 - 0.0007*$B27 - dis_BMI*($C27-21.75)))*AO27</f>
        <v>1.2343702980774385E-5</v>
      </c>
      <c r="BT27">
        <f>(0.93*0.943*(0.9442 - 0.0007*$B27 - dis_BMI*($C27-21.75))-0.19*0.5)*AP27</f>
        <v>2.2033152561287131E-5</v>
      </c>
      <c r="BU27">
        <f>(0.93*0.943*(0.9442 - 0.0007*$B27 - dis_BMI*($C27-21.75)))*AQ27</f>
        <v>9.7392795106206534E-5</v>
      </c>
      <c r="BV27">
        <f>0.962*(0.9442 - 0.0007*$B27 - dis_BMI*($C27-21.75))*AR27</f>
        <v>0.32353244136636783</v>
      </c>
      <c r="BW27">
        <f>0.962*0.959*(0.9442 - 0.0007*$B27 - dis_BMI*($C27-21.75))*AS27</f>
        <v>8.206512801882733E-2</v>
      </c>
      <c r="BX27">
        <f>0.962*(0.943*(0.9442 - 0.0007*$B27 - dis_BMI*($C27-21.75)) - 0.19*0.5)*AT27</f>
        <v>5.3244264692080883E-3</v>
      </c>
      <c r="BY27">
        <f>0.962*(0.943*(0.9442 - 0.0007*$B27 - dis_BMI*($C27-21.75)))*AU27</f>
        <v>2.4356807396453264E-2</v>
      </c>
      <c r="BZ27">
        <f>0.962*(0.955*(0.9442 - 0.0007*$B27 - dis_BMI*($C27-21.75)) - 0.15*0.5)*AV27</f>
        <v>3.0336613181536176E-3</v>
      </c>
      <c r="CA27">
        <f>0.962*(0.955*(0.9442 - 0.0007*$B27 - dis_BMI*($C27-21.75)))*AW27</f>
        <v>1.7430577263660735E-2</v>
      </c>
      <c r="CB27">
        <f>0.962*(0.955*0.943*(0.9442 - 0.0007*$B27 - dis_BMI*($C27-21.75)) - 0.19*0.5)*AX27</f>
        <v>2.4325725339859367E-4</v>
      </c>
      <c r="CC27">
        <f>0.962*(0.955*0.943*(0.9442 - 0.0007*$B27 - dis_BMI*($C27-21.75)) - 0.15*0.5)*AY27</f>
        <v>2.0593213421303764E-4</v>
      </c>
      <c r="CD27">
        <f>0.962*(0.955*0.943*(0.9442 - 0.0007*$B27 - dis_BMI*($C27-21.75)))*AZ27</f>
        <v>9.1473026410674417E-4</v>
      </c>
      <c r="CE27">
        <f>0.962*(0.93*(0.9442 - 0.0007*$B27 - dis_BMI*($C27-21.75)))*BA27</f>
        <v>1.3208044828452426E-3</v>
      </c>
      <c r="CF27">
        <f>0.962*(0.93*(0.9442 - 0.0007*$B27 - dis_BMI*($C27-21.75)))*BB27</f>
        <v>1.2598929702641849E-2</v>
      </c>
      <c r="CG27">
        <f>0.962*(0.93*0.943*(0.9442 - 0.0007*$B27 - dis_BMI*($C27-21.75)))*BC27</f>
        <v>8.8103438815212919E-5</v>
      </c>
      <c r="CH27">
        <f>0.962*(0.93*0.943*(0.9442 - 0.0007*$B27 - dis_BMI*($C27-21.75))-0.19*0.5)*BD27</f>
        <v>1.5173245137077866E-4</v>
      </c>
      <c r="CI27">
        <f>0.962*(0.93*0.943*(0.9442 - 0.0007*$B27 - dis_BMI*($C27-21.75)))*BE27</f>
        <v>6.2989206767073832E-4</v>
      </c>
      <c r="CJ27">
        <f t="shared" si="17"/>
        <v>0</v>
      </c>
      <c r="CK27">
        <f t="shared" si="18"/>
        <v>0.638972239797854</v>
      </c>
      <c r="CL27">
        <f>CK27/(1+r_)^A27</f>
        <v>0.31433200134098332</v>
      </c>
      <c r="CM27">
        <f t="shared" si="19"/>
        <v>0</v>
      </c>
      <c r="CN27">
        <f>AE27*c_Other</f>
        <v>362.42236003496282</v>
      </c>
      <c r="CO27">
        <f>AF27*(c_Stroke1+c_Stroke2)</f>
        <v>40.575774534326477</v>
      </c>
      <c r="CP27">
        <f>AG27*c_Stroke2</f>
        <v>47.35643203943669</v>
      </c>
      <c r="CQ27">
        <f>AH27*(c_MI1+c_MI2)</f>
        <v>26.293773365956639</v>
      </c>
      <c r="CR27">
        <f>AI27*c_MI2</f>
        <v>15.580053673409628</v>
      </c>
      <c r="CS27">
        <f>AJ27*(c_Stroke1+c_Stroke2+c_MI2)</f>
        <v>1.356308620309743</v>
      </c>
      <c r="CT27">
        <f>AK27*(c_Stroke2+c_MI1+c_MI2)</f>
        <v>1.4704480519554151</v>
      </c>
      <c r="CU27">
        <f>AL27*(c_Stroke2+c_MI2)</f>
        <v>1.6941867550185088</v>
      </c>
      <c r="CV27">
        <f>AM27*(c_HF1)</f>
        <v>10.138423832381408</v>
      </c>
      <c r="CW27">
        <f>AN27*(c_HF2)</f>
        <v>61.301378846505791</v>
      </c>
      <c r="CX27">
        <f>AO27*(c_Stroke2+c_HF1)</f>
        <v>0.56031269809377715</v>
      </c>
      <c r="CY27">
        <f>AP27*(c_Stroke1+c_Stroke2+c_HF2)</f>
        <v>1.3494077549948518</v>
      </c>
      <c r="CZ27">
        <f>AQ27*(c_Stroke2+c_HF2)</f>
        <v>2.9145317956507433</v>
      </c>
      <c r="DA27">
        <f>AR27*c_DM</f>
        <v>4561.8926498020346</v>
      </c>
      <c r="DB27">
        <f>AS27*(c_Other+c_DM)</f>
        <v>2714.6370633757983</v>
      </c>
      <c r="DC27">
        <f>AT27*(c_Stroke1+c_Stroke2+c_DM)</f>
        <v>278.93562965220644</v>
      </c>
      <c r="DD27">
        <f>AU27*(c_Stroke2+c_DM)</f>
        <v>571.3981778571922</v>
      </c>
      <c r="DE27">
        <f>AV27*(c_MI1+c_MI2+c_DM)</f>
        <v>175.43320377094065</v>
      </c>
      <c r="DF27">
        <f>AW27*(c_MI2+c_DM)</f>
        <v>327.56957450111508</v>
      </c>
      <c r="DG27">
        <f>AX27*(c_Stroke1+c_Stroke2+c_MI2+c_DM)</f>
        <v>14.618083819296794</v>
      </c>
      <c r="DH27">
        <f>AY27*(c_Stroke2+c_MI1+c_MI2+c_DM)</f>
        <v>14.743317724996448</v>
      </c>
      <c r="DI27">
        <f>AZ27*(c_Stroke2+c_MI2+c_DM)</f>
        <v>26.377644912144284</v>
      </c>
      <c r="DJ27">
        <f>BA27*(c_HF1+c_DM)</f>
        <v>67.403029842036645</v>
      </c>
      <c r="DK27">
        <f>BB27*(c_HF2+c_DM)</f>
        <v>451.92645765527692</v>
      </c>
      <c r="DL27">
        <f>BC27*(c_Stroke2+c_HF1+c_DM)</f>
        <v>5.5737468285529044</v>
      </c>
      <c r="DM27">
        <f>BD27*(c_Stroke1+c_Stroke2+c_HF2+c_DM)</f>
        <v>12.459457085344017</v>
      </c>
      <c r="DN27">
        <f>BE27*(c_Stroke2+c_HF2+c_DM)</f>
        <v>29.721865803930172</v>
      </c>
      <c r="DO27">
        <f t="shared" si="20"/>
        <v>0</v>
      </c>
      <c r="DP27">
        <f t="shared" si="21"/>
        <v>9825.7032946338713</v>
      </c>
      <c r="DQ27">
        <f>DP27/(1+r_)^A27</f>
        <v>4833.5949338926685</v>
      </c>
    </row>
    <row r="28" spans="1:121" x14ac:dyDescent="0.3">
      <c r="A28">
        <v>25</v>
      </c>
      <c r="B28">
        <v>70</v>
      </c>
      <c r="C28">
        <f t="shared" si="0"/>
        <v>38</v>
      </c>
      <c r="D28">
        <f t="shared" si="1"/>
        <v>125</v>
      </c>
      <c r="E28">
        <f t="shared" si="2"/>
        <v>5.7</v>
      </c>
      <c r="F28">
        <v>1.455E-2</v>
      </c>
      <c r="G28">
        <v>2.213E-2</v>
      </c>
      <c r="H28">
        <f t="shared" si="3"/>
        <v>1.6066E-2</v>
      </c>
      <c r="I28">
        <f t="shared" si="22"/>
        <v>5.6857293942168513E-2</v>
      </c>
      <c r="J28">
        <f t="shared" si="23"/>
        <v>0.246037305724087</v>
      </c>
      <c r="K28">
        <f t="shared" si="24"/>
        <v>0.32666757010704806</v>
      </c>
      <c r="L28">
        <f t="shared" si="25"/>
        <v>0.1251420063994495</v>
      </c>
      <c r="M28">
        <f t="shared" si="26"/>
        <v>0.17075271383933976</v>
      </c>
      <c r="N28">
        <f t="shared" si="27"/>
        <v>0.52513024812931186</v>
      </c>
      <c r="O28">
        <f t="shared" si="28"/>
        <v>0.6508569823978676</v>
      </c>
      <c r="P28">
        <f t="shared" si="29"/>
        <v>0.30671754754998803</v>
      </c>
      <c r="Q28">
        <f t="shared" si="30"/>
        <v>0.40405265912515242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2.0187343254541034E-2</v>
      </c>
      <c r="U28">
        <f t="shared" si="31"/>
        <v>0.45915168925590943</v>
      </c>
      <c r="V28">
        <f t="shared" si="32"/>
        <v>0.57716151785248293</v>
      </c>
      <c r="W28">
        <f t="shared" si="33"/>
        <v>0.25245345353135118</v>
      </c>
      <c r="X28">
        <f t="shared" si="34"/>
        <v>0.3346786767307669</v>
      </c>
      <c r="Y28">
        <f t="shared" si="35"/>
        <v>0.7183938651443259</v>
      </c>
      <c r="Z28">
        <f t="shared" si="36"/>
        <v>0.83314070633619997</v>
      </c>
      <c r="AA28">
        <f t="shared" si="37"/>
        <v>0.46385234134961584</v>
      </c>
      <c r="AB28">
        <f t="shared" si="38"/>
        <v>0.58554071288945997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3.5406707340917706E-2</v>
      </c>
      <c r="AD28">
        <f t="shared" si="40"/>
        <v>0.1419024426332291</v>
      </c>
      <c r="AE28">
        <f t="shared" si="41"/>
        <v>2.4633581933172558E-2</v>
      </c>
      <c r="AF28">
        <f t="shared" si="42"/>
        <v>1.6410497927828232E-3</v>
      </c>
      <c r="AG28">
        <f t="shared" si="43"/>
        <v>7.0331991746178397E-3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8.650092203626844E-4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4.8254485263183695E-3</v>
      </c>
      <c r="AJ28">
        <f t="shared" si="44"/>
        <v>5.0843007561383893E-5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4.1600350111426722E-5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1.7728308409209793E-4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3.6127505468583722E-4</v>
      </c>
      <c r="AN28">
        <f t="shared" si="45"/>
        <v>3.9316020898369072E-3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1.6906949718365241E-5</v>
      </c>
      <c r="AP28">
        <f>AM27*T27*p_Stroke*p_Stroke_rec*(1-I27) + AN27*T27*p_Stroke*p_Stroke_rec*(1-I27) + AO27*(p_recur_Stroke*p_Stroke_rec)*(1-I27) + AP27*(p_recur_Stroke*p_Stroke_rec)*(1-I27) + AQ27*(p_recur_Stroke*p_Stroke_rec)*(1-I27)</f>
        <v>3.5779832850069086E-5</v>
      </c>
      <c r="AQ28">
        <f>AO27*(1-p_recur_Stroke-H27*rr_Stroke*rr_HF)*(1-I27) + AP27*(1-p_recur_Stroke-H27*rr_Stroke*rr_HF)*(1-I27) + AQ27*(1-p_recur_Stroke-H27*rr_Stroke*rr_HF)*(1-I27)</f>
        <v>1.372303452159845E-4</v>
      </c>
      <c r="AR28">
        <f>AR27*(1-AC27-H27*rr_DM) + AD27*(1-T27-H27)*I27</f>
        <v>0.38735688293933401</v>
      </c>
      <c r="AS28">
        <f>AR27*AC27*p_Other + AD27*T27*p_Other*I27 + AE27*(1-T27*p_Stroke-T27*p_MI-H27*rr_Other)*I27 + AS27*(1-AC27*p_Stroke-AC27*p_MI-H27*rr_Other*rr_DM)</f>
        <v>0.1096062300810722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8.1624558354080889E-3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3.3028603542486643E-2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4.4366147146547592E-3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2.3386918837518467E-2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4.1329280314885124E-4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3.3864356209224928E-4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1.3567438495040265E-3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1.8108886607797001E-3</v>
      </c>
      <c r="BB28">
        <f>AM27*(1-T27*p_Stroke - H27*rr_HF)*I27 + AN27*(1-T27*p_Stroke - H27*rr_HF)*I27 + BA27*(1-AC27*p_Stroke - H27*rr_HF*rr_DM) + BB27*(1-AC27*p_Stroke - H27*rr_HF*rr_DM)</f>
        <v>1.7993231558995751E-2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1.3475418053913107E-4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2.750456953523031E-4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9.9180913374078469E-4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0.22505463261081704</v>
      </c>
      <c r="BG28">
        <f t="shared" si="16"/>
        <v>0.99999999999999922</v>
      </c>
      <c r="BH28">
        <f>(0.9442 - 0.0007*$B28 - dis_BMI*($C28-21.75))*AD28</f>
        <v>0.11942154815905977</v>
      </c>
      <c r="BI28">
        <f>0.959*(0.9442 - 0.0007*$B28 - dis_BMI*($C28-21.75))*AE28</f>
        <v>1.9881035440077896E-2</v>
      </c>
      <c r="BJ28">
        <f>(0.943*(0.9442 - 0.0007*$B28 - dis_BMI*($C28-21.75)) - 0.19*0.5)*AF28</f>
        <v>1.1464459597232475E-3</v>
      </c>
      <c r="BK28">
        <f>(0.943*(0.9442 - 0.0007*$B28 - dis_BMI*($C28-21.75)))*AG28</f>
        <v>5.5815836134424047E-3</v>
      </c>
      <c r="BL28">
        <f>(0.955*(0.9442 - 0.0007*$B28 - dis_BMI*($C28-21.75)) - 0.15*0.5)*AH28</f>
        <v>6.3033578704132208E-4</v>
      </c>
      <c r="BM28">
        <f>(0.955*(0.9442 - 0.0007*$B28 - dis_BMI*($C28-21.75)))*AI28</f>
        <v>3.878232885577244E-3</v>
      </c>
      <c r="BN28">
        <f>(0.955*0.943*(0.9442 - 0.0007*$B28 - dis_BMI*($C28-21.75)) - 0.19*0.5)*AJ28</f>
        <v>3.3703473296602999E-5</v>
      </c>
      <c r="BO28">
        <f>(0.955*0.943*(0.9442 - 0.0007*$B28 - dis_BMI*($C28-21.75)) - 0.15*0.5)*AK28</f>
        <v>2.840858746743898E-5</v>
      </c>
      <c r="BP28">
        <f>(0.955*0.943*(0.9442 - 0.0007*$B28 - dis_BMI*($C28-21.75)))*AL28</f>
        <v>1.3436160665682113E-4</v>
      </c>
      <c r="BQ28">
        <f>(0.93*(0.9442 - 0.0007*$B28 - dis_BMI*($C28-21.75)))*AM28</f>
        <v>2.827572503569271E-4</v>
      </c>
      <c r="BR28">
        <f>(0.93*(0.9442 - 0.0007*$B28 - dis_BMI*($C28-21.75)))*AN28</f>
        <v>3.0771263667416808E-3</v>
      </c>
      <c r="BS28">
        <f>(0.93*0.943*(0.9442 - 0.0007*$B28 - dis_BMI*($C28-21.75)))*AO28</f>
        <v>1.2478222580835448E-5</v>
      </c>
      <c r="BT28">
        <f>(0.93*0.943*(0.9442 - 0.0007*$B28 - dis_BMI*($C28-21.75))-0.19*0.5)*AP28</f>
        <v>2.3008323817724002E-5</v>
      </c>
      <c r="BU28">
        <f>(0.93*0.943*(0.9442 - 0.0007*$B28 - dis_BMI*($C28-21.75)))*AQ28</f>
        <v>1.0128324866252191E-4</v>
      </c>
      <c r="BV28">
        <f>0.962*(0.9442 - 0.0007*$B28 - dis_BMI*($C28-21.75))*AR28</f>
        <v>0.31360225374680256</v>
      </c>
      <c r="BW28">
        <f>0.962*0.959*(0.9442 - 0.0007*$B28 - dis_BMI*($C28-21.75))*AS28</f>
        <v>8.5098468719799925E-2</v>
      </c>
      <c r="BX28">
        <f>0.962*(0.943*(0.9442 - 0.0007*$B28 - dis_BMI*($C28-21.75)) - 0.19*0.5)*AT28</f>
        <v>5.4856455922208131E-3</v>
      </c>
      <c r="BY28">
        <f>0.962*(0.943*(0.9442 - 0.0007*$B28 - dis_BMI*($C28-21.75)))*AU28</f>
        <v>2.5215628796631615E-2</v>
      </c>
      <c r="BZ28">
        <f>0.962*(0.955*(0.9442 - 0.0007*$B28 - dis_BMI*($C28-21.75)) - 0.15*0.5)*AV28</f>
        <v>3.1101262247476449E-3</v>
      </c>
      <c r="CA28">
        <f>0.962*(0.955*(0.9442 - 0.0007*$B28 - dis_BMI*($C28-21.75)))*AW28</f>
        <v>1.8081908941405149E-2</v>
      </c>
      <c r="CB28">
        <f>0.962*(0.955*0.943*(0.9442 - 0.0007*$B28 - dis_BMI*($C28-21.75)) - 0.19*0.5)*AX28</f>
        <v>2.6355808369818163E-4</v>
      </c>
      <c r="CC28">
        <f>0.962*(0.955*0.943*(0.9442 - 0.0007*$B28 - dis_BMI*($C28-21.75)) - 0.15*0.5)*AY28</f>
        <v>2.2246953666357064E-4</v>
      </c>
      <c r="CD28">
        <f>0.962*(0.955*0.943*(0.9442 - 0.0007*$B28 - dis_BMI*($C28-21.75)))*AZ28</f>
        <v>9.8919251979650885E-4</v>
      </c>
      <c r="CE28">
        <f>0.962*(0.93*(0.9442 - 0.0007*$B28 - dis_BMI*($C28-21.75)))*BA28</f>
        <v>1.3634606095702336E-3</v>
      </c>
      <c r="CF28">
        <f>0.962*(0.93*(0.9442 - 0.0007*$B28 - dis_BMI*($C28-21.75)))*BB28</f>
        <v>1.3547526692780606E-2</v>
      </c>
      <c r="CG28">
        <f>0.962*(0.93*0.943*(0.9442 - 0.0007*$B28 - dis_BMI*($C28-21.75)))*BC28</f>
        <v>9.5676391329570131E-5</v>
      </c>
      <c r="CH28">
        <f>0.962*(0.93*0.943*(0.9442 - 0.0007*$B28 - dis_BMI*($C28-21.75))-0.19*0.5)*BD28</f>
        <v>1.7014790182951625E-4</v>
      </c>
      <c r="CI28">
        <f>0.962*(0.93*0.943*(0.9442 - 0.0007*$B28 - dis_BMI*($C28-21.75)))*BE28</f>
        <v>7.0419127944212098E-4</v>
      </c>
      <c r="CJ28">
        <f t="shared" si="17"/>
        <v>0</v>
      </c>
      <c r="CK28">
        <f t="shared" si="18"/>
        <v>0.62218256396122051</v>
      </c>
      <c r="CL28">
        <f>CK28/(1+r_)^A28</f>
        <v>0.29715785764537772</v>
      </c>
      <c r="CM28">
        <f t="shared" si="19"/>
        <v>0</v>
      </c>
      <c r="CN28">
        <f>AE28*c_Other</f>
        <v>351.74291642377096</v>
      </c>
      <c r="CO28">
        <f>AF28*(c_Stroke1+c_Stroke2)</f>
        <v>39.08324186491572</v>
      </c>
      <c r="CP28">
        <f>AG28*c_Stroke2</f>
        <v>45.715794635015961</v>
      </c>
      <c r="CQ28">
        <f>AH28*(c_MI1+c_MI2)</f>
        <v>25.215883782792613</v>
      </c>
      <c r="CR28">
        <f>AI28*c_MI2</f>
        <v>15.040923056534357</v>
      </c>
      <c r="CS28">
        <f>AJ28*(c_Stroke1+c_Stroke2+c_MI2)</f>
        <v>1.3693547226507523</v>
      </c>
      <c r="CT28">
        <f>AK28*(c_Stroke2+c_MI1+c_MI2)</f>
        <v>1.483094081822474</v>
      </c>
      <c r="CU28">
        <f>AL28*(c_Stroke2+c_MI2)</f>
        <v>1.7049314197137058</v>
      </c>
      <c r="CV28">
        <f>AM28*(c_HF1)</f>
        <v>9.765264728158181</v>
      </c>
      <c r="CW28">
        <f>AN28*(c_HF2)</f>
        <v>61.352650611904934</v>
      </c>
      <c r="CX28">
        <f>AO28*(c_Stroke2+c_HF1)</f>
        <v>0.56689002405678657</v>
      </c>
      <c r="CY28">
        <f>AP28*(c_Stroke1+c_Stroke2+c_HF2)</f>
        <v>1.4104767907825735</v>
      </c>
      <c r="CZ28">
        <f>AQ28*(c_Stroke2+c_HF2)</f>
        <v>3.0334767809993375</v>
      </c>
      <c r="DA28">
        <f>AR28*c_DM</f>
        <v>4425.5523875818908</v>
      </c>
      <c r="DB28">
        <f>AS28*(c_Other+c_DM)</f>
        <v>2817.3185380038799</v>
      </c>
      <c r="DC28">
        <f>AT28*(c_Stroke1+c_Stroke2+c_DM)</f>
        <v>287.65310609561647</v>
      </c>
      <c r="DD28">
        <f>AU28*(c_Stroke2+c_DM)</f>
        <v>592.03771849907309</v>
      </c>
      <c r="DE28">
        <f>AV28*(c_MI1+c_MI2+c_DM)</f>
        <v>180.02007866183152</v>
      </c>
      <c r="DF28">
        <f>AW28*(c_MI2+c_DM)</f>
        <v>340.09257373519353</v>
      </c>
      <c r="DG28">
        <f>AX28*(c_Stroke1+c_Stroke2+c_MI2+c_DM)</f>
        <v>15.853085343183636</v>
      </c>
      <c r="DH28">
        <f>AY28*(c_Stroke2+c_MI1+c_MI2+c_DM)</f>
        <v>15.941984329054728</v>
      </c>
      <c r="DI28">
        <f>AZ28*(c_Stroke2+c_MI2+c_DM)</f>
        <v>28.548604081263726</v>
      </c>
      <c r="DJ28">
        <f>BA28*(c_HF1+c_DM)</f>
        <v>69.637723450283374</v>
      </c>
      <c r="DK28">
        <f>BB28*(c_HF2+c_DM)</f>
        <v>486.35704903965512</v>
      </c>
      <c r="DL28">
        <f>BC28*(c_Stroke2+c_HF1+c_DM)</f>
        <v>6.0578741861366368</v>
      </c>
      <c r="DM28">
        <f>BD28*(c_Stroke1+c_Stroke2+c_HF2+c_DM)</f>
        <v>13.984973425883204</v>
      </c>
      <c r="DN28">
        <f>BE28*(c_Stroke2+c_HF2+c_DM)</f>
        <v>33.255360254328508</v>
      </c>
      <c r="DO28">
        <f t="shared" si="20"/>
        <v>0</v>
      </c>
      <c r="DP28">
        <f t="shared" si="21"/>
        <v>9869.7959556103942</v>
      </c>
      <c r="DQ28">
        <f>DP28/(1+r_)^A28</f>
        <v>4713.8695158757282</v>
      </c>
    </row>
    <row r="29" spans="1:121" x14ac:dyDescent="0.3">
      <c r="A29">
        <v>26</v>
      </c>
      <c r="B29">
        <v>71</v>
      </c>
      <c r="C29">
        <f t="shared" si="0"/>
        <v>38</v>
      </c>
      <c r="D29">
        <f t="shared" si="1"/>
        <v>125</v>
      </c>
      <c r="E29">
        <f t="shared" si="2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22"/>
        <v>5.6857293942168513E-2</v>
      </c>
      <c r="J29">
        <f t="shared" si="23"/>
        <v>0.25437006296206588</v>
      </c>
      <c r="K29">
        <f t="shared" si="24"/>
        <v>0.33706640074109129</v>
      </c>
      <c r="L29">
        <f t="shared" si="25"/>
        <v>0.12973264095609505</v>
      </c>
      <c r="M29">
        <f t="shared" si="26"/>
        <v>0.17684026473054815</v>
      </c>
      <c r="N29">
        <f t="shared" si="27"/>
        <v>0.54083045133893426</v>
      </c>
      <c r="O29">
        <f t="shared" si="28"/>
        <v>0.66705560749308024</v>
      </c>
      <c r="P29">
        <f t="shared" si="29"/>
        <v>0.31808866380239886</v>
      </c>
      <c r="Q29">
        <f t="shared" si="30"/>
        <v>0.41781718834567838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2.0883538274439443E-2</v>
      </c>
      <c r="U29">
        <f t="shared" si="31"/>
        <v>0.47207591036825247</v>
      </c>
      <c r="V29">
        <f t="shared" si="32"/>
        <v>0.59124437084385861</v>
      </c>
      <c r="W29">
        <f t="shared" si="33"/>
        <v>0.26096388993323749</v>
      </c>
      <c r="X29">
        <f t="shared" si="34"/>
        <v>0.34526224264919503</v>
      </c>
      <c r="Y29">
        <f t="shared" si="35"/>
        <v>0.73405272119985676</v>
      </c>
      <c r="Z29">
        <f t="shared" si="36"/>
        <v>0.84609863008851249</v>
      </c>
      <c r="AA29">
        <f t="shared" si="37"/>
        <v>0.4787301131815328</v>
      </c>
      <c r="AB29">
        <f t="shared" si="38"/>
        <v>0.60169785945512144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3.6461291327319463E-2</v>
      </c>
      <c r="AD29">
        <f t="shared" si="40"/>
        <v>0.12898231460122045</v>
      </c>
      <c r="AE29">
        <f t="shared" si="41"/>
        <v>2.3798698439684709E-2</v>
      </c>
      <c r="AF29">
        <f t="shared" si="42"/>
        <v>1.5741234122482004E-3</v>
      </c>
      <c r="AG29">
        <f t="shared" si="43"/>
        <v>6.751597001168219E-3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8.2713865727095299E-4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4.6416967878371487E-3</v>
      </c>
      <c r="AJ29">
        <f t="shared" si="44"/>
        <v>5.1010247240154918E-5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4.1675081266635392E-5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1.7691518005526089E-4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3.4687280343094094E-4</v>
      </c>
      <c r="AN29">
        <f t="shared" si="45"/>
        <v>3.9116095739005321E-3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1.698045667277805E-5</v>
      </c>
      <c r="AP29">
        <f>AM28*T28*p_Stroke*p_Stroke_rec*(1-I28) + AN28*T28*p_Stroke*p_Stroke_rec*(1-I28) + AO28*(p_recur_Stroke*p_Stroke_rec)*(1-I28) + AP28*(p_recur_Stroke*p_Stroke_rec)*(1-I28) + AQ28*(p_recur_Stroke*p_Stroke_rec)*(1-I28)</f>
        <v>3.7069737871931382E-5</v>
      </c>
      <c r="AQ29">
        <f>AO28*(1-p_recur_Stroke-H28*rr_Stroke*rr_HF)*(1-I28) + AP28*(1-p_recur_Stroke-H28*rr_Stroke*rr_HF)*(1-I28) + AQ28*(1-p_recur_Stroke-H28*rr_Stroke*rr_HF)*(1-I28)</f>
        <v>1.4123143049237077E-4</v>
      </c>
      <c r="AR29">
        <f>AR28*(1-AC28-H28*rr_DM) + AD28*(1-T28-H28)*I28</f>
        <v>0.37426077418568038</v>
      </c>
      <c r="AS29">
        <f>AR28*AC28*p_Other + AD28*T28*p_Other*I28 + AE28*(1-T28*p_Stroke-T28*p_MI-H28*rr_Other)*I28 + AS28*(1-AC28*p_Stroke-AC28*p_MI-H28*rr_Other*rr_DM)</f>
        <v>0.11299020229600974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8.3656659776668411E-3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3.3952233938273811E-2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4.5303190033377516E-3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2.4140299996817865E-2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4.4432900756286064E-4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3.6282581858545072E-4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1.4520099972720412E-3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1.8611671536189157E-3</v>
      </c>
      <c r="BB29">
        <f>AM28*(1-T28*p_Stroke - H28*rr_HF)*I28 + AN28*(1-T28*p_Stroke - H28*rr_HF)*I28 + BA28*(1-AC28*p_Stroke - H28*rr_HF*rr_DM) + BB28*(1-AC28*p_Stroke - H28*rr_HF*rr_DM)</f>
        <v>1.9212719559224441E-2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1.4502047316370439E-4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3.0534602383475553E-4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1.0944109709888133E-3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0.24558374218760176</v>
      </c>
      <c r="BG29">
        <f t="shared" si="16"/>
        <v>0.99999999999999956</v>
      </c>
      <c r="BH29">
        <f>(0.9442 - 0.0007*$B29 - dis_BMI*($C29-21.75))*AD29</f>
        <v>0.10845800379030125</v>
      </c>
      <c r="BI29">
        <f>0.959*(0.9442 - 0.0007*$B29 - dis_BMI*($C29-21.75))*AE29</f>
        <v>1.9191249597900615E-2</v>
      </c>
      <c r="BJ29">
        <f>(0.943*(0.9442 - 0.0007*$B29 - dis_BMI*($C29-21.75)) - 0.19*0.5)*AF29</f>
        <v>1.0986517617269968E-3</v>
      </c>
      <c r="BK29">
        <f>(0.943*(0.9442 - 0.0007*$B29 - dis_BMI*($C29-21.75)))*AG29</f>
        <v>5.3536459280409589E-3</v>
      </c>
      <c r="BL29">
        <f>(0.955*(0.9442 - 0.0007*$B29 - dis_BMI*($C29-21.75)) - 0.15*0.5)*AH29</f>
        <v>6.0218640930791915E-4</v>
      </c>
      <c r="BM29">
        <f>(0.955*(0.9442 - 0.0007*$B29 - dis_BMI*($C29-21.75)))*AI29</f>
        <v>3.7274478810812974E-3</v>
      </c>
      <c r="BN29">
        <f>(0.955*0.943*(0.9442 - 0.0007*$B29 - dis_BMI*($C29-21.75)) - 0.19*0.5)*AJ29</f>
        <v>3.3782178676975182E-5</v>
      </c>
      <c r="BO29">
        <f>(0.955*0.943*(0.9442 - 0.0007*$B29 - dis_BMI*($C29-21.75)) - 0.15*0.5)*AK29</f>
        <v>2.8433349065763626E-5</v>
      </c>
      <c r="BP29">
        <f>(0.955*0.943*(0.9442 - 0.0007*$B29 - dis_BMI*($C29-21.75)))*AL29</f>
        <v>1.3397124823296712E-4</v>
      </c>
      <c r="BQ29">
        <f>(0.93*(0.9442 - 0.0007*$B29 - dis_BMI*($C29-21.75)))*AM29</f>
        <v>2.71259301784043E-4</v>
      </c>
      <c r="BR29">
        <f>(0.93*(0.9442 - 0.0007*$B29 - dis_BMI*($C29-21.75)))*AN29</f>
        <v>3.0589324714218576E-3</v>
      </c>
      <c r="BS29">
        <f>(0.93*0.943*(0.9442 - 0.0007*$B29 - dis_BMI*($C29-21.75)))*AO29</f>
        <v>1.252205041522636E-5</v>
      </c>
      <c r="BT29">
        <f>(0.93*0.943*(0.9442 - 0.0007*$B29 - dis_BMI*($C29-21.75))-0.19*0.5)*AP29</f>
        <v>2.3815044077602074E-5</v>
      </c>
      <c r="BU29">
        <f>(0.93*0.943*(0.9442 - 0.0007*$B29 - dis_BMI*($C29-21.75)))*AQ29</f>
        <v>1.0414956010430264E-4</v>
      </c>
      <c r="BV29">
        <f>0.962*(0.9442 - 0.0007*$B29 - dis_BMI*($C29-21.75))*AR29</f>
        <v>0.30274768041063538</v>
      </c>
      <c r="BW29">
        <f>0.962*0.959*(0.9442 - 0.0007*$B29 - dis_BMI*($C29-21.75))*AS29</f>
        <v>8.7652822655002391E-2</v>
      </c>
      <c r="BX29">
        <f>0.962*(0.943*(0.9442 - 0.0007*$B29 - dis_BMI*($C29-21.75)) - 0.19*0.5)*AT29</f>
        <v>5.6169023066042758E-3</v>
      </c>
      <c r="BY29">
        <f>0.962*(0.943*(0.9442 - 0.0007*$B29 - dis_BMI*($C29-21.75)))*AU29</f>
        <v>2.5899212565613648E-2</v>
      </c>
      <c r="BZ29">
        <f>0.962*(0.955*(0.9442 - 0.0007*$B29 - dis_BMI*($C29-21.75)) - 0.15*0.5)*AV29</f>
        <v>3.1729007492166911E-3</v>
      </c>
      <c r="CA29">
        <f>0.962*(0.955*(0.9442 - 0.0007*$B29 - dis_BMI*($C29-21.75)))*AW29</f>
        <v>1.8648871101598113E-2</v>
      </c>
      <c r="CB29">
        <f>0.962*(0.955*0.943*(0.9442 - 0.0007*$B29 - dis_BMI*($C29-21.75)) - 0.19*0.5)*AX29</f>
        <v>2.830805070150724E-4</v>
      </c>
      <c r="CC29">
        <f>0.962*(0.955*0.943*(0.9442 - 0.0007*$B29 - dis_BMI*($C29-21.75)) - 0.15*0.5)*AY29</f>
        <v>2.3813586989115769E-4</v>
      </c>
      <c r="CD29">
        <f>0.962*(0.955*0.943*(0.9442 - 0.0007*$B29 - dis_BMI*($C29-21.75)))*AZ29</f>
        <v>1.0577698490041414E-3</v>
      </c>
      <c r="CE29">
        <f>0.962*(0.93*(0.9442 - 0.0007*$B29 - dis_BMI*($C29-21.75)))*BA29</f>
        <v>1.400150889581577E-3</v>
      </c>
      <c r="CF29">
        <f>0.962*(0.93*(0.9442 - 0.0007*$B29 - dis_BMI*($C29-21.75)))*BB29</f>
        <v>1.4453675657139569E-2</v>
      </c>
      <c r="CG29">
        <f>0.962*(0.93*0.943*(0.9442 - 0.0007*$B29 - dis_BMI*($C29-21.75)))*BC29</f>
        <v>1.0287988539796077E-4</v>
      </c>
      <c r="CH29">
        <f>0.962*(0.93*0.943*(0.9442 - 0.0007*$B29 - dis_BMI*($C29-21.75))-0.19*0.5)*BD29</f>
        <v>1.887118689127122E-4</v>
      </c>
      <c r="CI29">
        <f>0.962*(0.93*0.943*(0.9442 - 0.0007*$B29 - dis_BMI*($C29-21.75)))*BE29</f>
        <v>7.7639296588490059E-4</v>
      </c>
      <c r="CJ29">
        <f t="shared" si="17"/>
        <v>0</v>
      </c>
      <c r="CK29">
        <f t="shared" si="18"/>
        <v>0.60433723785363547</v>
      </c>
      <c r="CL29">
        <f>CK29/(1+r_)^A29</f>
        <v>0.28022799078748012</v>
      </c>
      <c r="CM29">
        <f t="shared" si="19"/>
        <v>0</v>
      </c>
      <c r="CN29">
        <f>AE29*c_Other</f>
        <v>339.82161502025798</v>
      </c>
      <c r="CO29">
        <f>AF29*(c_Stroke1+c_Stroke2)</f>
        <v>37.489323186103142</v>
      </c>
      <c r="CP29">
        <f>AG29*c_Stroke2</f>
        <v>43.885380507593425</v>
      </c>
      <c r="CQ29">
        <f>AH29*(c_MI1+c_MI2)</f>
        <v>24.111918998105551</v>
      </c>
      <c r="CR29">
        <f>AI29*c_MI2</f>
        <v>14.468168887688392</v>
      </c>
      <c r="CS29">
        <f>AJ29*(c_Stroke1+c_Stroke2+c_MI2)</f>
        <v>1.3738589889190924</v>
      </c>
      <c r="CT29">
        <f>AK29*(c_Stroke2+c_MI1+c_MI2)</f>
        <v>1.4857583222368185</v>
      </c>
      <c r="CU29">
        <f>AL29*(c_Stroke2+c_MI2)</f>
        <v>1.7013932865914438</v>
      </c>
      <c r="CV29">
        <f>AM29*(c_HF1)</f>
        <v>9.3759718767383333</v>
      </c>
      <c r="CW29">
        <f>AN29*(c_HF2)</f>
        <v>61.040667400717801</v>
      </c>
      <c r="CX29">
        <f>AO29*(c_Stroke2+c_HF1)</f>
        <v>0.56935471223824807</v>
      </c>
      <c r="CY29">
        <f>AP29*(c_Stroke1+c_Stroke2+c_HF2)</f>
        <v>1.461326136649407</v>
      </c>
      <c r="CZ29">
        <f>AQ29*(c_Stroke2+c_HF2)</f>
        <v>3.1219207710338561</v>
      </c>
      <c r="DA29">
        <f>AR29*c_DM</f>
        <v>4275.9293450713985</v>
      </c>
      <c r="DB29">
        <f>AS29*(c_Other+c_DM)</f>
        <v>2904.3001598166343</v>
      </c>
      <c r="DC29">
        <f>AT29*(c_Stroke1+c_Stroke2+c_DM)</f>
        <v>294.81443471895716</v>
      </c>
      <c r="DD29">
        <f>AU29*(c_Stroke2+c_DM)</f>
        <v>608.5937933435581</v>
      </c>
      <c r="DE29">
        <f>AV29*(c_MI1+c_MI2+c_DM)</f>
        <v>183.82222387943261</v>
      </c>
      <c r="DF29">
        <f>AW29*(c_MI2+c_DM)</f>
        <v>351.0482425537254</v>
      </c>
      <c r="DG29">
        <f>AX29*(c_Stroke1+c_Stroke2+c_MI2+c_DM)</f>
        <v>17.043572072096207</v>
      </c>
      <c r="DH29">
        <f>AY29*(c_Stroke2+c_MI1+c_MI2+c_DM)</f>
        <v>17.080388235728677</v>
      </c>
      <c r="DI29">
        <f>AZ29*(c_Stroke2+c_MI2+c_DM)</f>
        <v>30.55319436259829</v>
      </c>
      <c r="DJ29">
        <f>BA29*(c_HF1+c_DM)</f>
        <v>71.571182892415408</v>
      </c>
      <c r="DK29">
        <f>BB29*(c_HF2+c_DM)</f>
        <v>519.31980968583662</v>
      </c>
      <c r="DL29">
        <f>BC29*(c_Stroke2+c_HF1+c_DM)</f>
        <v>6.5193953710743306</v>
      </c>
      <c r="DM29">
        <f>BD29*(c_Stroke1+c_Stroke2+c_HF2+c_DM)</f>
        <v>15.525623927901979</v>
      </c>
      <c r="DN29">
        <f>BE29*(c_Stroke2+c_HF2+c_DM)</f>
        <v>36.695599857254912</v>
      </c>
      <c r="DO29">
        <f t="shared" si="20"/>
        <v>0</v>
      </c>
      <c r="DP29">
        <f t="shared" si="21"/>
        <v>9872.7236238834867</v>
      </c>
      <c r="DQ29">
        <f>DP29/(1+r_)^A29</f>
        <v>4577.9298898523375</v>
      </c>
    </row>
    <row r="30" spans="1:121" x14ac:dyDescent="0.3">
      <c r="A30">
        <v>27</v>
      </c>
      <c r="B30">
        <v>72</v>
      </c>
      <c r="C30">
        <f t="shared" si="0"/>
        <v>38</v>
      </c>
      <c r="D30">
        <f t="shared" si="1"/>
        <v>125</v>
      </c>
      <c r="E30">
        <f t="shared" si="2"/>
        <v>5.7</v>
      </c>
      <c r="F30">
        <v>1.686E-2</v>
      </c>
      <c r="G30">
        <v>2.496E-2</v>
      </c>
      <c r="H30">
        <f t="shared" si="3"/>
        <v>1.848E-2</v>
      </c>
      <c r="I30">
        <f t="shared" si="22"/>
        <v>5.6857293942168513E-2</v>
      </c>
      <c r="J30">
        <f t="shared" si="23"/>
        <v>0.26281177699647729</v>
      </c>
      <c r="K30">
        <f t="shared" si="24"/>
        <v>0.34755384881907236</v>
      </c>
      <c r="L30">
        <f t="shared" si="25"/>
        <v>0.13441093349901878</v>
      </c>
      <c r="M30">
        <f t="shared" si="26"/>
        <v>0.18303083967853306</v>
      </c>
      <c r="N30">
        <f t="shared" si="27"/>
        <v>0.55646226558813883</v>
      </c>
      <c r="O30">
        <f t="shared" si="28"/>
        <v>0.68295799046913164</v>
      </c>
      <c r="P30">
        <f t="shared" si="29"/>
        <v>0.32960826512571439</v>
      </c>
      <c r="Q30">
        <f t="shared" si="30"/>
        <v>0.43166512293095105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2.1588240604377047E-2</v>
      </c>
      <c r="U30">
        <f t="shared" si="31"/>
        <v>0.48499701284412799</v>
      </c>
      <c r="V30">
        <f t="shared" si="32"/>
        <v>0.60518646373288876</v>
      </c>
      <c r="W30">
        <f t="shared" si="33"/>
        <v>0.26958267187073581</v>
      </c>
      <c r="X30">
        <f t="shared" si="34"/>
        <v>0.35593091277071598</v>
      </c>
      <c r="Y30">
        <f t="shared" si="35"/>
        <v>0.74927454350592859</v>
      </c>
      <c r="Z30">
        <f t="shared" si="36"/>
        <v>0.85839648357306109</v>
      </c>
      <c r="AA30">
        <f t="shared" si="37"/>
        <v>0.49362568651647754</v>
      </c>
      <c r="AB30">
        <f t="shared" si="38"/>
        <v>0.61768464597743633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3.7518509224812972E-2</v>
      </c>
      <c r="AD30">
        <f t="shared" si="40"/>
        <v>0.11683003593280132</v>
      </c>
      <c r="AE30">
        <f t="shared" si="41"/>
        <v>2.2833200119473086E-2</v>
      </c>
      <c r="AF30">
        <f t="shared" si="42"/>
        <v>1.503645073598943E-3</v>
      </c>
      <c r="AG30">
        <f t="shared" si="43"/>
        <v>6.4136911130509575E-3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7.8859762502466965E-4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4.4384000548970074E-3</v>
      </c>
      <c r="AJ30">
        <f t="shared" si="44"/>
        <v>5.0864104110663273E-5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4.1474201798474357E-5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1.7348517986099082E-4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3.3198270113532366E-4</v>
      </c>
      <c r="AN30">
        <f t="shared" si="45"/>
        <v>3.8601678198099199E-3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1.6932938724707728E-5</v>
      </c>
      <c r="AP30">
        <f>AM29*T29*p_Stroke*p_Stroke_rec*(1-I29) + AN29*T29*p_Stroke*p_Stroke_rec*(1-I29) + AO29*(p_recur_Stroke*p_Stroke_rec)*(1-I29) + AP29*(p_recur_Stroke*p_Stroke_rec)*(1-I29) + AQ29*(p_recur_Stroke*p_Stroke_rec)*(1-I29)</f>
        <v>3.808140567894606E-5</v>
      </c>
      <c r="AQ30">
        <f>AO29*(1-p_recur_Stroke-H29*rr_Stroke*rr_HF)*(1-I29) + AP29*(1-p_recur_Stroke-H29*rr_Stroke*rr_HF)*(1-I29) + AQ29*(1-p_recur_Stroke-H29*rr_Stroke*rr_HF)*(1-I29)</f>
        <v>1.4242778021755824E-4</v>
      </c>
      <c r="AR30">
        <f>AR29*(1-AC29-H29*rr_DM) + AD29*(1-T29-H29)*I29</f>
        <v>0.35959730469678342</v>
      </c>
      <c r="AS30">
        <f>AR29*AC29*p_Other + AD29*T29*p_Other*I29 + AE29*(1-T29*p_Stroke-T29*p_MI-H29*rr_Other)*I29 + AS29*(1-AC29*p_Stroke-AC29*p_MI-H29*rr_Other*rr_DM)</f>
        <v>0.11539448551087446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8.5217865301185289E-3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3.4434238096106226E-2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4.6036386105541109E-3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2.4708844925056827E-2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4.7367796033126214E-4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3.852782789026949E-4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1.520461562993158E-3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1.9030360058725432E-3</v>
      </c>
      <c r="BB30">
        <f>AM29*(1-T29*p_Stroke - H29*rr_HF)*I29 + AN29*(1-T29*p_Stroke - H29*rr_HF)*I29 + BA29*(1-AC29*p_Stroke - H29*rr_HF*rr_DM) + BB29*(1-AC29*p_Stroke - H29*rr_HF*rr_DM)</f>
        <v>2.0303821035785888E-2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1.5458485756721381E-4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3.3542861301135546E-4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1.1784635061805567E-3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0.26902196375967857</v>
      </c>
      <c r="BG30">
        <f t="shared" si="16"/>
        <v>0.99999999999999944</v>
      </c>
      <c r="BH30">
        <f>(0.9442 - 0.0007*$B30 - dis_BMI*($C30-21.75))*AD30</f>
        <v>9.8157675439841344E-2</v>
      </c>
      <c r="BI30">
        <f>0.959*(0.9442 - 0.0007*$B30 - dis_BMI*($C30-21.75))*AE30</f>
        <v>1.8397344670052787E-2</v>
      </c>
      <c r="BJ30">
        <f>(0.943*(0.9442 - 0.0007*$B30 - dis_BMI*($C30-21.75)) - 0.19*0.5)*AF30</f>
        <v>1.0484691927355658E-3</v>
      </c>
      <c r="BK30">
        <f>(0.943*(0.9442 - 0.0007*$B30 - dis_BMI*($C30-21.75)))*AG30</f>
        <v>5.0814714238458557E-3</v>
      </c>
      <c r="BL30">
        <f>(0.955*(0.9442 - 0.0007*$B30 - dis_BMI*($C30-21.75)) - 0.15*0.5)*AH30</f>
        <v>5.73599987296022E-4</v>
      </c>
      <c r="BM30">
        <f>(0.955*(0.9442 - 0.0007*$B30 - dis_BMI*($C30-21.75)))*AI30</f>
        <v>3.561226291647554E-3</v>
      </c>
      <c r="BN30">
        <f>(0.955*0.943*(0.9442 - 0.0007*$B30 - dis_BMI*($C30-21.75)) - 0.19*0.5)*AJ30</f>
        <v>3.3653329046545068E-5</v>
      </c>
      <c r="BO30">
        <f>(0.955*0.943*(0.9442 - 0.0007*$B30 - dis_BMI*($C30-21.75)) - 0.15*0.5)*AK30</f>
        <v>2.8270151368479558E-5</v>
      </c>
      <c r="BP30">
        <f>(0.955*0.943*(0.9442 - 0.0007*$B30 - dis_BMI*($C30-21.75)))*AL30</f>
        <v>1.3126447311044635E-4</v>
      </c>
      <c r="BQ30">
        <f>(0.93*(0.9442 - 0.0007*$B30 - dis_BMI*($C30-21.75)))*AM30</f>
        <v>2.5939891631152463E-4</v>
      </c>
      <c r="BR30">
        <f>(0.93*(0.9442 - 0.0007*$B30 - dis_BMI*($C30-21.75)))*AN30</f>
        <v>3.0161913431481836E-3</v>
      </c>
      <c r="BS30">
        <f>(0.93*0.943*(0.9442 - 0.0007*$B30 - dis_BMI*($C30-21.75)))*AO30</f>
        <v>1.2476613816170533E-5</v>
      </c>
      <c r="BT30">
        <f>(0.93*0.943*(0.9442 - 0.0007*$B30 - dis_BMI*($C30-21.75))-0.19*0.5)*AP30</f>
        <v>2.4441600989352524E-5</v>
      </c>
      <c r="BU30">
        <f>(0.93*0.943*(0.9442 - 0.0007*$B30 - dis_BMI*($C30-21.75)))*AQ30</f>
        <v>1.0494435959163726E-4</v>
      </c>
      <c r="BV30">
        <f>0.962*(0.9442 - 0.0007*$B30 - dis_BMI*($C30-21.75))*AR30</f>
        <v>0.2906439281856224</v>
      </c>
      <c r="BW30">
        <f>0.962*0.959*(0.9442 - 0.0007*$B30 - dis_BMI*($C30-21.75))*AS30</f>
        <v>8.944343901021938E-2</v>
      </c>
      <c r="BX30">
        <f>0.962*(0.943*(0.9442 - 0.0007*$B30 - dis_BMI*($C30-21.75)) - 0.19*0.5)*AT30</f>
        <v>5.7163137966178236E-3</v>
      </c>
      <c r="BY30">
        <f>0.962*(0.943*(0.9442 - 0.0007*$B30 - dis_BMI*($C30-21.75)))*AU30</f>
        <v>2.6245025405577951E-2</v>
      </c>
      <c r="BZ30">
        <f>0.962*(0.955*(0.9442 - 0.0007*$B30 - dis_BMI*($C30-21.75)) - 0.15*0.5)*AV30</f>
        <v>3.221291036231224E-3</v>
      </c>
      <c r="CA30">
        <f>0.962*(0.955*(0.9442 - 0.0007*$B30 - dis_BMI*($C30-21.75)))*AW30</f>
        <v>1.9072193399734313E-2</v>
      </c>
      <c r="CB30">
        <f>0.962*(0.955*0.943*(0.9442 - 0.0007*$B30 - dis_BMI*($C30-21.75)) - 0.19*0.5)*AX30</f>
        <v>3.0149136801539927E-4</v>
      </c>
      <c r="CC30">
        <f>0.962*(0.955*0.943*(0.9442 - 0.0007*$B30 - dis_BMI*($C30-21.75)) - 0.15*0.5)*AY30</f>
        <v>2.5263859337098512E-4</v>
      </c>
      <c r="CD30">
        <f>0.962*(0.955*0.943*(0.9442 - 0.0007*$B30 - dis_BMI*($C30-21.75)))*AZ30</f>
        <v>1.1067138290353599E-3</v>
      </c>
      <c r="CE30">
        <f>0.962*(0.93*(0.9442 - 0.0007*$B30 - dis_BMI*($C30-21.75)))*BA30</f>
        <v>1.4304569119154783E-3</v>
      </c>
      <c r="CF30">
        <f>0.962*(0.93*(0.9442 - 0.0007*$B30 - dis_BMI*($C30-21.75)))*BB30</f>
        <v>1.5261792761308389E-2</v>
      </c>
      <c r="CG30">
        <f>0.962*(0.93*0.943*(0.9442 - 0.0007*$B30 - dis_BMI*($C30-21.75)))*BC30</f>
        <v>1.0957372303829161E-4</v>
      </c>
      <c r="CH30">
        <f>0.962*(0.93*0.943*(0.9442 - 0.0007*$B30 - dis_BMI*($C30-21.75))-0.19*0.5)*BD30</f>
        <v>2.0710560733974505E-4</v>
      </c>
      <c r="CI30">
        <f>0.962*(0.93*0.943*(0.9442 - 0.0007*$B30 - dis_BMI*($C30-21.75)))*BE30</f>
        <v>8.353252438119107E-4</v>
      </c>
      <c r="CJ30">
        <f t="shared" si="17"/>
        <v>0</v>
      </c>
      <c r="CK30">
        <f t="shared" si="18"/>
        <v>0.58427771666464012</v>
      </c>
      <c r="CL30">
        <f>CK30/(1+r_)^A30</f>
        <v>0.26303543357009912</v>
      </c>
      <c r="CM30">
        <f t="shared" si="19"/>
        <v>0</v>
      </c>
      <c r="CN30">
        <f>AE30*c_Other</f>
        <v>326.03526450595621</v>
      </c>
      <c r="CO30">
        <f>AF30*(c_Stroke1+c_Stroke2)</f>
        <v>35.810811072832429</v>
      </c>
      <c r="CP30">
        <f>AG30*c_Stroke2</f>
        <v>41.688992234831225</v>
      </c>
      <c r="CQ30">
        <f>AH30*(c_MI1+c_MI2)</f>
        <v>22.988409367094146</v>
      </c>
      <c r="CR30">
        <f>AI30*c_MI2</f>
        <v>13.834492971113972</v>
      </c>
      <c r="CS30">
        <f>AJ30*(c_Stroke1+c_Stroke2+c_MI2)</f>
        <v>1.3699229160124939</v>
      </c>
      <c r="CT30">
        <f>AK30*(c_Stroke2+c_MI1+c_MI2)</f>
        <v>1.4785967683174093</v>
      </c>
      <c r="CU30">
        <f>AL30*(c_Stroke2+c_MI2)</f>
        <v>1.6684069747231487</v>
      </c>
      <c r="CV30">
        <f>AM30*(c_HF1)</f>
        <v>8.9734924116877988</v>
      </c>
      <c r="CW30">
        <f>AN30*(c_HF2)</f>
        <v>60.2379188281338</v>
      </c>
      <c r="CX30">
        <f>AO30*(c_Stroke2+c_HF1)</f>
        <v>0.56776143543945012</v>
      </c>
      <c r="CY30">
        <f>AP30*(c_Stroke1+c_Stroke2+c_HF2)</f>
        <v>1.5012070932697326</v>
      </c>
      <c r="CZ30">
        <f>AQ30*(c_Stroke2+c_HF2)</f>
        <v>3.148366081709125</v>
      </c>
      <c r="DA30">
        <f>AR30*c_DM</f>
        <v>4108.3992061607505</v>
      </c>
      <c r="DB30">
        <f>AS30*(c_Other+c_DM)</f>
        <v>2966.0998555715173</v>
      </c>
      <c r="DC30">
        <f>AT30*(c_Stroke1+c_Stroke2+c_DM)</f>
        <v>300.31627910790706</v>
      </c>
      <c r="DD30">
        <f>AU30*(c_Stroke2+c_DM)</f>
        <v>617.23371787270412</v>
      </c>
      <c r="DE30">
        <f>AV30*(c_MI1+c_MI2+c_DM)</f>
        <v>186.7972402618436</v>
      </c>
      <c r="DF30">
        <f>AW30*(c_MI2+c_DM)</f>
        <v>359.31602290017639</v>
      </c>
      <c r="DG30">
        <f>AX30*(c_Stroke1+c_Stroke2+c_MI2+c_DM)</f>
        <v>18.169339202386553</v>
      </c>
      <c r="DH30">
        <f>AY30*(c_Stroke2+c_MI1+c_MI2+c_DM)</f>
        <v>18.137360257623264</v>
      </c>
      <c r="DI30">
        <f>AZ30*(c_Stroke2+c_MI2+c_DM)</f>
        <v>31.993552208502031</v>
      </c>
      <c r="DJ30">
        <f>BA30*(c_HF1+c_DM)</f>
        <v>73.181249605828654</v>
      </c>
      <c r="DK30">
        <f>BB30*(c_HF2+c_DM)</f>
        <v>548.81228259729255</v>
      </c>
      <c r="DL30">
        <f>BC30*(c_Stroke2+c_HF1+c_DM)</f>
        <v>6.9493622719340973</v>
      </c>
      <c r="DM30">
        <f>BD30*(c_Stroke1+c_Stroke2+c_HF2+c_DM)</f>
        <v>17.055203257175378</v>
      </c>
      <c r="DN30">
        <f>BE30*(c_Stroke2+c_HF2+c_DM)</f>
        <v>39.513881362234066</v>
      </c>
      <c r="DO30">
        <f t="shared" si="20"/>
        <v>0</v>
      </c>
      <c r="DP30">
        <f t="shared" si="21"/>
        <v>9811.278195298999</v>
      </c>
      <c r="DQ30">
        <f>DP30/(1+r_)^A30</f>
        <v>4416.9300665946721</v>
      </c>
    </row>
    <row r="31" spans="1:121" x14ac:dyDescent="0.3">
      <c r="A31">
        <v>28</v>
      </c>
      <c r="B31">
        <v>73</v>
      </c>
      <c r="C31">
        <f t="shared" si="0"/>
        <v>38</v>
      </c>
      <c r="D31">
        <f t="shared" si="1"/>
        <v>125</v>
      </c>
      <c r="E31">
        <f t="shared" si="2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22"/>
        <v>5.6857293942168513E-2</v>
      </c>
      <c r="J31">
        <f t="shared" si="23"/>
        <v>0.27135865101614576</v>
      </c>
      <c r="K31">
        <f t="shared" si="24"/>
        <v>0.35812305174850001</v>
      </c>
      <c r="L31">
        <f t="shared" si="25"/>
        <v>0.13917633465862145</v>
      </c>
      <c r="M31">
        <f t="shared" si="26"/>
        <v>0.18932291970445148</v>
      </c>
      <c r="N31">
        <f t="shared" si="27"/>
        <v>0.57200364304636764</v>
      </c>
      <c r="O31">
        <f t="shared" si="28"/>
        <v>0.69854054811005739</v>
      </c>
      <c r="P31">
        <f t="shared" si="29"/>
        <v>0.34126759630895664</v>
      </c>
      <c r="Q31">
        <f t="shared" si="30"/>
        <v>0.44558130791932782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2.2301070171347092E-2</v>
      </c>
      <c r="U31">
        <f t="shared" si="31"/>
        <v>0.497902949331541</v>
      </c>
      <c r="V31">
        <f t="shared" si="32"/>
        <v>0.61897303701496253</v>
      </c>
      <c r="W31">
        <f t="shared" si="33"/>
        <v>0.2783057771284867</v>
      </c>
      <c r="X31">
        <f t="shared" si="34"/>
        <v>0.36667750089688478</v>
      </c>
      <c r="Y31">
        <f t="shared" si="35"/>
        <v>0.76403968025917113</v>
      </c>
      <c r="Z31">
        <f t="shared" si="36"/>
        <v>0.87003439859586451</v>
      </c>
      <c r="AA31">
        <f t="shared" si="37"/>
        <v>0.50852015449212784</v>
      </c>
      <c r="AB31">
        <f t="shared" si="38"/>
        <v>0.63347720467387791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3.8577495295175145E-2</v>
      </c>
      <c r="AD31">
        <f t="shared" si="40"/>
        <v>0.10577238113444204</v>
      </c>
      <c r="AE31">
        <f t="shared" si="41"/>
        <v>2.1877938115309588E-2</v>
      </c>
      <c r="AF31">
        <f t="shared" si="42"/>
        <v>1.4260936349369579E-3</v>
      </c>
      <c r="AG31">
        <f t="shared" si="43"/>
        <v>6.1037323300028416E-3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7.4832950943354965E-4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4.243261911508628E-3</v>
      </c>
      <c r="AJ31">
        <f t="shared" si="44"/>
        <v>5.0198028341475606E-5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4.0812732703459112E-5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1.7136218913498737E-4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3.1612466604798883E-4</v>
      </c>
      <c r="AN31">
        <f t="shared" si="45"/>
        <v>3.8011840213305623E-3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1.6678162298165391E-5</v>
      </c>
      <c r="AP31">
        <f>AM30*T30*p_Stroke*p_Stroke_rec*(1-I30) + AN30*T30*p_Stroke*p_Stroke_rec*(1-I30) + AO30*(p_recur_Stroke*p_Stroke_rec)*(1-I30) + AP30*(p_recur_Stroke*p_Stroke_rec)*(1-I30) + AQ30*(p_recur_Stroke*p_Stroke_rec)*(1-I30)</f>
        <v>3.8619481921671444E-5</v>
      </c>
      <c r="AQ31">
        <f>AO30*(1-p_recur_Stroke-H30*rr_Stroke*rr_HF)*(1-I30) + AP30*(1-p_recur_Stroke-H30*rr_Stroke*rr_HF)*(1-I30) + AQ30*(1-p_recur_Stroke-H30*rr_Stroke*rr_HF)*(1-I30)</f>
        <v>1.4426660899189534E-4</v>
      </c>
      <c r="AR31">
        <f>AR30*(1-AC30-H30*rr_DM) + AD30*(1-T30-H30)*I30</f>
        <v>0.34484006879266899</v>
      </c>
      <c r="AS31">
        <f>AR30*AC30*p_Other + AD30*T30*p_Other*I30 + AE30*(1-T30*p_Stroke-T30*p_MI-H30*rr_Other)*I30 + AS30*(1-AC30*p_Stroke-AC30*p_MI-H30*rr_Other*rr_DM)</f>
        <v>0.1175260167271715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8.5992372619349208E-3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3.4957321145774684E-2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4.6462984951405311E-3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2.5250342052536266E-2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4.9842327081338724E-4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4.0337868849801378E-4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1.6040654565454516E-3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1.9318168034791372E-3</v>
      </c>
      <c r="BB31">
        <f>AM30*(1-T30*p_Stroke - H30*rr_HF)*I30 + AN30*(1-T30*p_Stroke - H30*rr_HF)*I30 + BA30*(1-AC30*p_Stroke - H30*rr_HF*rr_DM) + BB30*(1-AC30*p_Stroke - H30*rr_HF*rr_DM)</f>
        <v>2.1385451453746554E-2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1.6225592013769774E-4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3.6282641601267994E-4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1.2749641066270064E-3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0.29180655088250873</v>
      </c>
      <c r="BG31">
        <f t="shared" si="16"/>
        <v>0.99999999999999944</v>
      </c>
      <c r="BH31">
        <f>(0.9442 - 0.0007*$B31 - dis_BMI*($C31-21.75))*AD31</f>
        <v>8.8793269652835724E-2</v>
      </c>
      <c r="BI31">
        <f>0.959*(0.9442 - 0.0007*$B31 - dis_BMI*($C31-21.75))*AE31</f>
        <v>1.7612976833276183E-2</v>
      </c>
      <c r="BJ31">
        <f>(0.943*(0.9442 - 0.0007*$B31 - dis_BMI*($C31-21.75)) - 0.19*0.5)*AF31</f>
        <v>9.9345237148093556E-4</v>
      </c>
      <c r="BK31">
        <f>(0.943*(0.9442 - 0.0007*$B31 - dis_BMI*($C31-21.75)))*AG31</f>
        <v>4.8318666479585746E-3</v>
      </c>
      <c r="BL31">
        <f>(0.955*(0.9442 - 0.0007*$B31 - dis_BMI*($C31-21.75)) - 0.15*0.5)*AH31</f>
        <v>5.4381002555228505E-4</v>
      </c>
      <c r="BM31">
        <f>(0.955*(0.9442 - 0.0007*$B31 - dis_BMI*($C31-21.75)))*AI31</f>
        <v>3.4018172399713385E-3</v>
      </c>
      <c r="BN31">
        <f>(0.955*0.943*(0.9442 - 0.0007*$B31 - dis_BMI*($C31-21.75)) - 0.19*0.5)*AJ31</f>
        <v>3.318098725958473E-5</v>
      </c>
      <c r="BO31">
        <f>(0.955*0.943*(0.9442 - 0.0007*$B31 - dis_BMI*($C31-21.75)) - 0.15*0.5)*AK31</f>
        <v>2.7793544571717493E-5</v>
      </c>
      <c r="BP31">
        <f>(0.955*0.943*(0.9442 - 0.0007*$B31 - dis_BMI*($C31-21.75)))*AL31</f>
        <v>1.2955012401633827E-4</v>
      </c>
      <c r="BQ31">
        <f>(0.93*(0.9442 - 0.0007*$B31 - dis_BMI*($C31-21.75)))*AM31</f>
        <v>2.4680224124849098E-4</v>
      </c>
      <c r="BR31">
        <f>(0.93*(0.9442 - 0.0007*$B31 - dis_BMI*($C31-21.75)))*AN31</f>
        <v>2.9676290293650207E-3</v>
      </c>
      <c r="BS31">
        <f>(0.93*0.943*(0.9442 - 0.0007*$B31 - dis_BMI*($C31-21.75)))*AO31</f>
        <v>1.2278649549933395E-5</v>
      </c>
      <c r="BT31">
        <f>(0.93*0.943*(0.9442 - 0.0007*$B31 - dis_BMI*($C31-21.75))-0.19*0.5)*AP31</f>
        <v>2.4763243583638486E-5</v>
      </c>
      <c r="BU31">
        <f>(0.93*0.943*(0.9442 - 0.0007*$B31 - dis_BMI*($C31-21.75)))*AQ31</f>
        <v>1.0621069047658853E-4</v>
      </c>
      <c r="BV31">
        <f>0.962*(0.9442 - 0.0007*$B31 - dis_BMI*($C31-21.75))*AR31</f>
        <v>0.2784842013132362</v>
      </c>
      <c r="BW31">
        <f>0.962*0.959*(0.9442 - 0.0007*$B31 - dis_BMI*($C31-21.75))*AS31</f>
        <v>9.1019713331776733E-2</v>
      </c>
      <c r="BX31">
        <f>0.962*(0.943*(0.9442 - 0.0007*$B31 - dis_BMI*($C31-21.75)) - 0.19*0.5)*AT31</f>
        <v>5.7628061781718198E-3</v>
      </c>
      <c r="BY31">
        <f>0.962*(0.943*(0.9442 - 0.0007*$B31 - dis_BMI*($C31-21.75)))*AU31</f>
        <v>2.6621509434476252E-2</v>
      </c>
      <c r="BZ31">
        <f>0.962*(0.955*(0.9442 - 0.0007*$B31 - dis_BMI*($C31-21.75)) - 0.15*0.5)*AV31</f>
        <v>3.2481532961033811E-3</v>
      </c>
      <c r="CA31">
        <f>0.962*(0.955*(0.9442 - 0.0007*$B31 - dis_BMI*($C31-21.75)))*AW31</f>
        <v>1.9473924253134673E-2</v>
      </c>
      <c r="CB31">
        <f>0.962*(0.955*0.943*(0.9442 - 0.0007*$B31 - dis_BMI*($C31-21.75)) - 0.19*0.5)*AX31</f>
        <v>3.1693925097934974E-4</v>
      </c>
      <c r="CC31">
        <f>0.962*(0.955*0.943*(0.9442 - 0.0007*$B31 - dis_BMI*($C31-21.75)) - 0.15*0.5)*AY31</f>
        <v>2.6426295296640248E-4</v>
      </c>
      <c r="CD31">
        <f>0.962*(0.955*0.943*(0.9442 - 0.0007*$B31 - dis_BMI*($C31-21.75)))*AZ31</f>
        <v>1.1665946755204674E-3</v>
      </c>
      <c r="CE31">
        <f>0.962*(0.93*(0.9442 - 0.0007*$B31 - dis_BMI*($C31-21.75)))*BA31</f>
        <v>1.4508807783853064E-3</v>
      </c>
      <c r="CF31">
        <f>0.962*(0.93*(0.9442 - 0.0007*$B31 - dis_BMI*($C31-21.75)))*BB31</f>
        <v>1.6061430046292725E-2</v>
      </c>
      <c r="CG31">
        <f>0.962*(0.93*0.943*(0.9442 - 0.0007*$B31 - dis_BMI*($C31-21.75)))*BC31</f>
        <v>1.1491534681337346E-4</v>
      </c>
      <c r="CH31">
        <f>0.962*(0.93*0.943*(0.9442 - 0.0007*$B31 - dis_BMI*($C31-21.75))-0.19*0.5)*BD31</f>
        <v>2.2380771696874801E-4</v>
      </c>
      <c r="CI31">
        <f>0.962*(0.93*0.943*(0.9442 - 0.0007*$B31 - dis_BMI*($C31-21.75)))*BE31</f>
        <v>9.0297440218703754E-4</v>
      </c>
      <c r="CJ31">
        <f t="shared" si="17"/>
        <v>0</v>
      </c>
      <c r="CK31">
        <f t="shared" si="18"/>
        <v>0.56483751425815876</v>
      </c>
      <c r="CL31">
        <f>CK31/(1+r_)^A31</f>
        <v>0.24687734680081</v>
      </c>
      <c r="CM31">
        <f t="shared" si="19"/>
        <v>0</v>
      </c>
      <c r="CN31">
        <f>AE31*c_Other</f>
        <v>312.39507834850559</v>
      </c>
      <c r="CO31">
        <f>AF31*(c_Stroke1+c_Stroke2)</f>
        <v>33.963846009658589</v>
      </c>
      <c r="CP31">
        <f>AG31*c_Stroke2</f>
        <v>39.674260145018472</v>
      </c>
      <c r="CQ31">
        <f>AH31*(c_MI1+c_MI2)</f>
        <v>21.814553529497406</v>
      </c>
      <c r="CR31">
        <f>AI31*c_MI2</f>
        <v>13.226247378172394</v>
      </c>
      <c r="CS31">
        <f>AJ31*(c_Stroke1+c_Stroke2+c_MI2)</f>
        <v>1.3519834973209626</v>
      </c>
      <c r="CT31">
        <f>AK31*(c_Stroke2+c_MI1+c_MI2)</f>
        <v>1.4550147336110208</v>
      </c>
      <c r="CU31">
        <f>AL31*(c_Stroke2+c_MI2)</f>
        <v>1.6479901729111734</v>
      </c>
      <c r="CV31">
        <f>AM31*(c_HF1)</f>
        <v>8.5448497232771388</v>
      </c>
      <c r="CW31">
        <f>AN31*(c_HF2)</f>
        <v>59.317476652863427</v>
      </c>
      <c r="CX31">
        <f>AO31*(c_Stroke2+c_HF1)</f>
        <v>0.55921878185748553</v>
      </c>
      <c r="CY31">
        <f>AP31*(c_Stroke1+c_Stroke2+c_HF2)</f>
        <v>1.5224185968342101</v>
      </c>
      <c r="CZ31">
        <f>AQ31*(c_Stroke2+c_HF2)</f>
        <v>3.1890133917658465</v>
      </c>
      <c r="DA31">
        <f>AR31*c_DM</f>
        <v>3939.7977859562434</v>
      </c>
      <c r="DB31">
        <f>AS31*(c_Other+c_DM)</f>
        <v>3020.8887339552161</v>
      </c>
      <c r="DC31">
        <f>AT31*(c_Stroke1+c_Stroke2+c_DM)</f>
        <v>303.04572034784854</v>
      </c>
      <c r="DD31">
        <f>AU31*(c_Stroke2+c_DM)</f>
        <v>626.6099815380112</v>
      </c>
      <c r="DE31">
        <f>AV31*(c_MI1+c_MI2+c_DM)</f>
        <v>188.5282077388222</v>
      </c>
      <c r="DF31">
        <f>AW31*(c_MI2+c_DM)</f>
        <v>367.19047412798238</v>
      </c>
      <c r="DG31">
        <f>AX31*(c_Stroke1+c_Stroke2+c_MI2+c_DM)</f>
        <v>19.118519821859909</v>
      </c>
      <c r="DH31">
        <f>AY31*(c_Stroke2+c_MI1+c_MI2+c_DM)</f>
        <v>18.989455139732495</v>
      </c>
      <c r="DI31">
        <f>AZ31*(c_Stroke2+c_MI2+c_DM)</f>
        <v>33.752745336629395</v>
      </c>
      <c r="DJ31">
        <f>BA31*(c_HF1+c_DM)</f>
        <v>74.288015177790228</v>
      </c>
      <c r="DK31">
        <f>BB31*(c_HF2+c_DM)</f>
        <v>578.04875279476937</v>
      </c>
      <c r="DL31">
        <f>BC31*(c_Stroke2+c_HF1+c_DM)</f>
        <v>7.2942148897902017</v>
      </c>
      <c r="DM31">
        <f>BD31*(c_Stroke1+c_Stroke2+c_HF2+c_DM)</f>
        <v>18.448271948580725</v>
      </c>
      <c r="DN31">
        <f>BE31*(c_Stroke2+c_HF2+c_DM)</f>
        <v>42.749546495203525</v>
      </c>
      <c r="DO31">
        <f t="shared" si="20"/>
        <v>0</v>
      </c>
      <c r="DP31">
        <f t="shared" si="21"/>
        <v>9737.412376229775</v>
      </c>
      <c r="DQ31">
        <f>DP31/(1+r_)^A31</f>
        <v>4255.996585684029</v>
      </c>
    </row>
    <row r="32" spans="1:121" x14ac:dyDescent="0.3">
      <c r="A32">
        <v>29</v>
      </c>
      <c r="B32">
        <v>74</v>
      </c>
      <c r="C32">
        <f t="shared" si="0"/>
        <v>38</v>
      </c>
      <c r="D32">
        <f t="shared" si="1"/>
        <v>125</v>
      </c>
      <c r="E32">
        <f t="shared" si="2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22"/>
        <v>5.6857293942168513E-2</v>
      </c>
      <c r="J32">
        <f t="shared" si="23"/>
        <v>0.2800067676168051</v>
      </c>
      <c r="K32">
        <f t="shared" si="24"/>
        <v>0.36876703227773833</v>
      </c>
      <c r="L32">
        <f t="shared" si="25"/>
        <v>0.14402824125886471</v>
      </c>
      <c r="M32">
        <f t="shared" si="26"/>
        <v>0.19571490212183407</v>
      </c>
      <c r="N32">
        <f t="shared" si="27"/>
        <v>0.5874328511347271</v>
      </c>
      <c r="O32">
        <f t="shared" si="28"/>
        <v>0.7137811771257061</v>
      </c>
      <c r="P32">
        <f t="shared" si="29"/>
        <v>0.35305757934764237</v>
      </c>
      <c r="Q32">
        <f t="shared" si="30"/>
        <v>0.45955036324164744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2.3021639766425454E-2</v>
      </c>
      <c r="U32">
        <f t="shared" si="31"/>
        <v>0.51078175637798628</v>
      </c>
      <c r="V32">
        <f t="shared" si="32"/>
        <v>0.63258986922897953</v>
      </c>
      <c r="W32">
        <f t="shared" si="33"/>
        <v>0.28712906121679105</v>
      </c>
      <c r="X32">
        <f t="shared" si="34"/>
        <v>0.37749471060842144</v>
      </c>
      <c r="Y32">
        <f t="shared" si="35"/>
        <v>0.77833077994084898</v>
      </c>
      <c r="Z32">
        <f t="shared" si="36"/>
        <v>0.88101588931922359</v>
      </c>
      <c r="AA32">
        <f t="shared" si="37"/>
        <v>0.52339458440944808</v>
      </c>
      <c r="AB32">
        <f t="shared" si="38"/>
        <v>0.64905246688344331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3.9637394084837976E-2</v>
      </c>
      <c r="AD32">
        <f t="shared" si="40"/>
        <v>9.5402290543056378E-2</v>
      </c>
      <c r="AE32">
        <f t="shared" si="41"/>
        <v>2.0812895351192021E-2</v>
      </c>
      <c r="AF32">
        <f t="shared" si="42"/>
        <v>1.3521485195453523E-3</v>
      </c>
      <c r="AG32">
        <f t="shared" si="43"/>
        <v>5.7397234342694142E-3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7.0952589209308898E-4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4.0299210067111201E-3</v>
      </c>
      <c r="AJ32">
        <f t="shared" si="44"/>
        <v>4.9534634564673204E-5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4.0160810854620971E-5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1.656060286257411E-4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3.0077425493856182E-4</v>
      </c>
      <c r="AN32">
        <f t="shared" si="45"/>
        <v>3.7122887622367332E-3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1.6435014919630694E-5</v>
      </c>
      <c r="AP32">
        <f>AM31*T31*p_Stroke*p_Stroke_rec*(1-I31) + AN31*T31*p_Stroke*p_Stroke_rec*(1-I31) + AO31*(p_recur_Stroke*p_Stroke_rec)*(1-I31) + AP31*(p_recur_Stroke*p_Stroke_rec)*(1-I31) + AQ31*(p_recur_Stroke*p_Stroke_rec)*(1-I31)</f>
        <v>3.9103722797414431E-5</v>
      </c>
      <c r="AQ32">
        <f>AO31*(1-p_recur_Stroke-H31*rr_Stroke*rr_HF)*(1-I31) + AP31*(1-p_recur_Stroke-H31*rr_Stroke*rr_HF)*(1-I31) + AQ31*(1-p_recur_Stroke-H31*rr_Stroke*rr_HF)*(1-I31)</f>
        <v>1.4272283178219742E-4</v>
      </c>
      <c r="AR32">
        <f>AR31*(1-AC31-H31*rr_DM) + AD31*(1-T31-H31)*I31</f>
        <v>0.32881529241713164</v>
      </c>
      <c r="AS32">
        <f>AR31*AC31*p_Other + AD31*T31*p_Other*I31 + AE31*(1-T31*p_Stroke-T31*p_MI-H31*rr_Other)*I31 + AS31*(1-AC31*p_Stroke-AC31*p_MI-H31*rr_Other*rr_DM)</f>
        <v>0.11857050236216822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8.6644516632528694E-3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3.4956322969750965E-2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4.6792974405705755E-3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2.5571531475762861E-2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5.2368017191985086E-4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4.218224837334812E-4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1.6472849196935925E-3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1.956711790462265E-3</v>
      </c>
      <c r="BB32">
        <f>AM31*(1-T31*p_Stroke - H31*rr_HF)*I31 + AN31*(1-T31*p_Stroke - H31*rr_HF)*I31 + BA31*(1-AC31*p_Stroke - H31*rr_HF*rr_DM) + BB31*(1-AC31*p_Stroke - H31*rr_HF*rr_DM)</f>
        <v>2.2291447512239927E-2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1.7019458757703163E-4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3.914213068072893E-4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1.3406913451442641E-3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0.31748621674619759</v>
      </c>
      <c r="BG32">
        <f t="shared" si="16"/>
        <v>0.99999999999999933</v>
      </c>
      <c r="BH32">
        <f>(0.9442 - 0.0007*$B32 - dis_BMI*($C32-21.75))*AD32</f>
        <v>8.0021056250252118E-2</v>
      </c>
      <c r="BI32">
        <f>0.959*(0.9442 - 0.0007*$B32 - dis_BMI*($C32-21.75))*AE32</f>
        <v>1.6741585509970049E-2</v>
      </c>
      <c r="BJ32">
        <f>(0.943*(0.9442 - 0.0007*$B32 - dis_BMI*($C32-21.75)) - 0.19*0.5)*AF32</f>
        <v>9.4104780777939023E-4</v>
      </c>
      <c r="BK32">
        <f>(0.943*(0.9442 - 0.0007*$B32 - dis_BMI*($C32-21.75)))*AG32</f>
        <v>4.5399193417353058E-3</v>
      </c>
      <c r="BL32">
        <f>(0.955*(0.9442 - 0.0007*$B32 - dis_BMI*($C32-21.75)) - 0.15*0.5)*AH32</f>
        <v>5.1513717212708194E-4</v>
      </c>
      <c r="BM32">
        <f>(0.955*(0.9442 - 0.0007*$B32 - dis_BMI*($C32-21.75)))*AI32</f>
        <v>3.2280881277459345E-3</v>
      </c>
      <c r="BN32">
        <f>(0.955*0.943*(0.9442 - 0.0007*$B32 - dis_BMI*($C32-21.75)) - 0.19*0.5)*AJ32</f>
        <v>3.2711256366046887E-5</v>
      </c>
      <c r="BO32">
        <f>(0.955*0.943*(0.9442 - 0.0007*$B32 - dis_BMI*($C32-21.75)) - 0.15*0.5)*AK32</f>
        <v>2.7324267422560053E-5</v>
      </c>
      <c r="BP32">
        <f>(0.955*0.943*(0.9442 - 0.0007*$B32 - dis_BMI*($C32-21.75)))*AL32</f>
        <v>1.2509405899561362E-4</v>
      </c>
      <c r="BQ32">
        <f>(0.93*(0.9442 - 0.0007*$B32 - dis_BMI*($C32-21.75)))*AM32</f>
        <v>2.3462219088806575E-4</v>
      </c>
      <c r="BR32">
        <f>(0.93*(0.9442 - 0.0007*$B32 - dis_BMI*($C32-21.75)))*AN32</f>
        <v>2.8958107560869582E-3</v>
      </c>
      <c r="BS32">
        <f>(0.93*0.943*(0.9442 - 0.0007*$B32 - dis_BMI*($C32-21.75)))*AO32</f>
        <v>1.2089552390793616E-5</v>
      </c>
      <c r="BT32">
        <f>(0.93*0.943*(0.9442 - 0.0007*$B32 - dis_BMI*($C32-21.75))-0.19*0.5)*AP32</f>
        <v>2.5049738745399669E-5</v>
      </c>
      <c r="BU32">
        <f>(0.93*0.943*(0.9442 - 0.0007*$B32 - dis_BMI*($C32-21.75)))*AQ32</f>
        <v>1.0498652788762252E-4</v>
      </c>
      <c r="BV32">
        <f>0.962*(0.9442 - 0.0007*$B32 - dis_BMI*($C32-21.75))*AR32</f>
        <v>0.26532156911508675</v>
      </c>
      <c r="BW32">
        <f>0.962*0.959*(0.9442 - 0.0007*$B32 - dis_BMI*($C32-21.75))*AS32</f>
        <v>9.1752058532559383E-2</v>
      </c>
      <c r="BX32">
        <f>0.962*(0.943*(0.9442 - 0.0007*$B32 - dis_BMI*($C32-21.75)) - 0.19*0.5)*AT32</f>
        <v>5.801007749286346E-3</v>
      </c>
      <c r="BY32">
        <f>0.962*(0.943*(0.9442 - 0.0007*$B32 - dis_BMI*($C32-21.75)))*AU32</f>
        <v>2.6598551448956873E-2</v>
      </c>
      <c r="BZ32">
        <f>0.962*(0.955*(0.9442 - 0.0007*$B32 - dis_BMI*($C32-21.75)) - 0.15*0.5)*AV32</f>
        <v>3.2682130912734288E-3</v>
      </c>
      <c r="CA32">
        <f>0.962*(0.955*(0.9442 - 0.0007*$B32 - dis_BMI*($C32-21.75)))*AW32</f>
        <v>1.9705191506401834E-2</v>
      </c>
      <c r="CB32">
        <f>0.962*(0.955*0.943*(0.9442 - 0.0007*$B32 - dis_BMI*($C32-21.75)) - 0.19*0.5)*AX32</f>
        <v>3.3268212273547044E-4</v>
      </c>
      <c r="CC32">
        <f>0.962*(0.955*0.943*(0.9442 - 0.0007*$B32 - dis_BMI*($C32-21.75)) - 0.15*0.5)*AY32</f>
        <v>2.7609011076009694E-4</v>
      </c>
      <c r="CD32">
        <f>0.962*(0.955*0.943*(0.9442 - 0.0007*$B32 - dis_BMI*($C32-21.75)))*AZ32</f>
        <v>1.1970280756597174E-3</v>
      </c>
      <c r="CE32">
        <f>0.962*(0.93*(0.9442 - 0.0007*$B32 - dis_BMI*($C32-21.75)))*BA32</f>
        <v>1.4683526122633674E-3</v>
      </c>
      <c r="CF32">
        <f>0.962*(0.93*(0.9442 - 0.0007*$B32 - dis_BMI*($C32-21.75)))*BB32</f>
        <v>1.6727913300914138E-2</v>
      </c>
      <c r="CG32">
        <f>0.962*(0.93*0.943*(0.9442 - 0.0007*$B32 - dis_BMI*($C32-21.75)))*BC32</f>
        <v>1.2043727920309773E-4</v>
      </c>
      <c r="CH32">
        <f>0.962*(0.93*0.943*(0.9442 - 0.0007*$B32 - dis_BMI*($C32-21.75))-0.19*0.5)*BD32</f>
        <v>2.4121517707472072E-4</v>
      </c>
      <c r="CI32">
        <f>0.962*(0.93*0.943*(0.9442 - 0.0007*$B32 - dis_BMI*($C32-21.75)))*BE32</f>
        <v>9.4873297769962252E-4</v>
      </c>
      <c r="CJ32">
        <f t="shared" si="17"/>
        <v>0</v>
      </c>
      <c r="CK32">
        <f t="shared" si="18"/>
        <v>0.54320356565826788</v>
      </c>
      <c r="CL32">
        <f>CK32/(1+r_)^A32</f>
        <v>0.23050645707622705</v>
      </c>
      <c r="CM32">
        <f t="shared" si="19"/>
        <v>0</v>
      </c>
      <c r="CN32">
        <f>AE32*c_Other</f>
        <v>297.18733271967085</v>
      </c>
      <c r="CO32">
        <f>AF32*(c_Stroke1+c_Stroke2)</f>
        <v>32.202769141492112</v>
      </c>
      <c r="CP32">
        <f>AG32*c_Stroke2</f>
        <v>37.308202322751193</v>
      </c>
      <c r="CQ32">
        <f>AH32*(c_MI1+c_MI2)</f>
        <v>20.683389280405638</v>
      </c>
      <c r="CR32">
        <f>AI32*c_MI2</f>
        <v>12.561263777918562</v>
      </c>
      <c r="CS32">
        <f>AJ32*(c_Stroke1+c_Stroke2+c_MI2)</f>
        <v>1.3341163127303435</v>
      </c>
      <c r="CT32">
        <f>AK32*(c_Stroke2+c_MI1+c_MI2)</f>
        <v>1.4317730677780922</v>
      </c>
      <c r="CU32">
        <f>AL32*(c_Stroke2+c_MI2)</f>
        <v>1.5926331772937521</v>
      </c>
      <c r="CV32">
        <f>AM32*(c_HF1)</f>
        <v>8.1299281109893258</v>
      </c>
      <c r="CW32">
        <f>AN32*(c_HF2)</f>
        <v>57.930266134704219</v>
      </c>
      <c r="CX32">
        <f>AO32*(c_Stroke2+c_HF1)</f>
        <v>0.55106605025521715</v>
      </c>
      <c r="CY32">
        <f>AP32*(c_Stroke1+c_Stroke2+c_HF2)</f>
        <v>1.5415078563968743</v>
      </c>
      <c r="CZ32">
        <f>AQ32*(c_Stroke2+c_HF2)</f>
        <v>3.1548881965454738</v>
      </c>
      <c r="DA32">
        <f>AR32*c_DM</f>
        <v>3756.714715865729</v>
      </c>
      <c r="DB32">
        <f>AS32*(c_Other+c_DM)</f>
        <v>3047.7361927171719</v>
      </c>
      <c r="DC32">
        <f>AT32*(c_Stroke1+c_Stroke2+c_DM)</f>
        <v>305.34394106469438</v>
      </c>
      <c r="DD32">
        <f>AU32*(c_Stroke2+c_DM)</f>
        <v>626.59208923278607</v>
      </c>
      <c r="DE32">
        <f>AV32*(c_MI1+c_MI2+c_DM)</f>
        <v>189.86717294859167</v>
      </c>
      <c r="DF32">
        <f>AW32*(c_MI2+c_DM)</f>
        <v>371.86121072054351</v>
      </c>
      <c r="DG32">
        <f>AX32*(c_Stroke1+c_Stroke2+c_MI2+c_DM)</f>
        <v>20.087324034501638</v>
      </c>
      <c r="DH32">
        <f>AY32*(c_Stroke2+c_MI1+c_MI2+c_DM)</f>
        <v>19.857715244237362</v>
      </c>
      <c r="DI32">
        <f>AZ32*(c_Stroke2+c_MI2+c_DM)</f>
        <v>34.662169280192572</v>
      </c>
      <c r="DJ32">
        <f>BA32*(c_HF1+c_DM)</f>
        <v>75.245351902226403</v>
      </c>
      <c r="DK32">
        <f>BB32*(c_HF2+c_DM)</f>
        <v>602.53782625584518</v>
      </c>
      <c r="DL32">
        <f>BC32*(c_Stroke2+c_HF1+c_DM)</f>
        <v>7.6510976845254568</v>
      </c>
      <c r="DM32">
        <f>BD32*(c_Stroke1+c_Stroke2+c_HF2+c_DM)</f>
        <v>19.902207765923432</v>
      </c>
      <c r="DN32">
        <f>BE32*(c_Stroke2+c_HF2+c_DM)</f>
        <v>44.953380802687171</v>
      </c>
      <c r="DO32">
        <f t="shared" si="20"/>
        <v>0</v>
      </c>
      <c r="DP32">
        <f t="shared" si="21"/>
        <v>9598.6215316685848</v>
      </c>
      <c r="DQ32">
        <f>DP32/(1+r_)^A32</f>
        <v>4073.1401300713037</v>
      </c>
    </row>
    <row r="33" spans="1:121" x14ac:dyDescent="0.3">
      <c r="A33">
        <v>30</v>
      </c>
      <c r="B33">
        <v>75</v>
      </c>
      <c r="C33">
        <f t="shared" si="0"/>
        <v>38</v>
      </c>
      <c r="D33">
        <f t="shared" si="1"/>
        <v>125</v>
      </c>
      <c r="E33">
        <f t="shared" si="2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2"/>
        <v>5.6857293942168513E-2</v>
      </c>
      <c r="J33">
        <f t="shared" si="23"/>
        <v>0.2887520933129164</v>
      </c>
      <c r="K33">
        <f t="shared" si="24"/>
        <v>0.37947871007760503</v>
      </c>
      <c r="L33">
        <f t="shared" si="25"/>
        <v>0.14896599642342512</v>
      </c>
      <c r="M33">
        <f t="shared" si="26"/>
        <v>0.20220510153133664</v>
      </c>
      <c r="N33">
        <f t="shared" si="27"/>
        <v>0.60272855806374948</v>
      </c>
      <c r="O33">
        <f t="shared" si="28"/>
        <v>0.72865934926410336</v>
      </c>
      <c r="P33">
        <f t="shared" si="29"/>
        <v>0.36496883048786288</v>
      </c>
      <c r="Q33">
        <f t="shared" si="30"/>
        <v>0.47355672807327887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2.3749555890500474E-2</v>
      </c>
      <c r="U33">
        <f t="shared" si="31"/>
        <v>0.52362158291193861</v>
      </c>
      <c r="V33">
        <f t="shared" si="32"/>
        <v>0.64602331529786439</v>
      </c>
      <c r="W33">
        <f t="shared" si="33"/>
        <v>0.29604826231907233</v>
      </c>
      <c r="X33">
        <f t="shared" si="34"/>
        <v>0.38837514772863735</v>
      </c>
      <c r="Y33">
        <f t="shared" si="35"/>
        <v>0.79213284573856835</v>
      </c>
      <c r="Z33">
        <f t="shared" si="36"/>
        <v>0.89134768284986476</v>
      </c>
      <c r="AA33">
        <f t="shared" si="37"/>
        <v>0.53823008286578655</v>
      </c>
      <c r="AB33">
        <f t="shared" si="38"/>
        <v>0.66438826189152911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4.0697362398792597E-2</v>
      </c>
      <c r="AD33">
        <f t="shared" si="40"/>
        <v>8.5778734811611107E-2</v>
      </c>
      <c r="AE33">
        <f t="shared" si="41"/>
        <v>1.9683487577123088E-2</v>
      </c>
      <c r="AF33">
        <f t="shared" si="42"/>
        <v>1.2723663574021632E-3</v>
      </c>
      <c r="AG33">
        <f t="shared" si="43"/>
        <v>5.3570513290011638E-3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5.7790731939913248E-4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3.59046782427645E-3</v>
      </c>
      <c r="AJ33">
        <f t="shared" si="44"/>
        <v>4.8357684957097129E-5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3.3720540510888538E-5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1.4662675039628245E-4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5.9514270824723256E-4</v>
      </c>
      <c r="AN33">
        <f t="shared" si="45"/>
        <v>3.6019509104526534E-3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3.312344811865785E-5</v>
      </c>
      <c r="AP33">
        <f>AM32*T32*p_Stroke*p_Stroke_rec*(1-I32) + AN32*T32*p_Stroke*p_Stroke_rec*(1-I32) + AO32*(p_recur_Stroke*p_Stroke_rec)*(1-I32) + AP32*(p_recur_Stroke*p_Stroke_rec)*(1-I32) + AQ32*(p_recur_Stroke*p_Stroke_rec)*(1-I32)</f>
        <v>3.9081219421238463E-5</v>
      </c>
      <c r="AQ33">
        <f>AO32*(1-p_recur_Stroke-H32*rr_Stroke*rr_HF)*(1-I32) + AP32*(1-p_recur_Stroke-H32*rr_Stroke*rr_HF)*(1-I32) + AQ32*(1-p_recur_Stroke-H32*rr_Stroke*rr_HF)*(1-I32)</f>
        <v>1.393603991378997E-4</v>
      </c>
      <c r="AR33">
        <f>AR32*(1-AC32-H32*rr_DM) + AD32*(1-T32-H32)*I32</f>
        <v>0.31201087864903915</v>
      </c>
      <c r="AS33">
        <f>AR32*AC32*p_Other + AD32*T32*p_Other*I32 + AE32*(1-T32*p_Stroke-T32*p_MI-H32*rr_Other)*I32 + AS32*(1-AC32*p_Stroke-AC32*p_MI-H32*rr_Other*rr_DM)</f>
        <v>0.11868391602566956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8.6447846518446191E-3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3.4615805198158128E-2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4.0400046711370399E-3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2.4230012361651624E-2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5.4288093621460858E-4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3.7530844958680917E-4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1.5422369224485132E-3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4.1022395003130034E-3</v>
      </c>
      <c r="BB33">
        <f>AM32*(1-T32*p_Stroke - H32*rr_HF)*I32 + AN32*(1-T32*p_Stroke - H32*rr_HF)*I32 + BA32*(1-AC32*p_Stroke - H32*rr_HF*rr_DM) + BB32*(1-AC32*p_Stroke - H32*rr_HF*rr_DM)</f>
        <v>2.3044072837756103E-2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3.6285215642500412E-4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4.157466497384882E-4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1.3877259300141794E-3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0.3451041561799475</v>
      </c>
      <c r="BG33">
        <f t="shared" si="16"/>
        <v>0.99999999999999922</v>
      </c>
      <c r="BH33">
        <f>(0.9442 - 0.0007*$B33 - dis_BMI*($C33-21.75))*AD33</f>
        <v>7.1889013177240974E-2</v>
      </c>
      <c r="BI33">
        <f>0.959*(0.9442 - 0.0007*$B33 - dis_BMI*($C33-21.75))*AE33</f>
        <v>1.5819893058298336E-2</v>
      </c>
      <c r="BJ33">
        <f>(0.943*(0.9442 - 0.0007*$B33 - dis_BMI*($C33-21.75)) - 0.19*0.5)*AF33</f>
        <v>8.8468234023276278E-4</v>
      </c>
      <c r="BK33">
        <f>(0.943*(0.9442 - 0.0007*$B33 - dis_BMI*($C33-21.75)))*AG33</f>
        <v>4.2337029773771486E-3</v>
      </c>
      <c r="BL33">
        <f>(0.955*(0.9442 - 0.0007*$B33 - dis_BMI*($C33-21.75)) - 0.15*0.5)*AH33</f>
        <v>4.1919179229874876E-4</v>
      </c>
      <c r="BM33">
        <f>(0.955*(0.9442 - 0.0007*$B33 - dis_BMI*($C33-21.75)))*AI33</f>
        <v>2.8736726623481137E-3</v>
      </c>
      <c r="BN33">
        <f>(0.955*0.943*(0.9442 - 0.0007*$B33 - dis_BMI*($C33-21.75)) - 0.19*0.5)*AJ33</f>
        <v>3.1903548029706572E-5</v>
      </c>
      <c r="BO33">
        <f>(0.955*0.943*(0.9442 - 0.0007*$B33 - dis_BMI*($C33-21.75)) - 0.15*0.5)*AK33</f>
        <v>2.2921234344703578E-5</v>
      </c>
      <c r="BP33">
        <f>(0.955*0.943*(0.9442 - 0.0007*$B33 - dis_BMI*($C33-21.75)))*AL33</f>
        <v>1.1066522203534665E-4</v>
      </c>
      <c r="BQ33">
        <f>(0.93*(0.9442 - 0.0007*$B33 - dis_BMI*($C33-21.75)))*AM33</f>
        <v>4.6386002944929849E-4</v>
      </c>
      <c r="BR33">
        <f>(0.93*(0.9442 - 0.0007*$B33 - dis_BMI*($C33-21.75)))*AN33</f>
        <v>2.8073956586281749E-3</v>
      </c>
      <c r="BS33">
        <f>(0.93*0.943*(0.9442 - 0.0007*$B33 - dis_BMI*($C33-21.75)))*AO33</f>
        <v>2.4345184327514926E-5</v>
      </c>
      <c r="BT33">
        <f>(0.93*0.943*(0.9442 - 0.0007*$B33 - dis_BMI*($C33-21.75))-0.19*0.5)*AP33</f>
        <v>2.5011331456633216E-5</v>
      </c>
      <c r="BU33">
        <f>(0.93*0.943*(0.9442 - 0.0007*$B33 - dis_BMI*($C33-21.75)))*AQ33</f>
        <v>1.0242757918240831E-4</v>
      </c>
      <c r="BV33">
        <f>0.962*(0.9442 - 0.0007*$B33 - dis_BMI*($C33-21.75))*AR33</f>
        <v>0.25155195347308934</v>
      </c>
      <c r="BW33">
        <f>0.962*0.959*(0.9442 - 0.0007*$B33 - dis_BMI*($C33-21.75))*AS33</f>
        <v>9.1763175175993542E-2</v>
      </c>
      <c r="BX33">
        <f>0.962*(0.943*(0.9442 - 0.0007*$B33 - dis_BMI*($C33-21.75)) - 0.19*0.5)*AT33</f>
        <v>5.7823507496637117E-3</v>
      </c>
      <c r="BY33">
        <f>0.962*(0.943*(0.9442 - 0.0007*$B33 - dis_BMI*($C33-21.75)))*AU33</f>
        <v>2.6317467100288136E-2</v>
      </c>
      <c r="BZ33">
        <f>0.962*(0.955*(0.9442 - 0.0007*$B33 - dis_BMI*($C33-21.75)) - 0.15*0.5)*AV33</f>
        <v>2.8191067078395388E-3</v>
      </c>
      <c r="CA33">
        <f>0.962*(0.955*(0.9442 - 0.0007*$B33 - dis_BMI*($C33-21.75)))*AW33</f>
        <v>1.8655846728975002E-2</v>
      </c>
      <c r="CB33">
        <f>0.962*(0.955*0.943*(0.9442 - 0.0007*$B33 - dis_BMI*($C33-21.75)) - 0.19*0.5)*AX33</f>
        <v>3.4455070735593576E-4</v>
      </c>
      <c r="CC33">
        <f>0.962*(0.955*0.943*(0.9442 - 0.0007*$B33 - dis_BMI*($C33-21.75)) - 0.15*0.5)*AY33</f>
        <v>2.4541826874697819E-4</v>
      </c>
      <c r="CD33">
        <f>0.962*(0.955*0.943*(0.9442 - 0.0007*$B33 - dis_BMI*($C33-21.75)))*AZ33</f>
        <v>1.1197578568364012E-3</v>
      </c>
      <c r="CE33">
        <f>0.962*(0.93*(0.9442 - 0.0007*$B33 - dis_BMI*($C33-21.75)))*BA33</f>
        <v>3.0758270957706776E-3</v>
      </c>
      <c r="CF33">
        <f>0.962*(0.93*(0.9442 - 0.0007*$B33 - dis_BMI*($C33-21.75)))*BB33</f>
        <v>1.7278265597577898E-2</v>
      </c>
      <c r="CG33">
        <f>0.962*(0.93*0.943*(0.9442 - 0.0007*$B33 - dis_BMI*($C33-21.75)))*BC33</f>
        <v>2.5655607777765461E-4</v>
      </c>
      <c r="CH33">
        <f>0.962*(0.93*0.943*(0.9442 - 0.0007*$B33 - dis_BMI*($C33-21.75))-0.19*0.5)*BD33</f>
        <v>2.5596025586989082E-4</v>
      </c>
      <c r="CI33">
        <f>0.962*(0.93*0.943*(0.9442 - 0.0007*$B33 - dis_BMI*($C33-21.75)))*BE33</f>
        <v>9.8119720478599833E-4</v>
      </c>
      <c r="CJ33">
        <f t="shared" si="17"/>
        <v>0</v>
      </c>
      <c r="CK33">
        <f t="shared" si="18"/>
        <v>0.52015611879582058</v>
      </c>
      <c r="CL33">
        <f>CK33/(1+r_)^A33</f>
        <v>0.21429743382506122</v>
      </c>
      <c r="CM33">
        <f t="shared" si="19"/>
        <v>0</v>
      </c>
      <c r="CN33">
        <f>AE33*c_Other</f>
        <v>281.06051911374055</v>
      </c>
      <c r="CO33">
        <f>AF33*(c_Stroke1+c_Stroke2)</f>
        <v>30.302677167889918</v>
      </c>
      <c r="CP33">
        <f>AG33*c_Stroke2</f>
        <v>34.820833638507565</v>
      </c>
      <c r="CQ33">
        <f>AH33*(c_MI1+c_MI2)</f>
        <v>16.84657626780411</v>
      </c>
      <c r="CR33">
        <f>AI33*c_MI2</f>
        <v>11.191488208269694</v>
      </c>
      <c r="CS33">
        <f>AJ33*(c_Stroke1+c_Stroke2+c_MI2)</f>
        <v>1.302417528949497</v>
      </c>
      <c r="CT33">
        <f>AK33*(c_Stroke2+c_MI1+c_MI2)</f>
        <v>1.2021709897536872</v>
      </c>
      <c r="CU33">
        <f>AL33*(c_Stroke2+c_MI2)</f>
        <v>1.4101094585610483</v>
      </c>
      <c r="CV33">
        <f>AM33*(c_HF1)</f>
        <v>16.086707403922695</v>
      </c>
      <c r="CW33">
        <f>AN33*(c_HF2)</f>
        <v>56.208443957613653</v>
      </c>
      <c r="CX33">
        <f>AO33*(c_Stroke2+c_HF1)</f>
        <v>1.1106292154185977</v>
      </c>
      <c r="CY33">
        <f>AP33*(c_Stroke1+c_Stroke2+c_HF2)</f>
        <v>1.5406207508046414</v>
      </c>
      <c r="CZ33">
        <f>AQ33*(c_Stroke2+c_HF2)</f>
        <v>3.0805616229432728</v>
      </c>
      <c r="DA33">
        <f>AR33*c_DM</f>
        <v>3564.7242885652722</v>
      </c>
      <c r="DB33">
        <f>AS33*(c_Other+c_DM)</f>
        <v>3050.6513775238104</v>
      </c>
      <c r="DC33">
        <f>AT33*(c_Stroke1+c_Stroke2+c_DM)</f>
        <v>304.65085591565622</v>
      </c>
      <c r="DD33">
        <f>AU33*(c_Stroke2+c_DM)</f>
        <v>620.48830817698445</v>
      </c>
      <c r="DE33">
        <f>AV33*(c_MI1+c_MI2+c_DM)</f>
        <v>163.92722953605653</v>
      </c>
      <c r="DF33">
        <f>AW33*(c_MI2+c_DM)</f>
        <v>352.35283976313792</v>
      </c>
      <c r="DG33">
        <f>AX33*(c_Stroke1+c_Stroke2+c_MI2+c_DM)</f>
        <v>20.823826951319955</v>
      </c>
      <c r="DH33">
        <f>AY33*(c_Stroke2+c_MI1+c_MI2+c_DM)</f>
        <v>17.668020572748627</v>
      </c>
      <c r="DI33">
        <f>AZ33*(c_Stroke2+c_MI2+c_DM)</f>
        <v>32.451749322161618</v>
      </c>
      <c r="DJ33">
        <f>BA33*(c_HF1+c_DM)</f>
        <v>157.75161998453655</v>
      </c>
      <c r="DK33">
        <f>BB33*(c_HF2+c_DM)</f>
        <v>622.88128880454747</v>
      </c>
      <c r="DL33">
        <f>BC33*(c_Stroke2+c_HF1+c_DM)</f>
        <v>16.31201869208606</v>
      </c>
      <c r="DM33">
        <f>BD33*(c_Stroke1+c_Stroke2+c_HF2+c_DM)</f>
        <v>21.139054152603173</v>
      </c>
      <c r="DN33">
        <f>BE33*(c_Stroke2+c_HF2+c_DM)</f>
        <v>46.530450433375435</v>
      </c>
      <c r="DO33">
        <f t="shared" si="20"/>
        <v>0</v>
      </c>
      <c r="DP33">
        <f t="shared" si="21"/>
        <v>9448.5166837184752</v>
      </c>
      <c r="DQ33">
        <f>DP33/(1+r_)^A33</f>
        <v>3892.6637707571576</v>
      </c>
    </row>
    <row r="34" spans="1:121" x14ac:dyDescent="0.3">
      <c r="A34">
        <v>31</v>
      </c>
      <c r="B34">
        <v>76</v>
      </c>
      <c r="C34">
        <f t="shared" si="0"/>
        <v>38</v>
      </c>
      <c r="D34">
        <f t="shared" si="1"/>
        <v>125</v>
      </c>
      <c r="E34">
        <f t="shared" si="2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2"/>
        <v>5.6857293942168513E-2</v>
      </c>
      <c r="J34">
        <f t="shared" si="23"/>
        <v>0.29759048326414084</v>
      </c>
      <c r="K34">
        <f t="shared" si="24"/>
        <v>0.3902509135925889</v>
      </c>
      <c r="L34">
        <f t="shared" si="25"/>
        <v>0.15398888972455549</v>
      </c>
      <c r="M34">
        <f t="shared" si="26"/>
        <v>0.2087917509135393</v>
      </c>
      <c r="N34">
        <f t="shared" si="27"/>
        <v>0.61786991669605928</v>
      </c>
      <c r="O34">
        <f t="shared" si="28"/>
        <v>0.74315619516377829</v>
      </c>
      <c r="P34">
        <f t="shared" si="29"/>
        <v>0.37699167846352788</v>
      </c>
      <c r="Q34">
        <f t="shared" si="30"/>
        <v>0.48758470643600882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2.4484419605649645E-2</v>
      </c>
      <c r="U34">
        <f t="shared" si="31"/>
        <v>0.53641071833115861</v>
      </c>
      <c r="V34">
        <f t="shared" si="32"/>
        <v>0.65926034216361562</v>
      </c>
      <c r="W34">
        <f t="shared" si="33"/>
        <v>0.30505900646312556</v>
      </c>
      <c r="X34">
        <f t="shared" si="34"/>
        <v>0.39931133305073585</v>
      </c>
      <c r="Y34">
        <f t="shared" si="35"/>
        <v>0.80543327087919958</v>
      </c>
      <c r="Z34">
        <f t="shared" si="36"/>
        <v>0.90103952380709251</v>
      </c>
      <c r="AA34">
        <f t="shared" si="37"/>
        <v>0.55300786128738944</v>
      </c>
      <c r="AB34">
        <f t="shared" si="38"/>
        <v>0.67946341044192926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4.1756571174796198E-2</v>
      </c>
      <c r="AD34">
        <f t="shared" ref="AD34:AD44" si="46">AD33*(1-T33-H33)*(1-I33)</f>
        <v>7.6796192013279752E-2</v>
      </c>
      <c r="AE34">
        <f t="shared" ref="AE34:AE44" si="47">AD33*T33*p_Other*(1-I33) + AE33*(1-T33*(1-p_Other)-H33*rr_Other)*(1-I33)</f>
        <v>1.8470482884792812E-2</v>
      </c>
      <c r="AF34">
        <f t="shared" ref="AF34:AF44" si="48">AD33*T33*p_Stroke*p_Stroke_rec*(1-I33)+AE33*T33*p_Stroke*p_Stroke_rec*(1-I33) + AF33*p_recur_Stroke*p_Stroke_rec*(1-I33) + AG33*p_recur_Stroke*p_Stroke_rec*(1-I33)</f>
        <v>1.190131220765102E-3</v>
      </c>
      <c r="AG34">
        <f t="shared" ref="AG34:AG44" si="49">AF33*(1-p_recur_Stroke-T33*p_MI-H33*rr_Stroke)*(1-I33) + AG33*(1-p_recur_Stroke-T33*p_MI-H33*rr_Stroke)*(1-I33)</f>
        <v>4.9412004807783639E-3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5.2878142449454735E-4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3.136385862509904E-3</v>
      </c>
      <c r="AJ34">
        <f t="shared" ref="AJ34:AJ44" si="50">AH33*T33*p_Stroke*p_Stroke_rec*(1-I33) + AI33*T33*p_Stroke*p_Stroke_rec*(1-I33) + AJ33*p_recur_Stroke*p_Stroke_rec*(1-I33) + AK33*p_recur_Stroke*p_Stroke_rec*(1-I33) + AL33*p_recur_Stroke*p_Stroke_rec*(1-I33)</f>
        <v>4.3570181473597398E-5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3.1721175262890935E-5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1.2778022885115095E-4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5.3186168290162317E-4</v>
      </c>
      <c r="AN34">
        <f t="shared" ref="AN34:AN44" si="51">AM33*(1-T33*p_Stroke - H33*rr_HF)*(1-I33) + AN33*(1-T33*p_Stroke-H33*rr_HF)*(1-I33)</f>
        <v>3.7423457393581903E-3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3.0294879678149895E-5</v>
      </c>
      <c r="AP34">
        <f>AM33*T33*p_Stroke*p_Stroke_rec*(1-I33) + AN33*T33*p_Stroke*p_Stroke_rec*(1-I33) + AO33*(p_recur_Stroke*p_Stroke_rec)*(1-I33) + AP33*(p_recur_Stroke*p_Stroke_rec)*(1-I33) + AQ33*(p_recur_Stroke*p_Stroke_rec)*(1-I33)</f>
        <v>4.1921639724201361E-5</v>
      </c>
      <c r="AQ34">
        <f>AO33*(1-p_recur_Stroke-H33*rr_Stroke*rr_HF)*(1-I33) + AP33*(1-p_recur_Stroke-H33*rr_Stroke*rr_HF)*(1-I33) + AQ33*(1-p_recur_Stroke-H33*rr_Stroke*rr_HF)*(1-I33)</f>
        <v>1.449059896550314E-4</v>
      </c>
      <c r="AR34">
        <f>AR33*(1-AC33-H33*rr_DM) + AD33*(1-T33-H33)*I33</f>
        <v>0.29425600953301495</v>
      </c>
      <c r="AS34">
        <f>AR33*AC33*p_Other + AD33*T33*p_Other*I33 + AE33*(1-T33*p_Stroke-T33*p_MI-H33*rr_Other)*I33 + AS33*(1-AC33*p_Stroke-AC33*p_MI-H33*rr_Other*rr_DM)</f>
        <v>0.11760704333946261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8.5566709764861443E-3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3.3776146335119162E-2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3.911929248020151E-3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2.2451372438005452E-2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5.1770669098790594E-4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3.7332267973568781E-4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1.4159727015932216E-3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3.8885324829853623E-3</v>
      </c>
      <c r="BB34">
        <f>AM33*(1-T33*p_Stroke - H33*rr_HF)*I33 + AN33*(1-T33*p_Stroke - H33*rr_HF)*I33 + BA33*(1-AC33*p_Stroke - H33*rr_HF*rr_DM) + BB33*(1-AC33*p_Stroke - H33*rr_HF*rr_DM)</f>
        <v>2.5583981247507423E-2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3.5132604197678219E-4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4.754616426863431E-4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1.5319798981986805E-3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0.3755449693406942</v>
      </c>
      <c r="BG34">
        <f t="shared" si="16"/>
        <v>0.99999999999999933</v>
      </c>
      <c r="BH34">
        <f>(0.9442 - 0.0007*$B34 - dis_BMI*($C34-21.75))*AD34</f>
        <v>6.4307211287120136E-2</v>
      </c>
      <c r="BI34">
        <f>0.959*(0.9442 - 0.0007*$B34 - dis_BMI*($C34-21.75))*AE34</f>
        <v>1.483258506082159E-2</v>
      </c>
      <c r="BJ34">
        <f>(0.943*(0.9442 - 0.0007*$B34 - dis_BMI*($C34-21.75)) - 0.19*0.5)*AF34</f>
        <v>8.2671825554916651E-4</v>
      </c>
      <c r="BK34">
        <f>(0.943*(0.9442 - 0.0007*$B34 - dis_BMI*($C34-21.75)))*AG34</f>
        <v>3.9017924006940507E-3</v>
      </c>
      <c r="BL34">
        <f>(0.955*(0.9442 - 0.0007*$B34 - dis_BMI*($C34-21.75)) - 0.15*0.5)*AH34</f>
        <v>3.8320426295890503E-4</v>
      </c>
      <c r="BM34">
        <f>(0.955*(0.9442 - 0.0007*$B34 - dis_BMI*($C34-21.75)))*AI34</f>
        <v>2.5081462115963652E-3</v>
      </c>
      <c r="BN34">
        <f>(0.955*0.943*(0.9442 - 0.0007*$B34 - dis_BMI*($C34-21.75)) - 0.19*0.5)*AJ34</f>
        <v>2.8717569188418474E-5</v>
      </c>
      <c r="BO34">
        <f>(0.955*0.943*(0.9442 - 0.0007*$B34 - dis_BMI*($C34-21.75)) - 0.15*0.5)*AK34</f>
        <v>2.154218690078185E-5</v>
      </c>
      <c r="BP34">
        <f>(0.955*0.943*(0.9442 - 0.0007*$B34 - dis_BMI*($C34-21.75)))*AL34</f>
        <v>9.6360427203370097E-5</v>
      </c>
      <c r="BQ34">
        <f>(0.93*(0.9442 - 0.0007*$B34 - dis_BMI*($C34-21.75)))*AM34</f>
        <v>4.1419193934936447E-4</v>
      </c>
      <c r="BR34">
        <f>(0.93*(0.9442 - 0.0007*$B34 - dis_BMI*($C34-21.75)))*AN34</f>
        <v>2.9143844900504103E-3</v>
      </c>
      <c r="BS34">
        <f>(0.93*0.943*(0.9442 - 0.0007*$B34 - dis_BMI*($C34-21.75)))*AO34</f>
        <v>2.2247635679671698E-5</v>
      </c>
      <c r="BT34">
        <f>(0.93*0.943*(0.9442 - 0.0007*$B34 - dis_BMI*($C34-21.75))-0.19*0.5)*AP34</f>
        <v>2.6803417882044812E-5</v>
      </c>
      <c r="BU34">
        <f>(0.93*0.943*(0.9442 - 0.0007*$B34 - dis_BMI*($C34-21.75)))*AQ34</f>
        <v>1.0641453935110306E-4</v>
      </c>
      <c r="BV34">
        <f>0.962*(0.9442 - 0.0007*$B34 - dis_BMI*($C34-21.75))*AR34</f>
        <v>0.23703932619536547</v>
      </c>
      <c r="BW34">
        <f>0.962*0.959*(0.9442 - 0.0007*$B34 - dis_BMI*($C34-21.75))*AS34</f>
        <v>9.0854616987341985E-2</v>
      </c>
      <c r="BX34">
        <f>0.962*(0.943*(0.9442 - 0.0007*$B34 - dis_BMI*($C34-21.75)) - 0.19*0.5)*AT34</f>
        <v>5.7179793726446363E-3</v>
      </c>
      <c r="BY34">
        <f>0.962*(0.943*(0.9442 - 0.0007*$B34 - dis_BMI*($C34-21.75)))*AU34</f>
        <v>2.5657648615284162E-2</v>
      </c>
      <c r="BZ34">
        <f>0.962*(0.955*(0.9442 - 0.0007*$B34 - dis_BMI*($C34-21.75)) - 0.15*0.5)*AV34</f>
        <v>2.7272201987286115E-3</v>
      </c>
      <c r="CA34">
        <f>0.962*(0.955*(0.9442 - 0.0007*$B34 - dis_BMI*($C34-21.75)))*AW34</f>
        <v>1.7271948274438922E-2</v>
      </c>
      <c r="CB34">
        <f>0.962*(0.955*0.943*(0.9442 - 0.0007*$B34 - dis_BMI*($C34-21.75)) - 0.19*0.5)*AX34</f>
        <v>3.2825938935197423E-4</v>
      </c>
      <c r="CC34">
        <f>0.962*(0.955*0.943*(0.9442 - 0.0007*$B34 - dis_BMI*($C34-21.75)) - 0.15*0.5)*AY34</f>
        <v>2.438933543062392E-4</v>
      </c>
      <c r="CD34">
        <f>0.962*(0.955*0.943*(0.9442 - 0.0007*$B34 - dis_BMI*($C34-21.75)))*AZ34</f>
        <v>1.0272236456725129E-3</v>
      </c>
      <c r="CE34">
        <f>0.962*(0.93*(0.9442 - 0.0007*$B34 - dis_BMI*($C34-21.75)))*BA34</f>
        <v>2.9131560053442824E-3</v>
      </c>
      <c r="CF34">
        <f>0.962*(0.93*(0.9442 - 0.0007*$B34 - dis_BMI*($C34-21.75)))*BB34</f>
        <v>1.9166646784591696E-2</v>
      </c>
      <c r="CG34">
        <f>0.962*(0.93*0.943*(0.9442 - 0.0007*$B34 - dis_BMI*($C34-21.75)))*BC34</f>
        <v>2.4819901127416628E-4</v>
      </c>
      <c r="CH34">
        <f>0.962*(0.93*0.943*(0.9442 - 0.0007*$B34 - dis_BMI*($C34-21.75))-0.19*0.5)*BD34</f>
        <v>2.9244383776065374E-4</v>
      </c>
      <c r="CI34">
        <f>0.962*(0.93*0.943*(0.9442 - 0.0007*$B34 - dis_BMI*($C34-21.75)))*BE34</f>
        <v>1.0822878198421134E-3</v>
      </c>
      <c r="CJ34">
        <f t="shared" si="17"/>
        <v>0</v>
      </c>
      <c r="CK34">
        <f t="shared" si="18"/>
        <v>0.49496116917629279</v>
      </c>
      <c r="CL34">
        <f>CK34/(1+r_)^A34</f>
        <v>0.19797810502441301</v>
      </c>
      <c r="CM34">
        <f t="shared" si="19"/>
        <v>0</v>
      </c>
      <c r="CN34">
        <f>AE34*c_Other</f>
        <v>263.74002511195658</v>
      </c>
      <c r="CO34">
        <f>AF34*(c_Stroke1+c_Stroke2)</f>
        <v>28.34416515374167</v>
      </c>
      <c r="CP34">
        <f>AG34*c_Stroke2</f>
        <v>32.117803125059368</v>
      </c>
      <c r="CQ34">
        <f>AH34*(c_MI1+c_MI2)</f>
        <v>15.41450730544055</v>
      </c>
      <c r="CR34">
        <f>AI34*c_MI2</f>
        <v>9.7761147334433716</v>
      </c>
      <c r="CS34">
        <f>AJ34*(c_Stroke1+c_Stroke2+c_MI2)</f>
        <v>1.1734756976283987</v>
      </c>
      <c r="CT34">
        <f>AK34*(c_Stroke2+c_MI1+c_MI2)</f>
        <v>1.1308916192973246</v>
      </c>
      <c r="CU34">
        <f>AL34*(c_Stroke2+c_MI2)</f>
        <v>1.2288624608615186</v>
      </c>
      <c r="CV34">
        <f>AM34*(c_HF1)</f>
        <v>14.376221288830875</v>
      </c>
      <c r="CW34">
        <f>AN34*(c_HF2)</f>
        <v>58.399305262684557</v>
      </c>
      <c r="CX34">
        <f>AO34*(c_Stroke2+c_HF1)</f>
        <v>1.0157873156083659</v>
      </c>
      <c r="CY34">
        <f>AP34*(c_Stroke1+c_Stroke2+c_HF2)</f>
        <v>1.6525929595677418</v>
      </c>
      <c r="CZ34">
        <f>AQ34*(c_Stroke2+c_HF2)</f>
        <v>3.2031469013244691</v>
      </c>
      <c r="DA34">
        <f>AR34*c_DM</f>
        <v>3361.8749089146959</v>
      </c>
      <c r="DB34">
        <f>AS34*(c_Other+c_DM)</f>
        <v>3022.9714419975467</v>
      </c>
      <c r="DC34">
        <f>AT34*(c_Stroke1+c_Stroke2+c_DM)</f>
        <v>301.54564188234821</v>
      </c>
      <c r="DD34">
        <f>AU34*(c_Stroke2+c_DM)</f>
        <v>605.43742305701096</v>
      </c>
      <c r="DE34">
        <f>AV34*(c_MI1+c_MI2+c_DM)</f>
        <v>158.73044116766565</v>
      </c>
      <c r="DF34">
        <f>AW34*(c_MI2+c_DM)</f>
        <v>326.4878579934753</v>
      </c>
      <c r="DG34">
        <f>AX34*(c_Stroke1+c_Stroke2+c_MI2+c_DM)</f>
        <v>19.858193252914095</v>
      </c>
      <c r="DH34">
        <f>AY34*(c_Stroke2+c_MI1+c_MI2+c_DM)</f>
        <v>17.57453847123724</v>
      </c>
      <c r="DI34">
        <f>AZ34*(c_Stroke2+c_MI2+c_DM)</f>
        <v>29.79489758692457</v>
      </c>
      <c r="DJ34">
        <f>BA34*(c_HF1+c_DM)</f>
        <v>149.53351663320211</v>
      </c>
      <c r="DK34">
        <f>BB34*(c_HF2+c_DM)</f>
        <v>691.53501312012565</v>
      </c>
      <c r="DL34">
        <f>BC34*(c_Stroke2+c_HF1+c_DM)</f>
        <v>15.793862217066243</v>
      </c>
      <c r="DM34">
        <f>BD34*(c_Stroke1+c_Stroke2+c_HF2+c_DM)</f>
        <v>24.175322684029801</v>
      </c>
      <c r="DN34">
        <f>BE34*(c_Stroke2+c_HF2+c_DM)</f>
        <v>51.367285986601757</v>
      </c>
      <c r="DO34">
        <f t="shared" si="20"/>
        <v>0</v>
      </c>
      <c r="DP34">
        <f t="shared" si="21"/>
        <v>9208.253243900288</v>
      </c>
      <c r="DQ34">
        <f>DP34/(1+r_)^A34</f>
        <v>3683.1829269478808</v>
      </c>
    </row>
    <row r="35" spans="1:121" x14ac:dyDescent="0.3">
      <c r="A35">
        <v>32</v>
      </c>
      <c r="B35">
        <v>77</v>
      </c>
      <c r="C35">
        <f t="shared" si="0"/>
        <v>38</v>
      </c>
      <c r="D35">
        <f t="shared" si="1"/>
        <v>125</v>
      </c>
      <c r="E35">
        <f t="shared" si="2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2"/>
        <v>5.6857293942168513E-2</v>
      </c>
      <c r="J35">
        <f t="shared" si="23"/>
        <v>0.30651768621003939</v>
      </c>
      <c r="K35">
        <f t="shared" si="24"/>
        <v>0.40107639213352453</v>
      </c>
      <c r="L35">
        <f t="shared" si="25"/>
        <v>0.15909615737533123</v>
      </c>
      <c r="M35">
        <f t="shared" si="26"/>
        <v>0.21547300281989656</v>
      </c>
      <c r="N35">
        <f t="shared" si="27"/>
        <v>0.63283664617823354</v>
      </c>
      <c r="O35">
        <f t="shared" si="28"/>
        <v>0.75725457626326675</v>
      </c>
      <c r="P35">
        <f t="shared" si="29"/>
        <v>0.3891161838859023</v>
      </c>
      <c r="Q35">
        <f t="shared" si="30"/>
        <v>0.50161851385094891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2.5225827388734669E-2</v>
      </c>
      <c r="U35">
        <f t="shared" si="31"/>
        <v>0.54913762009165645</v>
      </c>
      <c r="V35">
        <f t="shared" si="32"/>
        <v>0.67228856155628725</v>
      </c>
      <c r="W35">
        <f t="shared" si="33"/>
        <v>0.31415681290865149</v>
      </c>
      <c r="X35">
        <f t="shared" si="34"/>
        <v>0.41029571529758535</v>
      </c>
      <c r="Y35">
        <f t="shared" si="35"/>
        <v>0.8182218547324549</v>
      </c>
      <c r="Z35">
        <f t="shared" si="36"/>
        <v>0.91010395618238449</v>
      </c>
      <c r="AA35">
        <f t="shared" si="37"/>
        <v>0.56770930150000942</v>
      </c>
      <c r="AB35">
        <f t="shared" si="38"/>
        <v>0.69425781222596084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4.2814207251850027E-2</v>
      </c>
      <c r="AD35">
        <f t="shared" si="46"/>
        <v>6.8605156470430056E-2</v>
      </c>
      <c r="AE35">
        <f t="shared" si="47"/>
        <v>1.7266383420749681E-2</v>
      </c>
      <c r="AF35">
        <f t="shared" si="48"/>
        <v>1.1039168851875228E-3</v>
      </c>
      <c r="AG35">
        <f t="shared" si="49"/>
        <v>4.5450556147462462E-3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4.8256540112147291E-4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2.7499445922808223E-3</v>
      </c>
      <c r="AJ35">
        <f t="shared" si="50"/>
        <v>3.905363424612065E-5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2.9562385483512175E-5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1.1220449123646394E-4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4.7489716698605969E-4</v>
      </c>
      <c r="AN35">
        <f t="shared" si="51"/>
        <v>3.8007091769280297E-3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2.7473448764386796E-5</v>
      </c>
      <c r="AP35">
        <f>AM34*T34*p_Stroke*p_Stroke_rec*(1-I34) + AN34*T34*p_Stroke*p_Stroke_rec*(1-I34) + AO34*(p_recur_Stroke*p_Stroke_rec)*(1-I34) + AP34*(p_recur_Stroke*p_Stroke_rec)*(1-I34) + AQ34*(p_recur_Stroke*p_Stroke_rec)*(1-I34)</f>
        <v>4.3492629640208376E-5</v>
      </c>
      <c r="AQ35">
        <f>AO34*(1-p_recur_Stroke-H34*rr_Stroke*rr_HF)*(1-I34) + AP34*(1-p_recur_Stroke-H34*rr_Stroke*rr_HF)*(1-I34) + AQ34*(1-p_recur_Stroke-H34*rr_Stroke*rr_HF)*(1-I34)</f>
        <v>1.4716792217334351E-4</v>
      </c>
      <c r="AR35">
        <f>AR34*(1-AC34-H34*rr_DM) + AD34*(1-T34-H34)*I34</f>
        <v>0.27652141500453131</v>
      </c>
      <c r="AS35">
        <f>AR34*AC34*p_Other + AD34*T34*p_Other*I34 + AE34*(1-T34*p_Stroke-T34*p_MI-H34*rr_Other)*I34 + AS34*(1-AC34*p_Stroke-AC34*p_MI-H34*rr_Other*rr_DM)</f>
        <v>0.11591854334339551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8.3791870329401399E-3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3.2822673519420274E-2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3.7696664145983978E-3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2.0856715655219286E-2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4.8998534768715204E-4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3.6679587694332536E-4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1.3098471675825102E-3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3.6752302382994815E-3</v>
      </c>
      <c r="BB35">
        <f>AM34*(1-T34*p_Stroke - H34*rr_HF)*I34 + AN34*(1-T34*p_Stroke - H34*rr_HF)*I34 + BA34*(1-AC34*p_Stroke - H34*rr_HF*rr_DM) + BB34*(1-AC34*p_Stroke - H34*rr_HF*rr_DM)</f>
        <v>2.7671638162507547E-2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3.3625271124587214E-4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5.2343989978823416E-4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1.6469727172303203E-3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0.40628405366863612</v>
      </c>
      <c r="BG35">
        <f t="shared" si="16"/>
        <v>0.99999999999999933</v>
      </c>
      <c r="BH35">
        <f>(0.9442 - 0.0007*$B35 - dis_BMI*($C35-21.75))*AD35</f>
        <v>5.7400219289897074E-2</v>
      </c>
      <c r="BI35">
        <f>0.959*(0.9442 - 0.0007*$B35 - dis_BMI*($C35-21.75))*AE35</f>
        <v>1.3854050943264955E-2</v>
      </c>
      <c r="BJ35">
        <f>(0.943*(0.9442 - 0.0007*$B35 - dis_BMI*($C35-21.75)) - 0.19*0.5)*AF35</f>
        <v>7.6610123520634262E-4</v>
      </c>
      <c r="BK35">
        <f>(0.943*(0.9442 - 0.0007*$B35 - dis_BMI*($C35-21.75)))*AG35</f>
        <v>3.5859785452991501E-3</v>
      </c>
      <c r="BL35">
        <f>(0.955*(0.9442 - 0.0007*$B35 - dis_BMI*($C35-21.75)) - 0.15*0.5)*AH35</f>
        <v>3.4938923358494904E-4</v>
      </c>
      <c r="BM35">
        <f>(0.955*(0.9442 - 0.0007*$B35 - dis_BMI*($C35-21.75)))*AI35</f>
        <v>2.1972734466179623E-3</v>
      </c>
      <c r="BN35">
        <f>(0.955*0.943*(0.9442 - 0.0007*$B35 - dis_BMI*($C35-21.75)) - 0.19*0.5)*AJ35</f>
        <v>2.5716045723883808E-5</v>
      </c>
      <c r="BO35">
        <f>(0.955*0.943*(0.9442 - 0.0007*$B35 - dis_BMI*($C35-21.75)) - 0.15*0.5)*AK35</f>
        <v>2.005749384722643E-5</v>
      </c>
      <c r="BP35">
        <f>(0.955*0.943*(0.9442 - 0.0007*$B35 - dis_BMI*($C35-21.75)))*AL35</f>
        <v>8.4543864896120103E-5</v>
      </c>
      <c r="BQ35">
        <f>(0.93*(0.9442 - 0.0007*$B35 - dis_BMI*($C35-21.75)))*AM35</f>
        <v>3.6952116608489723E-4</v>
      </c>
      <c r="BR35">
        <f>(0.93*(0.9442 - 0.0007*$B35 - dis_BMI*($C35-21.75)))*AN35</f>
        <v>2.9573612660638215E-3</v>
      </c>
      <c r="BS35">
        <f>(0.93*0.943*(0.9442 - 0.0007*$B35 - dis_BMI*($C35-21.75)))*AO35</f>
        <v>2.0158797108837848E-5</v>
      </c>
      <c r="BT35">
        <f>(0.93*0.943*(0.9442 - 0.0007*$B35 - dis_BMI*($C35-21.75))-0.19*0.5)*AP35</f>
        <v>2.7781161100223284E-5</v>
      </c>
      <c r="BU35">
        <f>(0.93*0.943*(0.9442 - 0.0007*$B35 - dis_BMI*($C35-21.75)))*AQ35</f>
        <v>1.0798528824919035E-4</v>
      </c>
      <c r="BV35">
        <f>0.962*(0.9442 - 0.0007*$B35 - dis_BMI*($C35-21.75))*AR35</f>
        <v>0.22256692981275744</v>
      </c>
      <c r="BW35">
        <f>0.962*0.959*(0.9442 - 0.0007*$B35 - dis_BMI*($C35-21.75))*AS35</f>
        <v>8.9475346036358788E-2</v>
      </c>
      <c r="BX35">
        <f>0.962*(0.943*(0.9442 - 0.0007*$B35 - dis_BMI*($C35-21.75)) - 0.19*0.5)*AT35</f>
        <v>5.5940551398893602E-3</v>
      </c>
      <c r="BY35">
        <f>0.962*(0.943*(0.9442 - 0.0007*$B35 - dis_BMI*($C35-21.75)))*AU35</f>
        <v>2.4912511379863788E-2</v>
      </c>
      <c r="BZ35">
        <f>0.962*(0.955*(0.9442 - 0.0007*$B35 - dis_BMI*($C35-21.75)) - 0.15*0.5)*AV35</f>
        <v>2.6256167223409213E-3</v>
      </c>
      <c r="CA35">
        <f>0.962*(0.955*(0.9442 - 0.0007*$B35 - dis_BMI*($C35-21.75)))*AW35</f>
        <v>1.6031758287747777E-2</v>
      </c>
      <c r="CB35">
        <f>0.962*(0.955*0.943*(0.9442 - 0.0007*$B35 - dis_BMI*($C35-21.75)) - 0.19*0.5)*AX35</f>
        <v>3.1038512512735167E-4</v>
      </c>
      <c r="CC35">
        <f>0.962*(0.955*0.943*(0.9442 - 0.0007*$B35 - dis_BMI*($C35-21.75)) - 0.15*0.5)*AY35</f>
        <v>2.3940692537200274E-4</v>
      </c>
      <c r="CD35">
        <f>0.962*(0.955*0.943*(0.9442 - 0.0007*$B35 - dis_BMI*($C35-21.75)))*AZ35</f>
        <v>9.4944006431318213E-4</v>
      </c>
      <c r="CE35">
        <f>0.962*(0.93*(0.9442 - 0.0007*$B35 - dis_BMI*($C35-21.75)))*BA35</f>
        <v>2.7510555764598773E-3</v>
      </c>
      <c r="CF35">
        <f>0.962*(0.93*(0.9442 - 0.0007*$B35 - dis_BMI*($C35-21.75)))*BB35</f>
        <v>2.0713318497284056E-2</v>
      </c>
      <c r="CG35">
        <f>0.962*(0.93*0.943*(0.9442 - 0.0007*$B35 - dis_BMI*($C35-21.75)))*BC35</f>
        <v>2.3735167478462134E-4</v>
      </c>
      <c r="CH35">
        <f>0.962*(0.93*0.943*(0.9442 - 0.0007*$B35 - dis_BMI*($C35-21.75))-0.19*0.5)*BD35</f>
        <v>3.216448650518336E-4</v>
      </c>
      <c r="CI35">
        <f>0.962*(0.93*0.943*(0.9442 - 0.0007*$B35 - dis_BMI*($C35-21.75)))*BE35</f>
        <v>1.1625534001221945E-3</v>
      </c>
      <c r="CJ35">
        <f t="shared" si="17"/>
        <v>0</v>
      </c>
      <c r="CK35">
        <f t="shared" si="18"/>
        <v>0.46965751128441785</v>
      </c>
      <c r="CL35">
        <f>CK35/(1+r_)^A35</f>
        <v>0.18238540499233932</v>
      </c>
      <c r="CM35">
        <f t="shared" si="19"/>
        <v>0</v>
      </c>
      <c r="CN35">
        <f>AE35*c_Other</f>
        <v>246.54668886488469</v>
      </c>
      <c r="CO35">
        <f>AF35*(c_Stroke1+c_Stroke2)</f>
        <v>26.290884537626042</v>
      </c>
      <c r="CP35">
        <f>AG35*c_Stroke2</f>
        <v>29.542861495850602</v>
      </c>
      <c r="CQ35">
        <f>AH35*(c_MI1+c_MI2)</f>
        <v>14.067264008092057</v>
      </c>
      <c r="CR35">
        <f>AI35*c_MI2</f>
        <v>8.5715772941393222</v>
      </c>
      <c r="CS35">
        <f>AJ35*(c_Stroke1+c_Stroke2+c_MI2)</f>
        <v>1.0518315311507676</v>
      </c>
      <c r="CT35">
        <f>AK35*(c_Stroke2+c_MI1+c_MI2)</f>
        <v>1.0539286048726926</v>
      </c>
      <c r="CU35">
        <f>AL35*(c_Stroke2+c_MI2)</f>
        <v>1.0790705922210737</v>
      </c>
      <c r="CV35">
        <f>AM35*(c_HF1)</f>
        <v>12.836470423633193</v>
      </c>
      <c r="CW35">
        <f>AN35*(c_HF2)</f>
        <v>59.310066705961901</v>
      </c>
      <c r="CX35">
        <f>AO35*(c_Stroke2+c_HF1)</f>
        <v>0.92118473706988924</v>
      </c>
      <c r="CY35">
        <f>AP35*(c_Stroke1+c_Stroke2+c_HF2)</f>
        <v>1.7145229530466544</v>
      </c>
      <c r="CZ35">
        <f>AQ35*(c_Stroke2+c_HF2)</f>
        <v>3.2531469196417584</v>
      </c>
      <c r="DA35">
        <f>AR35*c_DM</f>
        <v>3159.2571664267703</v>
      </c>
      <c r="DB35">
        <f>AS35*(c_Other+c_DM)</f>
        <v>2979.5702380986381</v>
      </c>
      <c r="DC35">
        <f>AT35*(c_Stroke1+c_Stroke2+c_DM)</f>
        <v>295.29093022784349</v>
      </c>
      <c r="DD35">
        <f>AU35*(c_Stroke2+c_DM)</f>
        <v>588.34642283560845</v>
      </c>
      <c r="DE35">
        <f>AV35*(c_MI1+c_MI2+c_DM)</f>
        <v>152.95798443874457</v>
      </c>
      <c r="DF35">
        <f>AW35*(c_MI2+c_DM)</f>
        <v>303.29835905819886</v>
      </c>
      <c r="DG35">
        <f>AX35*(c_Stroke1+c_Stroke2+c_MI2+c_DM)</f>
        <v>18.794857966583777</v>
      </c>
      <c r="DH35">
        <f>AY35*(c_Stroke2+c_MI1+c_MI2+c_DM)</f>
        <v>17.267282702983984</v>
      </c>
      <c r="DI35">
        <f>AZ35*(c_Stroke2+c_MI2+c_DM)</f>
        <v>27.561804100271178</v>
      </c>
      <c r="DJ35">
        <f>BA35*(c_HF1+c_DM)</f>
        <v>141.33097881380655</v>
      </c>
      <c r="DK35">
        <f>BB35*(c_HF2+c_DM)</f>
        <v>747.96437953257896</v>
      </c>
      <c r="DL35">
        <f>BC35*(c_Stroke2+c_HF1+c_DM)</f>
        <v>15.116240634058181</v>
      </c>
      <c r="DM35">
        <f>BD35*(c_Stroke1+c_Stroke2+c_HF2+c_DM)</f>
        <v>26.614825144632555</v>
      </c>
      <c r="DN35">
        <f>BE35*(c_Stroke2+c_HF2+c_DM)</f>
        <v>55.222995208732641</v>
      </c>
      <c r="DO35">
        <f t="shared" si="20"/>
        <v>0</v>
      </c>
      <c r="DP35">
        <f t="shared" si="21"/>
        <v>8934.8339638576417</v>
      </c>
      <c r="DQ35">
        <f>DP35/(1+r_)^A35</f>
        <v>3469.7269220307057</v>
      </c>
    </row>
    <row r="36" spans="1:121" x14ac:dyDescent="0.3">
      <c r="A36">
        <v>33</v>
      </c>
      <c r="B36">
        <v>78</v>
      </c>
      <c r="C36">
        <f t="shared" si="0"/>
        <v>38</v>
      </c>
      <c r="D36">
        <f t="shared" si="1"/>
        <v>125</v>
      </c>
      <c r="E36">
        <f t="shared" si="2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22"/>
        <v>5.6857293942168513E-2</v>
      </c>
      <c r="J36">
        <f t="shared" si="23"/>
        <v>0.31552934960597134</v>
      </c>
      <c r="K36">
        <f t="shared" si="24"/>
        <v>0.41194782818249454</v>
      </c>
      <c r="L36">
        <f t="shared" si="25"/>
        <v>0.16428698246591633</v>
      </c>
      <c r="M36">
        <f t="shared" si="26"/>
        <v>0.22224693066177359</v>
      </c>
      <c r="N36">
        <f t="shared" si="27"/>
        <v>0.64760911079502304</v>
      </c>
      <c r="O36">
        <f t="shared" si="28"/>
        <v>0.77093914420426535</v>
      </c>
      <c r="P36">
        <f t="shared" si="29"/>
        <v>0.40133215973817193</v>
      </c>
      <c r="Q36">
        <f t="shared" si="30"/>
        <v>0.51564232483280403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2.5973371983828306E-2</v>
      </c>
      <c r="U36">
        <f t="shared" si="31"/>
        <v>0.56179094069282587</v>
      </c>
      <c r="V36">
        <f t="shared" si="32"/>
        <v>0.68509625975395627</v>
      </c>
      <c r="W36">
        <f t="shared" si="33"/>
        <v>0.32333709974294222</v>
      </c>
      <c r="X36">
        <f t="shared" si="34"/>
        <v>0.42132068428144342</v>
      </c>
      <c r="Y36">
        <f t="shared" si="35"/>
        <v>0.83049079977121298</v>
      </c>
      <c r="Z36">
        <f t="shared" si="36"/>
        <v>0.91855608605963635</v>
      </c>
      <c r="AA36">
        <f t="shared" si="37"/>
        <v>0.5823160209688939</v>
      </c>
      <c r="AB36">
        <f t="shared" si="38"/>
        <v>0.70875252668497835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4.3869475027820376E-2</v>
      </c>
      <c r="AD36">
        <f t="shared" si="46"/>
        <v>6.1046462550208555E-2</v>
      </c>
      <c r="AE36">
        <f t="shared" si="47"/>
        <v>1.602883261080355E-2</v>
      </c>
      <c r="AF36">
        <f t="shared" si="48"/>
        <v>1.0204902053495566E-3</v>
      </c>
      <c r="AG36">
        <f t="shared" si="49"/>
        <v>4.1367938269428811E-3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4.4034375960702447E-4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2.4104124165510352E-3</v>
      </c>
      <c r="AJ36">
        <f t="shared" si="50"/>
        <v>3.5100968508501452E-5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2.7517337439728348E-5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9.7389919088876592E-5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4.2489765346960496E-4</v>
      </c>
      <c r="AN36">
        <f t="shared" si="51"/>
        <v>3.7793360692427043E-3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2.495397109574201E-5</v>
      </c>
      <c r="AP36">
        <f>AM35*T35*p_Stroke*p_Stroke_rec*(1-I35) + AN35*T35*p_Stroke*p_Stroke_rec*(1-I35) + AO35*(p_recur_Stroke*p_Stroke_rec)*(1-I35) + AP35*(p_recur_Stroke*p_Stroke_rec)*(1-I35) + AQ35*(p_recur_Stroke*p_Stroke_rec)*(1-I35)</f>
        <v>4.4237412017606424E-5</v>
      </c>
      <c r="AQ36">
        <f>AO35*(1-p_recur_Stroke-H35*rr_Stroke*rr_HF)*(1-I35) + AP35*(1-p_recur_Stroke-H35*rr_Stroke*rr_HF)*(1-I35) + AQ35*(1-p_recur_Stroke-H35*rr_Stroke*rr_HF)*(1-I35)</f>
        <v>1.4435167536864873E-4</v>
      </c>
      <c r="AR36">
        <f>AR35*(1-AC35-H35*rr_DM) + AD35*(1-T35-H35)*I35</f>
        <v>0.25840661934919135</v>
      </c>
      <c r="AS36">
        <f>AR35*AC35*p_Other + AD35*T35*p_Other*I35 + AE35*(1-T35*p_Stroke-T35*p_MI-H35*rr_Other)*I35 + AS35*(1-AC35*p_Stroke-AC35*p_MI-H35*rr_Other*rr_DM)</f>
        <v>0.11323322963521469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8.1655099960275535E-3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3.1475770834807126E-2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3.6264051149699659E-3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1.9333353532851007E-2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4.6441420386088392E-4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3.5936737720448849E-4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1.1928473063858008E-3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3.4754221446963267E-3</v>
      </c>
      <c r="BB36">
        <f>AM35*(1-T35*p_Stroke - H35*rr_HF)*I35 + AN35*(1-T35*p_Stroke - H35*rr_HF)*I35 + BA35*(1-AC35*p_Stroke - H35*rr_HF*rr_DM) + BB35*(1-AC35*p_Stroke - H35*rr_HF*rr_DM)</f>
        <v>2.9211937982134558E-2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3.2186817355835486E-4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5.633892250161256E-4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1.7004468365162243E-3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0.43880829791187087</v>
      </c>
      <c r="BG36">
        <f t="shared" si="16"/>
        <v>0.99999999999999933</v>
      </c>
      <c r="BH36">
        <f>(0.9442 - 0.0007*$B36 - dis_BMI*($C36-21.75))*AD36</f>
        <v>5.10333165304106E-2</v>
      </c>
      <c r="BI36">
        <f>0.959*(0.9442 - 0.0007*$B36 - dis_BMI*($C36-21.75))*AE36</f>
        <v>1.2850315504802022E-2</v>
      </c>
      <c r="BJ36">
        <f>(0.943*(0.9442 - 0.0007*$B36 - dis_BMI*($C36-21.75)) - 0.19*0.5)*AF36</f>
        <v>7.0753078484211323E-4</v>
      </c>
      <c r="BK36">
        <f>(0.943*(0.9442 - 0.0007*$B36 - dis_BMI*($C36-21.75)))*AG36</f>
        <v>3.2611356149682964E-3</v>
      </c>
      <c r="BL36">
        <f>(0.955*(0.9442 - 0.0007*$B36 - dis_BMI*($C36-21.75)) - 0.15*0.5)*AH36</f>
        <v>3.1852535561726876E-4</v>
      </c>
      <c r="BM36">
        <f>(0.955*(0.9442 - 0.0007*$B36 - dis_BMI*($C36-21.75)))*AI36</f>
        <v>1.9243675165295704E-3</v>
      </c>
      <c r="BN36">
        <f>(0.955*0.943*(0.9442 - 0.0007*$B36 - dis_BMI*($C36-21.75)) - 0.19*0.5)*AJ36</f>
        <v>2.3091166021361538E-5</v>
      </c>
      <c r="BO36">
        <f>(0.955*0.943*(0.9442 - 0.0007*$B36 - dis_BMI*($C36-21.75)) - 0.15*0.5)*AK36</f>
        <v>1.8652622392063479E-5</v>
      </c>
      <c r="BP36">
        <f>(0.955*0.943*(0.9442 - 0.0007*$B36 - dis_BMI*($C36-21.75)))*AL36</f>
        <v>7.3319983628041072E-5</v>
      </c>
      <c r="BQ36">
        <f>(0.93*(0.9442 - 0.0007*$B36 - dis_BMI*($C36-21.75)))*AM36</f>
        <v>3.3033954874910532E-4</v>
      </c>
      <c r="BR36">
        <f>(0.93*(0.9442 - 0.0007*$B36 - dis_BMI*($C36-21.75)))*AN36</f>
        <v>2.9382703375512081E-3</v>
      </c>
      <c r="BS36">
        <f>(0.93*0.943*(0.9442 - 0.0007*$B36 - dis_BMI*($C36-21.75)))*AO36</f>
        <v>1.829479717143122E-5</v>
      </c>
      <c r="BT36">
        <f>(0.93*0.943*(0.9442 - 0.0007*$B36 - dis_BMI*($C36-21.75))-0.19*0.5)*AP36</f>
        <v>2.8229737983136329E-5</v>
      </c>
      <c r="BU36">
        <f>(0.93*0.943*(0.9442 - 0.0007*$B36 - dis_BMI*($C36-21.75)))*AQ36</f>
        <v>1.0583023487898231E-4</v>
      </c>
      <c r="BV36">
        <f>0.962*(0.9442 - 0.0007*$B36 - dis_BMI*($C36-21.75))*AR36</f>
        <v>0.2078126576132435</v>
      </c>
      <c r="BW36">
        <f>0.962*0.959*(0.9442 - 0.0007*$B36 - dis_BMI*($C36-21.75))*AS36</f>
        <v>8.7329477874265815E-2</v>
      </c>
      <c r="BX36">
        <f>0.962*(0.943*(0.9442 - 0.0007*$B36 - dis_BMI*($C36-21.75)) - 0.19*0.5)*AT36</f>
        <v>5.4462163169601086E-3</v>
      </c>
      <c r="BY36">
        <f>0.962*(0.943*(0.9442 - 0.0007*$B36 - dis_BMI*($C36-21.75)))*AU36</f>
        <v>2.3870220424879414E-2</v>
      </c>
      <c r="BZ36">
        <f>0.962*(0.955*(0.9442 - 0.0007*$B36 - dis_BMI*($C36-21.75)) - 0.15*0.5)*AV36</f>
        <v>2.5235014222823493E-3</v>
      </c>
      <c r="CA36">
        <f>0.962*(0.955*(0.9442 - 0.0007*$B36 - dis_BMI*($C36-21.75)))*AW36</f>
        <v>1.4848374963771793E-2</v>
      </c>
      <c r="CB36">
        <f>0.962*(0.955*0.943*(0.9442 - 0.0007*$B36 - dis_BMI*($C36-21.75)) - 0.19*0.5)*AX36</f>
        <v>2.9390524062429638E-4</v>
      </c>
      <c r="CC36">
        <f>0.962*(0.955*0.943*(0.9442 - 0.0007*$B36 - dis_BMI*($C36-21.75)) - 0.15*0.5)*AY36</f>
        <v>2.3434042372881569E-4</v>
      </c>
      <c r="CD36">
        <f>0.962*(0.955*0.943*(0.9442 - 0.0007*$B36 - dis_BMI*($C36-21.75)))*AZ36</f>
        <v>8.6390956120550833E-4</v>
      </c>
      <c r="CE36">
        <f>0.962*(0.93*(0.9442 - 0.0007*$B36 - dis_BMI*($C36-21.75)))*BA36</f>
        <v>2.5993147700848775E-3</v>
      </c>
      <c r="CF36">
        <f>0.962*(0.93*(0.9442 - 0.0007*$B36 - dis_BMI*($C36-21.75)))*BB36</f>
        <v>2.1847999666929799E-2</v>
      </c>
      <c r="CG36">
        <f>0.962*(0.93*0.943*(0.9442 - 0.0007*$B36 - dis_BMI*($C36-21.75)))*BC36</f>
        <v>2.2700793542277262E-4</v>
      </c>
      <c r="CH36">
        <f>0.962*(0.93*0.943*(0.9442 - 0.0007*$B36 - dis_BMI*($C36-21.75))-0.19*0.5)*BD36</f>
        <v>3.4586032408176259E-4</v>
      </c>
      <c r="CI36">
        <f>0.962*(0.93*0.943*(0.9442 - 0.0007*$B36 - dis_BMI*($C36-21.75)))*BE36</f>
        <v>1.1992951070191732E-3</v>
      </c>
      <c r="CJ36">
        <f t="shared" si="17"/>
        <v>0</v>
      </c>
      <c r="CK36">
        <f t="shared" si="18"/>
        <v>0.44307330138004519</v>
      </c>
      <c r="CL36">
        <f>CK36/(1+r_)^A36</f>
        <v>0.16705026384776767</v>
      </c>
      <c r="CM36">
        <f t="shared" si="19"/>
        <v>0</v>
      </c>
      <c r="CN36">
        <f>AE36*c_Other</f>
        <v>228.8757008496639</v>
      </c>
      <c r="CO36">
        <f>AF36*(c_Stroke1+c_Stroke2)</f>
        <v>24.303994730605041</v>
      </c>
      <c r="CP36">
        <f>AG36*c_Stroke2</f>
        <v>26.889159875128726</v>
      </c>
      <c r="CQ36">
        <f>AH36*(c_MI1+c_MI2)</f>
        <v>12.83646093630437</v>
      </c>
      <c r="CR36">
        <f>AI36*c_MI2</f>
        <v>7.5132555023895771</v>
      </c>
      <c r="CS36">
        <f>AJ36*(c_Stroke1+c_Stroke2+c_MI2)</f>
        <v>0.94537438483946956</v>
      </c>
      <c r="CT36">
        <f>AK36*(c_Stroke2+c_MI1+c_MI2)</f>
        <v>0.98102059706375533</v>
      </c>
      <c r="CU36">
        <f>AL36*(c_Stroke2+c_MI2)</f>
        <v>0.93659885187772618</v>
      </c>
      <c r="CV36">
        <f>AM36*(c_HF1)</f>
        <v>11.484983573283422</v>
      </c>
      <c r="CW36">
        <f>AN36*(c_HF2)</f>
        <v>58.976539360532399</v>
      </c>
      <c r="CX36">
        <f>AO36*(c_Stroke2+c_HF1)</f>
        <v>0.83670665084022966</v>
      </c>
      <c r="CY36">
        <f>AP36*(c_Stroke1+c_Stroke2+c_HF2)</f>
        <v>1.7438830191460628</v>
      </c>
      <c r="CZ36">
        <f>AQ36*(c_Stroke2+c_HF2)</f>
        <v>3.1908937840239799</v>
      </c>
      <c r="DA36">
        <f>AR36*c_DM</f>
        <v>2952.295626064511</v>
      </c>
      <c r="DB36">
        <f>AS36*(c_Other+c_DM)</f>
        <v>2910.5469345435586</v>
      </c>
      <c r="DC36">
        <f>AT36*(c_Stroke1+c_Stroke2+c_DM)</f>
        <v>287.76073777000698</v>
      </c>
      <c r="DD36">
        <f>AU36*(c_Stroke2+c_DM)</f>
        <v>564.20319221391776</v>
      </c>
      <c r="DE36">
        <f>AV36*(c_MI1+c_MI2+c_DM)</f>
        <v>147.14501394502133</v>
      </c>
      <c r="DF36">
        <f>AW36*(c_MI2+c_DM)</f>
        <v>281.14562707471936</v>
      </c>
      <c r="DG36">
        <f>AX36*(c_Stroke1+c_Stroke2+c_MI2+c_DM)</f>
        <v>17.814000031695784</v>
      </c>
      <c r="DH36">
        <f>AY36*(c_Stroke2+c_MI1+c_MI2+c_DM)</f>
        <v>16.9175786492785</v>
      </c>
      <c r="DI36">
        <f>AZ36*(c_Stroke2+c_MI2+c_DM)</f>
        <v>25.099893020970018</v>
      </c>
      <c r="DJ36">
        <f>BA36*(c_HF1+c_DM)</f>
        <v>133.64735857429724</v>
      </c>
      <c r="DK36">
        <f>BB36*(c_HF2+c_DM)</f>
        <v>789.59868365709713</v>
      </c>
      <c r="DL36">
        <f>BC36*(c_Stroke2+c_HF1+c_DM)</f>
        <v>14.469583742315843</v>
      </c>
      <c r="DM36">
        <f>BD36*(c_Stroke1+c_Stroke2+c_HF2+c_DM)</f>
        <v>28.646088535169923</v>
      </c>
      <c r="DN36">
        <f>BE36*(c_Stroke2+c_HF2+c_DM)</f>
        <v>57.015982428389002</v>
      </c>
      <c r="DO36">
        <f t="shared" si="20"/>
        <v>0</v>
      </c>
      <c r="DP36">
        <f t="shared" si="21"/>
        <v>8605.8208723666467</v>
      </c>
      <c r="DQ36">
        <f>DP36/(1+r_)^A36</f>
        <v>3244.6203435814159</v>
      </c>
    </row>
    <row r="37" spans="1:121" x14ac:dyDescent="0.3">
      <c r="A37">
        <v>34</v>
      </c>
      <c r="B37">
        <v>79</v>
      </c>
      <c r="C37">
        <f t="shared" si="0"/>
        <v>38</v>
      </c>
      <c r="D37">
        <f t="shared" si="1"/>
        <v>125</v>
      </c>
      <c r="E37">
        <f t="shared" si="2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2"/>
        <v>5.6857293942168513E-2</v>
      </c>
      <c r="J37">
        <f t="shared" si="23"/>
        <v>0.32462102495251632</v>
      </c>
      <c r="K37">
        <f t="shared" si="24"/>
        <v>0.42285784987961073</v>
      </c>
      <c r="L37">
        <f t="shared" si="25"/>
        <v>0.1695604952444083</v>
      </c>
      <c r="M37">
        <f t="shared" si="26"/>
        <v>0.22911153009729157</v>
      </c>
      <c r="N37">
        <f t="shared" si="27"/>
        <v>0.66216839551315365</v>
      </c>
      <c r="O37">
        <f t="shared" si="28"/>
        <v>0.78419638729190921</v>
      </c>
      <c r="P37">
        <f t="shared" si="29"/>
        <v>0.41362919292136102</v>
      </c>
      <c r="Q37">
        <f t="shared" si="30"/>
        <v>0.52964032100606295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2.6726643250147994E-2</v>
      </c>
      <c r="U37">
        <f t="shared" si="31"/>
        <v>0.57435955395642757</v>
      </c>
      <c r="V37">
        <f t="shared" si="32"/>
        <v>0.69767242420920672</v>
      </c>
      <c r="W37">
        <f t="shared" si="33"/>
        <v>0.33259518967587864</v>
      </c>
      <c r="X37">
        <f t="shared" si="34"/>
        <v>0.43237858423000919</v>
      </c>
      <c r="Y37">
        <f t="shared" si="35"/>
        <v>0.84223468970007287</v>
      </c>
      <c r="Z37">
        <f t="shared" si="36"/>
        <v>0.926413328952709</v>
      </c>
      <c r="AA37">
        <f t="shared" si="37"/>
        <v>0.5968099373347665</v>
      </c>
      <c r="AB37">
        <f t="shared" si="38"/>
        <v>0.72292984651638115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4.492159800197091E-2</v>
      </c>
      <c r="AD37">
        <f t="shared" si="46"/>
        <v>5.4108363874436738E-2</v>
      </c>
      <c r="AE37">
        <f t="shared" si="47"/>
        <v>1.4779615142979659E-2</v>
      </c>
      <c r="AF37">
        <f t="shared" si="48"/>
        <v>9.3650988632481701E-4</v>
      </c>
      <c r="AG37">
        <f t="shared" si="49"/>
        <v>3.7311964021453843E-3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4.0072478481937239E-4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2.1128037052859242E-3</v>
      </c>
      <c r="AJ37">
        <f t="shared" si="50"/>
        <v>3.1437366186561126E-5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2.5412595767253087E-5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8.3987754541719098E-5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3.7980868714402406E-4</v>
      </c>
      <c r="AN37">
        <f t="shared" si="51"/>
        <v>3.6943634045704305E-3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2.2518515427050111E-5</v>
      </c>
      <c r="AP37">
        <f>AM36*T36*p_Stroke*p_Stroke_rec*(1-I36) + AN36*T36*p_Stroke*p_Stroke_rec*(1-I36) + AO36*(p_recur_Stroke*p_Stroke_rec)*(1-I36) + AP36*(p_recur_Stroke*p_Stroke_rec)*(1-I36) + AQ36*(p_recur_Stroke*p_Stroke_rec)*(1-I36)</f>
        <v>4.4027294729084675E-5</v>
      </c>
      <c r="AQ37">
        <f>AO36*(1-p_recur_Stroke-H36*rr_Stroke*rr_HF)*(1-I36) + AP36*(1-p_recur_Stroke-H36*rr_Stroke*rr_HF)*(1-I36) + AQ36*(1-p_recur_Stroke-H36*rr_Stroke*rr_HF)*(1-I36)</f>
        <v>1.3794280803067688E-4</v>
      </c>
      <c r="AR37">
        <f>AR36*(1-AC36-H36*rr_DM) + AD36*(1-T36-H36)*I36</f>
        <v>0.24015557360462519</v>
      </c>
      <c r="AS37">
        <f>AR36*AC36*p_Other + AD36*T36*p_Other*I36 + AE36*(1-T36*p_Stroke-T36*p_MI-H36*rr_Other)*I36 + AS36*(1-AC36*p_Stroke-AC36*p_MI-H36*rr_Other*rr_DM)</f>
        <v>0.10965077955797821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7.8827061363149487E-3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2.9840152458847701E-2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3.4720119273917707E-3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1.7888696010913075E-2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4.3766143806815721E-4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3.4841000159857236E-4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1.0761670062999632E-3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3.2768936013396147E-3</v>
      </c>
      <c r="BB37">
        <f>AM36*(1-T36*p_Stroke - H36*rr_HF)*I36 + AN36*(1-T36*p_Stroke - H36*rr_HF)*I36 + BA36*(1-AC36*p_Stroke - H36*rr_HF*rr_DM) + BB36*(1-AC36*p_Stroke - H36*rr_HF*rr_DM)</f>
        <v>3.0237331864040914E-2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3.0526959482054177E-4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5.9154553280088736E-4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1.7036364017694733E-3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0.47264445264080163</v>
      </c>
      <c r="BG37">
        <f t="shared" si="16"/>
        <v>0.99999999999999933</v>
      </c>
      <c r="BH37">
        <f>(0.9442 - 0.0007*$B37 - dis_BMI*($C37-21.75))*AD37</f>
        <v>4.5195363635220143E-2</v>
      </c>
      <c r="BI37">
        <f>0.959*(0.9442 - 0.0007*$B37 - dis_BMI*($C37-21.75))*AE37</f>
        <v>1.1838896273971689E-2</v>
      </c>
      <c r="BJ37">
        <f>(0.943*(0.9442 - 0.0007*$B37 - dis_BMI*($C37-21.75)) - 0.19*0.5)*AF37</f>
        <v>6.4868698826700609E-4</v>
      </c>
      <c r="BK37">
        <f>(0.943*(0.9442 - 0.0007*$B37 - dis_BMI*($C37-21.75)))*AG37</f>
        <v>2.9389302955382724E-3</v>
      </c>
      <c r="BL37">
        <f>(0.955*(0.9442 - 0.0007*$B37 - dis_BMI*($C37-21.75)) - 0.15*0.5)*AH37</f>
        <v>2.8959884301974832E-4</v>
      </c>
      <c r="BM37">
        <f>(0.955*(0.9442 - 0.0007*$B37 - dis_BMI*($C37-21.75)))*AI37</f>
        <v>1.6853573697607289E-3</v>
      </c>
      <c r="BN37">
        <f>(0.955*0.943*(0.9442 - 0.0007*$B37 - dis_BMI*($C37-21.75)) - 0.19*0.5)*AJ37</f>
        <v>2.066124789762199E-5</v>
      </c>
      <c r="BO37">
        <f>(0.955*0.943*(0.9442 - 0.0007*$B37 - dis_BMI*($C37-21.75)) - 0.15*0.5)*AK37</f>
        <v>1.7209903629849272E-5</v>
      </c>
      <c r="BP37">
        <f>(0.955*0.943*(0.9442 - 0.0007*$B37 - dis_BMI*($C37-21.75)))*AL37</f>
        <v>6.3177220879847258E-5</v>
      </c>
      <c r="BQ37">
        <f>(0.93*(0.9442 - 0.0007*$B37 - dis_BMI*($C37-21.75)))*AM37</f>
        <v>2.9503757207342899E-4</v>
      </c>
      <c r="BR37">
        <f>(0.93*(0.9442 - 0.0007*$B37 - dis_BMI*($C37-21.75)))*AN37</f>
        <v>2.8698027352598871E-3</v>
      </c>
      <c r="BS37">
        <f>(0.93*0.943*(0.9442 - 0.0007*$B37 - dis_BMI*($C37-21.75)))*AO37</f>
        <v>1.6495439066080047E-5</v>
      </c>
      <c r="BT37">
        <f>(0.93*0.943*(0.9442 - 0.0007*$B37 - dis_BMI*($C37-21.75))-0.19*0.5)*AP37</f>
        <v>2.8068625328192259E-5</v>
      </c>
      <c r="BU37">
        <f>(0.93*0.943*(0.9442 - 0.0007*$B37 - dis_BMI*($C37-21.75)))*AQ37</f>
        <v>1.0104694476176155E-4</v>
      </c>
      <c r="BV37">
        <f>0.962*(0.9442 - 0.0007*$B37 - dis_BMI*($C37-21.75))*AR37</f>
        <v>0.19297330076638439</v>
      </c>
      <c r="BW37">
        <f>0.962*0.959*(0.9442 - 0.0007*$B37 - dis_BMI*($C37-21.75))*AS37</f>
        <v>8.449575402708917E-2</v>
      </c>
      <c r="BX37">
        <f>0.962*(0.943*(0.9442 - 0.0007*$B37 - dis_BMI*($C37-21.75)) - 0.19*0.5)*AT37</f>
        <v>5.2525866907307608E-3</v>
      </c>
      <c r="BY37">
        <f>0.962*(0.943*(0.9442 - 0.0007*$B37 - dis_BMI*($C37-21.75)))*AU37</f>
        <v>2.2610870649708337E-2</v>
      </c>
      <c r="BZ37">
        <f>0.962*(0.955*(0.9442 - 0.0007*$B37 - dis_BMI*($C37-21.75)) - 0.15*0.5)*AV37</f>
        <v>2.413831211734851E-3</v>
      </c>
      <c r="CA37">
        <f>0.962*(0.955*(0.9442 - 0.0007*$B37 - dis_BMI*($C37-21.75)))*AW37</f>
        <v>1.3727346960751121E-2</v>
      </c>
      <c r="CB37">
        <f>0.962*(0.955*0.943*(0.9442 - 0.0007*$B37 - dis_BMI*($C37-21.75)) - 0.19*0.5)*AX37</f>
        <v>2.7670929618533584E-4</v>
      </c>
      <c r="CC37">
        <f>0.962*(0.955*0.943*(0.9442 - 0.0007*$B37 - dis_BMI*($C37-21.75)) - 0.15*0.5)*AY37</f>
        <v>2.2698392195239558E-4</v>
      </c>
      <c r="CD37">
        <f>0.962*(0.955*0.943*(0.9442 - 0.0007*$B37 - dis_BMI*($C37-21.75)))*AZ37</f>
        <v>7.7875221063356881E-4</v>
      </c>
      <c r="CE37">
        <f>0.962*(0.93*(0.9442 - 0.0007*$B37 - dis_BMI*($C37-21.75)))*BA37</f>
        <v>2.4487804195757854E-3</v>
      </c>
      <c r="CF37">
        <f>0.962*(0.93*(0.9442 - 0.0007*$B37 - dis_BMI*($C37-21.75)))*BB37</f>
        <v>2.2595968992892686E-2</v>
      </c>
      <c r="CG37">
        <f>0.962*(0.93*0.943*(0.9442 - 0.0007*$B37 - dis_BMI*($C37-21.75)))*BC37</f>
        <v>2.1512096957629616E-4</v>
      </c>
      <c r="CH37">
        <f>0.962*(0.93*0.943*(0.9442 - 0.0007*$B37 - dis_BMI*($C37-21.75))-0.19*0.5)*BD37</f>
        <v>3.6279591934731162E-4</v>
      </c>
      <c r="CI37">
        <f>0.962*(0.93*0.943*(0.9442 - 0.0007*$B37 - dis_BMI*($C37-21.75)))*BE37</f>
        <v>1.2005385428888458E-3</v>
      </c>
      <c r="CJ37">
        <f t="shared" si="17"/>
        <v>0</v>
      </c>
      <c r="CK37">
        <f t="shared" si="18"/>
        <v>0.41558767367412514</v>
      </c>
      <c r="CL37">
        <f>CK37/(1+r_)^A37</f>
        <v>0.15212374834432171</v>
      </c>
      <c r="CM37">
        <f t="shared" si="19"/>
        <v>0</v>
      </c>
      <c r="CN37">
        <f>AE37*c_Other</f>
        <v>211.03812462660656</v>
      </c>
      <c r="CO37">
        <f>AF37*(c_Stroke1+c_Stroke2)</f>
        <v>22.303919452711842</v>
      </c>
      <c r="CP37">
        <f>AG37*c_Stroke2</f>
        <v>24.252776613944999</v>
      </c>
      <c r="CQ37">
        <f>AH37*(c_MI1+c_MI2)</f>
        <v>11.681528202269524</v>
      </c>
      <c r="CR37">
        <f>AI37*c_MI2</f>
        <v>6.5856091493762259</v>
      </c>
      <c r="CS37">
        <f>AJ37*(c_Stroke1+c_Stroke2+c_MI2)</f>
        <v>0.84670258350265082</v>
      </c>
      <c r="CT37">
        <f>AK37*(c_Stroke2+c_MI1+c_MI2)</f>
        <v>0.90598445169833974</v>
      </c>
      <c r="CU37">
        <f>AL37*(c_Stroke2+c_MI2)</f>
        <v>0.80771023542771259</v>
      </c>
      <c r="CV37">
        <f>AM37*(c_HF1)</f>
        <v>10.26622881350297</v>
      </c>
      <c r="CW37">
        <f>AN37*(c_HF2)</f>
        <v>57.650540928321568</v>
      </c>
      <c r="CX37">
        <f>AO37*(c_Stroke2+c_HF1)</f>
        <v>0.7550458222689902</v>
      </c>
      <c r="CY37">
        <f>AP37*(c_Stroke1+c_Stroke2+c_HF2)</f>
        <v>1.7355999855152469</v>
      </c>
      <c r="CZ37">
        <f>AQ37*(c_Stroke2+c_HF2)</f>
        <v>3.0492257715181124</v>
      </c>
      <c r="DA37">
        <f>AR37*c_DM</f>
        <v>2743.777428432843</v>
      </c>
      <c r="DB37">
        <f>AS37*(c_Other+c_DM)</f>
        <v>2818.4636377582719</v>
      </c>
      <c r="DC37">
        <f>AT37*(c_Stroke1+c_Stroke2+c_DM)</f>
        <v>277.79444694987512</v>
      </c>
      <c r="DD37">
        <f>AU37*(c_Stroke2+c_DM)</f>
        <v>534.88473282484506</v>
      </c>
      <c r="DE37">
        <f>AV37*(c_MI1+c_MI2+c_DM)</f>
        <v>140.88035596584848</v>
      </c>
      <c r="DF37">
        <f>AW37*(c_MI2+c_DM)</f>
        <v>260.13741739069792</v>
      </c>
      <c r="DG37">
        <f>AX37*(c_Stroke1+c_Stroke2+c_MI2+c_DM)</f>
        <v>16.787817441418376</v>
      </c>
      <c r="DH37">
        <f>AY37*(c_Stroke2+c_MI1+c_MI2+c_DM)</f>
        <v>16.401749235254393</v>
      </c>
      <c r="DI37">
        <f>AZ37*(c_Stroke2+c_MI2+c_DM)</f>
        <v>22.644706146563827</v>
      </c>
      <c r="DJ37">
        <f>BA37*(c_HF1+c_DM)</f>
        <v>126.01294343951488</v>
      </c>
      <c r="DK37">
        <f>BB37*(c_HF2+c_DM)</f>
        <v>817.31508028502594</v>
      </c>
      <c r="DL37">
        <f>BC37*(c_Stroke2+c_HF1+c_DM)</f>
        <v>13.723394635157456</v>
      </c>
      <c r="DM37">
        <f>BD37*(c_Stroke1+c_Stroke2+c_HF2+c_DM)</f>
        <v>30.077724160793917</v>
      </c>
      <c r="DN37">
        <f>BE37*(c_Stroke2+c_HF2+c_DM)</f>
        <v>57.122928551330439</v>
      </c>
      <c r="DO37">
        <f t="shared" si="20"/>
        <v>0</v>
      </c>
      <c r="DP37">
        <f t="shared" si="21"/>
        <v>8227.9033598541046</v>
      </c>
      <c r="DQ37">
        <f>DP37/(1+r_)^A37</f>
        <v>3011.7820604499184</v>
      </c>
    </row>
    <row r="38" spans="1:121" x14ac:dyDescent="0.3">
      <c r="A38">
        <v>35</v>
      </c>
      <c r="B38">
        <v>80</v>
      </c>
      <c r="C38">
        <f t="shared" si="0"/>
        <v>38</v>
      </c>
      <c r="D38">
        <f t="shared" si="1"/>
        <v>125</v>
      </c>
      <c r="E38">
        <f t="shared" si="2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22"/>
        <v>5.6857293942168513E-2</v>
      </c>
      <c r="J38">
        <f t="shared" si="23"/>
        <v>0.33378817331014221</v>
      </c>
      <c r="K38">
        <f t="shared" si="24"/>
        <v>0.43379904366039124</v>
      </c>
      <c r="L38">
        <f t="shared" si="25"/>
        <v>0.17491577344275855</v>
      </c>
      <c r="M38">
        <f t="shared" si="26"/>
        <v>0.23606472051551763</v>
      </c>
      <c r="N38">
        <f t="shared" si="27"/>
        <v>0.67649637770128712</v>
      </c>
      <c r="O38">
        <f t="shared" si="28"/>
        <v>0.79701466370891783</v>
      </c>
      <c r="P38">
        <f t="shared" si="29"/>
        <v>0.4259966667916556</v>
      </c>
      <c r="Q38">
        <f t="shared" si="30"/>
        <v>0.54359673961527311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2.7485229002255002E-2</v>
      </c>
      <c r="U38">
        <f t="shared" si="31"/>
        <v>0.58683258049989628</v>
      </c>
      <c r="V38">
        <f t="shared" si="32"/>
        <v>0.71000676693713716</v>
      </c>
      <c r="W38">
        <f t="shared" si="33"/>
        <v>0.34192631602476264</v>
      </c>
      <c r="X38">
        <f t="shared" si="34"/>
        <v>0.44346172724425736</v>
      </c>
      <c r="Y38">
        <f t="shared" si="35"/>
        <v>0.85345044928425029</v>
      </c>
      <c r="Z38">
        <f t="shared" si="36"/>
        <v>0.93369514563145284</v>
      </c>
      <c r="AA38">
        <f t="shared" si="37"/>
        <v>0.61117333187074796</v>
      </c>
      <c r="AB38">
        <f t="shared" si="38"/>
        <v>0.73677336333438392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4.5969820199066702E-2</v>
      </c>
      <c r="AD38">
        <f t="shared" si="46"/>
        <v>4.7721129788178746E-2</v>
      </c>
      <c r="AE38">
        <f t="shared" si="47"/>
        <v>1.3511400800640805E-2</v>
      </c>
      <c r="AF38">
        <f t="shared" si="48"/>
        <v>8.5345071902953411E-4</v>
      </c>
      <c r="AG38">
        <f t="shared" si="49"/>
        <v>3.3224725606933268E-3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3.6361014986393902E-4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1.8478380221599437E-3</v>
      </c>
      <c r="AJ38">
        <f t="shared" si="50"/>
        <v>2.8071121008871132E-5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2.3294460027841379E-5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7.1360693009029958E-5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3.3910867170679828E-4</v>
      </c>
      <c r="AN38">
        <f t="shared" si="51"/>
        <v>3.5521071081177301E-3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2.0201428651075062E-5</v>
      </c>
      <c r="AP38">
        <f>AM37*T37*p_Stroke*p_Stroke_rec*(1-I37) + AN37*T37*p_Stroke*p_Stroke_rec*(1-I37) + AO37*(p_recur_Stroke*p_Stroke_rec)*(1-I37) + AP37*(p_recur_Stroke*p_Stroke_rec)*(1-I37) + AQ37*(p_recur_Stroke*p_Stroke_rec)*(1-I37)</f>
        <v>4.3022816440197745E-5</v>
      </c>
      <c r="AQ38">
        <f>AO37*(1-p_recur_Stroke-H37*rr_Stroke*rr_HF)*(1-I37) + AP37*(1-p_recur_Stroke-H37*rr_Stroke*rr_HF)*(1-I37) + AQ37*(1-p_recur_Stroke-H37*rr_Stroke*rr_HF)*(1-I37)</f>
        <v>1.2780473593457272E-4</v>
      </c>
      <c r="AR38">
        <f>AR37*(1-AC37-H37*rr_DM) + AD37*(1-T37-H37)*I37</f>
        <v>0.22170804113258352</v>
      </c>
      <c r="AS38">
        <f>AR37*AC37*p_Other + AD37*T37*p_Other*I37 + AE37*(1-T37*p_Stroke-T37*p_MI-H37*rr_Other)*I37 + AS37*(1-AC37*p_Stroke-AC37*p_MI-H37*rr_Other*rr_DM)</f>
        <v>0.10504200613387246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7.541106662919999E-3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2.7843467120704155E-2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3.3079205001737251E-3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1.6479028192289219E-2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4.1032567983202754E-4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3.3444428047622475E-4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9.5205645902214035E-4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3.0799870128268934E-3</v>
      </c>
      <c r="BB38">
        <f>AM37*(1-T37*p_Stroke - H37*rr_HF)*I37 + AN37*(1-T37*p_Stroke - H37*rr_HF)*I37 + BA37*(1-AC37*p_Stroke - H37*rr_HF*rr_DM) + BB37*(1-AC37*p_Stroke - H37*rr_HF*rr_DM)</f>
        <v>3.0706053912105024E-2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2.8709064970647009E-4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6.0824993488978554E-4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1.6461865805154732E-3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0.50822916267261986</v>
      </c>
      <c r="BG38">
        <f t="shared" si="16"/>
        <v>0.99999999999999944</v>
      </c>
      <c r="BH38">
        <f>(0.9442 - 0.0007*$B38 - dis_BMI*($C38-21.75))*AD38</f>
        <v>3.9826861892969273E-2</v>
      </c>
      <c r="BI38">
        <f>0.959*(0.9442 - 0.0007*$B38 - dis_BMI*($C38-21.75))*AE38</f>
        <v>1.0813949952943812E-2</v>
      </c>
      <c r="BJ38">
        <f>(0.943*(0.9442 - 0.0007*$B38 - dis_BMI*($C38-21.75)) - 0.19*0.5)*AF38</f>
        <v>5.9059150339772542E-4</v>
      </c>
      <c r="BK38">
        <f>(0.943*(0.9442 - 0.0007*$B38 - dis_BMI*($C38-21.75)))*AG38</f>
        <v>2.6147999427122166E-3</v>
      </c>
      <c r="BL38">
        <f>(0.955*(0.9442 - 0.0007*$B38 - dis_BMI*($C38-21.75)) - 0.15*0.5)*AH38</f>
        <v>2.6253348224588013E-4</v>
      </c>
      <c r="BM38">
        <f>(0.955*(0.9442 - 0.0007*$B38 - dis_BMI*($C38-21.75)))*AI38</f>
        <v>1.4727622435636487E-3</v>
      </c>
      <c r="BN38">
        <f>(0.955*0.943*(0.9442 - 0.0007*$B38 - dis_BMI*($C38-21.75)) - 0.19*0.5)*AJ38</f>
        <v>1.8431190251074033E-5</v>
      </c>
      <c r="BO38">
        <f>(0.955*0.943*(0.9442 - 0.0007*$B38 - dis_BMI*($C38-21.75)) - 0.15*0.5)*AK38</f>
        <v>1.5760776228171463E-5</v>
      </c>
      <c r="BP38">
        <f>(0.955*0.943*(0.9442 - 0.0007*$B38 - dis_BMI*($C38-21.75)))*AL38</f>
        <v>5.3633914386667979E-5</v>
      </c>
      <c r="BQ38">
        <f>(0.93*(0.9442 - 0.0007*$B38 - dis_BMI*($C38-21.75)))*AM38</f>
        <v>2.6320080631142209E-4</v>
      </c>
      <c r="BR38">
        <f>(0.93*(0.9442 - 0.0007*$B38 - dis_BMI*($C38-21.75)))*AN38</f>
        <v>2.7569848044743397E-3</v>
      </c>
      <c r="BS38">
        <f>(0.93*0.943*(0.9442 - 0.0007*$B38 - dis_BMI*($C38-21.75)))*AO38</f>
        <v>1.4785707020471875E-5</v>
      </c>
      <c r="BT38">
        <f>(0.93*0.943*(0.9442 - 0.0007*$B38 - dis_BMI*($C38-21.75))-0.19*0.5)*AP38</f>
        <v>2.7401831066327844E-5</v>
      </c>
      <c r="BU38">
        <f>(0.93*0.943*(0.9442 - 0.0007*$B38 - dis_BMI*($C38-21.75)))*AQ38</f>
        <v>9.3542066454631789E-5</v>
      </c>
      <c r="BV38">
        <f>0.962*(0.9442 - 0.0007*$B38 - dis_BMI*($C38-21.75))*AR38</f>
        <v>0.17800077286795329</v>
      </c>
      <c r="BW38">
        <f>0.962*0.959*(0.9442 - 0.0007*$B38 - dis_BMI*($C38-21.75))*AS38</f>
        <v>8.087644586338702E-2</v>
      </c>
      <c r="BX38">
        <f>0.962*(0.943*(0.9442 - 0.0007*$B38 - dis_BMI*($C38-21.75)) - 0.19*0.5)*AT38</f>
        <v>5.0201755203834698E-3</v>
      </c>
      <c r="BY38">
        <f>0.962*(0.943*(0.9442 - 0.0007*$B38 - dis_BMI*($C38-21.75)))*AU38</f>
        <v>2.1080235064662327E-2</v>
      </c>
      <c r="BZ38">
        <f>0.962*(0.955*(0.9442 - 0.0007*$B38 - dis_BMI*($C38-21.75)) - 0.15*0.5)*AV38</f>
        <v>2.2976233542310056E-3</v>
      </c>
      <c r="CA38">
        <f>0.962*(0.955*(0.9442 - 0.0007*$B38 - dis_BMI*($C38-21.75)))*AW38</f>
        <v>1.2635004806703274E-2</v>
      </c>
      <c r="CB38">
        <f>0.962*(0.955*0.943*(0.9442 - 0.0007*$B38 - dis_BMI*($C38-21.75)) - 0.19*0.5)*AX38</f>
        <v>2.5917755910533633E-4</v>
      </c>
      <c r="CC38">
        <f>0.962*(0.955*0.943*(0.9442 - 0.0007*$B38 - dis_BMI*($C38-21.75)) - 0.15*0.5)*AY38</f>
        <v>2.1768264229489156E-4</v>
      </c>
      <c r="CD38">
        <f>0.962*(0.955*0.943*(0.9442 - 0.0007*$B38 - dis_BMI*($C38-21.75)))*AZ38</f>
        <v>6.8836409776600787E-4</v>
      </c>
      <c r="CE38">
        <f>0.962*(0.93*(0.9442 - 0.0007*$B38 - dis_BMI*($C38-21.75)))*BA38</f>
        <v>2.299705781046036E-3</v>
      </c>
      <c r="CF38">
        <f>0.962*(0.93*(0.9442 - 0.0007*$B38 - dis_BMI*($C38-21.75)))*BB38</f>
        <v>2.2927008912926213E-2</v>
      </c>
      <c r="CG38">
        <f>0.962*(0.93*0.943*(0.9442 - 0.0007*$B38 - dis_BMI*($C38-21.75)))*BC38</f>
        <v>2.0214087094944916E-4</v>
      </c>
      <c r="CH38">
        <f>0.962*(0.93*0.943*(0.9442 - 0.0007*$B38 - dis_BMI*($C38-21.75))-0.19*0.5)*BD38</f>
        <v>3.72681547468835E-4</v>
      </c>
      <c r="CI38">
        <f>0.962*(0.93*0.943*(0.9442 - 0.0007*$B38 - dis_BMI*($C38-21.75)))*BE38</f>
        <v>1.1590819466636008E-3</v>
      </c>
      <c r="CJ38">
        <f t="shared" si="17"/>
        <v>0</v>
      </c>
      <c r="CK38">
        <f t="shared" si="18"/>
        <v>0.38686134094956637</v>
      </c>
      <c r="CL38">
        <f>CK38/(1+r_)^A38</f>
        <v>0.13748409782736593</v>
      </c>
      <c r="CM38">
        <f t="shared" si="19"/>
        <v>0</v>
      </c>
      <c r="CN38">
        <f>AE38*c_Other</f>
        <v>192.92929203235005</v>
      </c>
      <c r="CO38">
        <f>AF38*(c_Stroke1+c_Stroke2)</f>
        <v>20.325782324407385</v>
      </c>
      <c r="CP38">
        <f>AG38*c_Stroke2</f>
        <v>21.596071644506623</v>
      </c>
      <c r="CQ38">
        <f>AH38*(c_MI1+c_MI2)</f>
        <v>10.599599478683686</v>
      </c>
      <c r="CR38">
        <f>AI38*c_MI2</f>
        <v>5.7597111150725446</v>
      </c>
      <c r="CS38">
        <f>AJ38*(c_Stroke1+c_Stroke2+c_MI2)</f>
        <v>0.75603950213192617</v>
      </c>
      <c r="CT38">
        <f>AK38*(c_Stroke2+c_MI1+c_MI2)</f>
        <v>0.83047079445257299</v>
      </c>
      <c r="CU38">
        <f>AL38*(c_Stroke2+c_MI2)</f>
        <v>0.68627578466784112</v>
      </c>
      <c r="CV38">
        <f>AM38*(c_HF1)</f>
        <v>9.1661073962347572</v>
      </c>
      <c r="CW38">
        <f>AN38*(c_HF2)</f>
        <v>55.430631422177179</v>
      </c>
      <c r="CX38">
        <f>AO38*(c_Stroke2+c_HF1)</f>
        <v>0.67735390267054685</v>
      </c>
      <c r="CY38">
        <f>AP38*(c_Stroke1+c_Stroke2+c_HF2)</f>
        <v>1.6960024468890353</v>
      </c>
      <c r="CZ38">
        <f>AQ38*(c_Stroke2+c_HF2)</f>
        <v>2.82512368783373</v>
      </c>
      <c r="DA38">
        <f>AR38*c_DM</f>
        <v>2533.0143699397668</v>
      </c>
      <c r="DB38">
        <f>AS38*(c_Other+c_DM)</f>
        <v>2699.9997256650577</v>
      </c>
      <c r="DC38">
        <f>AT38*(c_Stroke1+c_Stroke2+c_DM)</f>
        <v>265.7561399079637</v>
      </c>
      <c r="DD38">
        <f>AU38*(c_Stroke2+c_DM)</f>
        <v>499.09414813862196</v>
      </c>
      <c r="DE38">
        <f>AV38*(c_MI1+c_MI2+c_DM)</f>
        <v>134.22218221504906</v>
      </c>
      <c r="DF38">
        <f>AW38*(c_MI2+c_DM)</f>
        <v>239.63802797226981</v>
      </c>
      <c r="DG38">
        <f>AX38*(c_Stroke1+c_Stroke2+c_MI2+c_DM)</f>
        <v>15.739272426996912</v>
      </c>
      <c r="DH38">
        <f>AY38*(c_Stroke2+c_MI1+c_MI2+c_DM)</f>
        <v>15.744298947698756</v>
      </c>
      <c r="DI38">
        <f>AZ38*(c_Stroke2+c_MI2+c_DM)</f>
        <v>20.033172010743876</v>
      </c>
      <c r="DJ38">
        <f>BA38*(c_HF1+c_DM)</f>
        <v>118.44090057825818</v>
      </c>
      <c r="DK38">
        <f>BB38*(c_HF2+c_DM)</f>
        <v>829.98463724419878</v>
      </c>
      <c r="DL38">
        <f>BC38*(c_Stroke2+c_HF1+c_DM)</f>
        <v>12.906160157554362</v>
      </c>
      <c r="DM38">
        <f>BD38*(c_Stroke1+c_Stroke2+c_HF2+c_DM)</f>
        <v>30.927076189406037</v>
      </c>
      <c r="DN38">
        <f>BE38*(c_Stroke2+c_HF2+c_DM)</f>
        <v>55.196636044683814</v>
      </c>
      <c r="DO38">
        <f t="shared" si="20"/>
        <v>0</v>
      </c>
      <c r="DP38">
        <f t="shared" si="21"/>
        <v>7793.975208970347</v>
      </c>
      <c r="DQ38">
        <f>DP38/(1+r_)^A38</f>
        <v>2769.8493921982176</v>
      </c>
    </row>
    <row r="39" spans="1:121" x14ac:dyDescent="0.3">
      <c r="A39">
        <v>36</v>
      </c>
      <c r="B39">
        <v>81</v>
      </c>
      <c r="C39">
        <f t="shared" si="0"/>
        <v>38</v>
      </c>
      <c r="D39">
        <f t="shared" si="1"/>
        <v>125</v>
      </c>
      <c r="E39">
        <f t="shared" si="2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2"/>
        <v>5.6857293942168513E-2</v>
      </c>
      <c r="J39">
        <f t="shared" si="23"/>
        <v>0.34302617099026045</v>
      </c>
      <c r="K39">
        <f t="shared" si="24"/>
        <v>0.4447639670116309</v>
      </c>
      <c r="L39">
        <f t="shared" si="25"/>
        <v>0.18035184264821202</v>
      </c>
      <c r="M39">
        <f t="shared" si="26"/>
        <v>0.24310434661734215</v>
      </c>
      <c r="N39">
        <f t="shared" si="27"/>
        <v>0.6905757945372577</v>
      </c>
      <c r="O39">
        <f t="shared" si="28"/>
        <v>0.80938422131799581</v>
      </c>
      <c r="P39">
        <f t="shared" si="29"/>
        <v>0.43842378462305887</v>
      </c>
      <c r="Q39">
        <f t="shared" si="30"/>
        <v>0.55749592219456456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2.8248715839379088E-2</v>
      </c>
      <c r="U39">
        <f t="shared" si="31"/>
        <v>0.5991994123077885</v>
      </c>
      <c r="V39">
        <f t="shared" si="32"/>
        <v>0.72208974458007824</v>
      </c>
      <c r="W39">
        <f t="shared" si="33"/>
        <v>0.35132562887889318</v>
      </c>
      <c r="X39">
        <f t="shared" si="34"/>
        <v>0.45456240685269356</v>
      </c>
      <c r="Y39">
        <f t="shared" si="35"/>
        <v>0.86413728662314848</v>
      </c>
      <c r="Z39">
        <f t="shared" si="36"/>
        <v>0.94042277034795829</v>
      </c>
      <c r="AA39">
        <f t="shared" si="37"/>
        <v>0.62538891148654374</v>
      </c>
      <c r="AB39">
        <f t="shared" si="38"/>
        <v>0.75026802500456935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4.701340747258706E-2</v>
      </c>
      <c r="AD39">
        <f t="shared" si="46"/>
        <v>4.1850480510586714E-2</v>
      </c>
      <c r="AE39">
        <f t="shared" si="47"/>
        <v>1.2232913929203431E-2</v>
      </c>
      <c r="AF39">
        <f t="shared" si="48"/>
        <v>7.7068212135002027E-4</v>
      </c>
      <c r="AG39">
        <f t="shared" si="49"/>
        <v>2.9160933127788773E-3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3.2844967510054402E-4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1.6105155294206782E-3</v>
      </c>
      <c r="AJ39">
        <f t="shared" si="50"/>
        <v>2.4908856848626675E-5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2.1119604334853704E-5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5.9598795605448467E-5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3.0186381872863478E-4</v>
      </c>
      <c r="AN39">
        <f t="shared" si="51"/>
        <v>3.361790587939457E-3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1.7940935575129874E-5</v>
      </c>
      <c r="AP39">
        <f>AM38*T38*p_Stroke*p_Stroke_rec*(1-I38) + AN38*T38*p_Stroke*p_Stroke_rec*(1-I38) + AO38*(p_recur_Stroke*p_Stroke_rec)*(1-I38) + AP38*(p_recur_Stroke*p_Stroke_rec)*(1-I38) + AQ38*(p_recur_Stroke*p_Stroke_rec)*(1-I38)</f>
        <v>4.123459708237362E-5</v>
      </c>
      <c r="AQ39">
        <f>AO38*(1-p_recur_Stroke-H38*rr_Stroke*rr_HF)*(1-I38) + AP38*(1-p_recur_Stroke-H38*rr_Stroke*rr_HF)*(1-I38) + AQ38*(1-p_recur_Stroke-H38*rr_Stroke*rr_HF)*(1-I38)</f>
        <v>1.1475754191599821E-4</v>
      </c>
      <c r="AR39">
        <f>AR38*(1-AC38-H38*rr_DM) + AD38*(1-T38-H38)*I38</f>
        <v>0.20316081114319931</v>
      </c>
      <c r="AS39">
        <f>AR38*AC38*p_Other + AD38*T38*p_Other*I38 + AE38*(1-T38*p_Stroke-T38*p_MI-H38*rr_Other)*I38 + AS38*(1-AC38*p_Stroke-AC38*p_MI-H38*rr_Other*rr_DM)</f>
        <v>9.9419493810397039E-2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7.1312850843054179E-3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2.55221337168842E-2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3.1303321098891646E-3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1.509169532481199E-2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3.8130314886731186E-4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3.1657503870765149E-4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8.2358342491506398E-4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2.879715780702155E-3</v>
      </c>
      <c r="BB39">
        <f>AM38*(1-T38*p_Stroke - H38*rr_HF)*I38 + AN38*(1-T38*p_Stroke - H38*rr_HF)*I38 + BA38*(1-AC38*p_Stroke - H38*rr_HF*rr_DM) + BB38*(1-AC38*p_Stroke - H38*rr_HF*rr_DM)</f>
        <v>3.0614393090100764E-2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2.6643028040936495E-4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6.1171447265084551E-4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1.5330828327297721E-3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0.54546510092495859</v>
      </c>
      <c r="BG39">
        <f t="shared" si="16"/>
        <v>0.99999999999999956</v>
      </c>
      <c r="BH39">
        <f>(0.9442 - 0.0007*$B39 - dis_BMI*($C39-21.75))*AD39</f>
        <v>3.4898069435765497E-2</v>
      </c>
      <c r="BI39">
        <f>0.959*(0.9442 - 0.0007*$B39 - dis_BMI*($C39-21.75))*AE39</f>
        <v>9.7824915375032163E-3</v>
      </c>
      <c r="BJ39">
        <f>(0.943*(0.9442 - 0.0007*$B39 - dis_BMI*($C39-21.75)) - 0.19*0.5)*AF39</f>
        <v>5.3280655683787359E-4</v>
      </c>
      <c r="BK39">
        <f>(0.943*(0.9442 - 0.0007*$B39 - dis_BMI*($C39-21.75)))*AG39</f>
        <v>2.2930528444554572E-3</v>
      </c>
      <c r="BL39">
        <f>(0.955*(0.9442 - 0.0007*$B39 - dis_BMI*($C39-21.75)) - 0.15*0.5)*AH39</f>
        <v>2.3692737841482438E-4</v>
      </c>
      <c r="BM39">
        <f>(0.955*(0.9442 - 0.0007*$B39 - dis_BMI*($C39-21.75)))*AI39</f>
        <v>1.282535048426363E-3</v>
      </c>
      <c r="BN39">
        <f>(0.955*0.943*(0.9442 - 0.0007*$B39 - dis_BMI*($C39-21.75)) - 0.19*0.5)*AJ39</f>
        <v>1.6339179846811804E-5</v>
      </c>
      <c r="BO39">
        <f>(0.955*0.943*(0.9442 - 0.0007*$B39 - dis_BMI*($C39-21.75)) - 0.15*0.5)*AK39</f>
        <v>1.4275979010326061E-5</v>
      </c>
      <c r="BP39">
        <f>(0.955*0.943*(0.9442 - 0.0007*$B39 - dis_BMI*($C39-21.75)))*AL39</f>
        <v>4.4756230456256308E-5</v>
      </c>
      <c r="BQ39">
        <f>(0.93*(0.9442 - 0.0007*$B39 - dis_BMI*($C39-21.75)))*AM39</f>
        <v>2.3409652341337651E-4</v>
      </c>
      <c r="BR39">
        <f>(0.93*(0.9442 - 0.0007*$B39 - dis_BMI*($C39-21.75)))*AN39</f>
        <v>2.6070812076617539E-3</v>
      </c>
      <c r="BS39">
        <f>(0.93*0.943*(0.9442 - 0.0007*$B39 - dis_BMI*($C39-21.75)))*AO39</f>
        <v>1.3120206836451393E-5</v>
      </c>
      <c r="BT39">
        <f>(0.93*0.943*(0.9442 - 0.0007*$B39 - dis_BMI*($C39-21.75))-0.19*0.5)*AP39</f>
        <v>2.6237575618268484E-5</v>
      </c>
      <c r="BU39">
        <f>(0.93*0.943*(0.9442 - 0.0007*$B39 - dis_BMI*($C39-21.75)))*AQ39</f>
        <v>8.3922194563130391E-5</v>
      </c>
      <c r="BV39">
        <f>0.962*(0.9442 - 0.0007*$B39 - dis_BMI*($C39-21.75))*AR39</f>
        <v>0.16297311397913797</v>
      </c>
      <c r="BW39">
        <f>0.962*0.959*(0.9442 - 0.0007*$B39 - dis_BMI*($C39-21.75))*AS39</f>
        <v>7.6483222944019366E-2</v>
      </c>
      <c r="BX39">
        <f>0.962*(0.943*(0.9442 - 0.0007*$B39 - dis_BMI*($C39-21.75)) - 0.19*0.5)*AT39</f>
        <v>4.7428255089587623E-3</v>
      </c>
      <c r="BY39">
        <f>0.962*(0.943*(0.9442 - 0.0007*$B39 - dis_BMI*($C39-21.75)))*AU39</f>
        <v>1.930655106931832E-2</v>
      </c>
      <c r="BZ39">
        <f>0.962*(0.955*(0.9442 - 0.0007*$B39 - dis_BMI*($C39-21.75)) - 0.15*0.5)*AV39</f>
        <v>2.1722604770169252E-3</v>
      </c>
      <c r="CA39">
        <f>0.962*(0.955*(0.9442 - 0.0007*$B39 - dis_BMI*($C39-21.75)))*AW39</f>
        <v>1.1561586326063109E-2</v>
      </c>
      <c r="CB39">
        <f>0.962*(0.955*0.943*(0.9442 - 0.0007*$B39 - dis_BMI*($C39-21.75)) - 0.19*0.5)*AX39</f>
        <v>2.4061456912102957E-4</v>
      </c>
      <c r="CC39">
        <f>0.962*(0.955*0.943*(0.9442 - 0.0007*$B39 - dis_BMI*($C39-21.75)) - 0.15*0.5)*AY39</f>
        <v>2.058599503927654E-4</v>
      </c>
      <c r="CD39">
        <f>0.962*(0.955*0.943*(0.9442 - 0.0007*$B39 - dis_BMI*($C39-21.75)))*AZ39</f>
        <v>5.949749588349502E-4</v>
      </c>
      <c r="CE39">
        <f>0.962*(0.93*(0.9442 - 0.0007*$B39 - dis_BMI*($C39-21.75)))*BA39</f>
        <v>2.1483676321676884E-3</v>
      </c>
      <c r="CF39">
        <f>0.962*(0.93*(0.9442 - 0.0007*$B39 - dis_BMI*($C39-21.75)))*BB39</f>
        <v>2.2839396732824039E-2</v>
      </c>
      <c r="CG39">
        <f>0.962*(0.93*0.943*(0.9442 - 0.0007*$B39 - dis_BMI*($C39-21.75)))*BC39</f>
        <v>1.8743653572005054E-4</v>
      </c>
      <c r="CH39">
        <f>0.962*(0.93*0.943*(0.9442 - 0.0007*$B39 - dis_BMI*($C39-21.75))-0.19*0.5)*BD39</f>
        <v>3.7444305135973208E-4</v>
      </c>
      <c r="CI39">
        <f>0.962*(0.93*0.943*(0.9442 - 0.0007*$B39 - dis_BMI*($C39-21.75)))*BE39</f>
        <v>1.0785400769658528E-3</v>
      </c>
      <c r="CJ39">
        <f t="shared" si="17"/>
        <v>0</v>
      </c>
      <c r="CK39">
        <f t="shared" si="18"/>
        <v>0.35697490571071017</v>
      </c>
      <c r="CL39">
        <f>CK39/(1+r_)^A39</f>
        <v>0.12316791740174843</v>
      </c>
      <c r="CM39">
        <f t="shared" si="19"/>
        <v>0</v>
      </c>
      <c r="CN39">
        <f>AE39*c_Other</f>
        <v>174.6737779950958</v>
      </c>
      <c r="CO39">
        <f>AF39*(c_Stroke1+c_Stroke2)</f>
        <v>18.354565402072083</v>
      </c>
      <c r="CP39">
        <f>AG39*c_Stroke2</f>
        <v>18.954606533062702</v>
      </c>
      <c r="CQ39">
        <f>AH39*(c_MI1+c_MI2)</f>
        <v>9.5746364788559593</v>
      </c>
      <c r="CR39">
        <f>AI39*c_MI2</f>
        <v>5.0199769052042535</v>
      </c>
      <c r="CS39">
        <f>AJ39*(c_Stroke1+c_Stroke2+c_MI2)</f>
        <v>0.67087024150406227</v>
      </c>
      <c r="CT39">
        <f>AK39*(c_Stroke2+c_MI1+c_MI2)</f>
        <v>0.75293501414186936</v>
      </c>
      <c r="CU39">
        <f>AL39*(c_Stroke2+c_MI2)</f>
        <v>0.57316161733759785</v>
      </c>
      <c r="CV39">
        <f>AM39*(c_HF1)</f>
        <v>8.1593790202349989</v>
      </c>
      <c r="CW39">
        <f>AN39*(c_HF2)</f>
        <v>52.460742124795225</v>
      </c>
      <c r="CX39">
        <f>AO39*(c_Stroke2+c_HF1)</f>
        <v>0.60155956983410463</v>
      </c>
      <c r="CY39">
        <f>AP39*(c_Stroke1+c_Stroke2+c_HF2)</f>
        <v>1.6255090515842505</v>
      </c>
      <c r="CZ39">
        <f>AQ39*(c_Stroke2+c_HF2)</f>
        <v>2.5367154640531404</v>
      </c>
      <c r="DA39">
        <f>AR39*c_DM</f>
        <v>2321.1122673110522</v>
      </c>
      <c r="DB39">
        <f>AS39*(c_Other+c_DM)</f>
        <v>2555.4786689024454</v>
      </c>
      <c r="DC39">
        <f>AT39*(c_Stroke1+c_Stroke2+c_DM)</f>
        <v>251.31361765600724</v>
      </c>
      <c r="DD39">
        <f>AU39*(c_Stroke2+c_DM)</f>
        <v>457.48424687514927</v>
      </c>
      <c r="DE39">
        <f>AV39*(c_MI1+c_MI2+c_DM)</f>
        <v>127.01635569086274</v>
      </c>
      <c r="DF39">
        <f>AW39*(c_MI2+c_DM)</f>
        <v>219.46343341341597</v>
      </c>
      <c r="DG39">
        <f>AX39*(c_Stroke1+c_Stroke2+c_MI2+c_DM)</f>
        <v>14.626026184252348</v>
      </c>
      <c r="DH39">
        <f>AY39*(c_Stroke2+c_MI1+c_MI2+c_DM)</f>
        <v>14.903086522201402</v>
      </c>
      <c r="DI39">
        <f>AZ39*(c_Stroke2+c_MI2+c_DM)</f>
        <v>17.329842427062776</v>
      </c>
      <c r="DJ39">
        <f>BA39*(c_HF1+c_DM)</f>
        <v>110.73947034690137</v>
      </c>
      <c r="DK39">
        <f>BB39*(c_HF2+c_DM)</f>
        <v>827.50704522542367</v>
      </c>
      <c r="DL39">
        <f>BC39*(c_Stroke2+c_HF1+c_DM)</f>
        <v>11.977373255803002</v>
      </c>
      <c r="DM39">
        <f>BD39*(c_Stroke1+c_Stroke2+c_HF2+c_DM)</f>
        <v>31.103234076404892</v>
      </c>
      <c r="DN39">
        <f>BE39*(c_Stroke2+c_HF2+c_DM)</f>
        <v>51.404267381429257</v>
      </c>
      <c r="DO39">
        <f t="shared" si="20"/>
        <v>0</v>
      </c>
      <c r="DP39">
        <f t="shared" si="21"/>
        <v>7305.4173706861893</v>
      </c>
      <c r="DQ39">
        <f>DP39/(1+r_)^A39</f>
        <v>2520.6058714591004</v>
      </c>
    </row>
    <row r="40" spans="1:121" x14ac:dyDescent="0.3">
      <c r="A40">
        <v>37</v>
      </c>
      <c r="B40">
        <v>82</v>
      </c>
      <c r="C40">
        <f t="shared" si="0"/>
        <v>38</v>
      </c>
      <c r="D40">
        <f t="shared" si="1"/>
        <v>125</v>
      </c>
      <c r="E40">
        <f t="shared" si="2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2"/>
        <v>5.6857293942168513E-2</v>
      </c>
      <c r="J40">
        <f t="shared" si="23"/>
        <v>0.35233031541321358</v>
      </c>
      <c r="K40">
        <f t="shared" si="24"/>
        <v>0.4557451613128809</v>
      </c>
      <c r="L40">
        <f t="shared" si="25"/>
        <v>0.18586767672062565</v>
      </c>
      <c r="M40">
        <f t="shared" si="26"/>
        <v>0.2502281800921794</v>
      </c>
      <c r="N40">
        <f t="shared" si="27"/>
        <v>0.70439030564318561</v>
      </c>
      <c r="O40">
        <f t="shared" si="28"/>
        <v>0.82129720402693818</v>
      </c>
      <c r="P40">
        <f t="shared" si="29"/>
        <v>0.45089959392332568</v>
      </c>
      <c r="Q40">
        <f t="shared" si="30"/>
        <v>0.57132236315604945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2.9016689960849853E-2</v>
      </c>
      <c r="U40">
        <f t="shared" si="31"/>
        <v>0.61144973630905686</v>
      </c>
      <c r="V40">
        <f t="shared" si="32"/>
        <v>0.73391257508487096</v>
      </c>
      <c r="W40">
        <f t="shared" si="33"/>
        <v>0.36078820143315704</v>
      </c>
      <c r="X40">
        <f t="shared" si="34"/>
        <v>0.46567291162597557</v>
      </c>
      <c r="Y40">
        <f t="shared" si="35"/>
        <v>0.87429661881321319</v>
      </c>
      <c r="Z40">
        <f t="shared" si="36"/>
        <v>0.94661893534220676</v>
      </c>
      <c r="AA40">
        <f t="shared" si="37"/>
        <v>0.63943986891067062</v>
      </c>
      <c r="AB40">
        <f t="shared" si="38"/>
        <v>0.76340018424481659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4.8051648685427842E-2</v>
      </c>
      <c r="AD40">
        <f t="shared" si="46"/>
        <v>3.6502335120961488E-2</v>
      </c>
      <c r="AE40">
        <f t="shared" si="47"/>
        <v>1.0974518276371912E-2</v>
      </c>
      <c r="AF40">
        <f t="shared" si="48"/>
        <v>6.887767587806647E-4</v>
      </c>
      <c r="AG40">
        <f t="shared" si="49"/>
        <v>2.5271764261250687E-3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2.9503701447112135E-4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1.3993424100617142E-3</v>
      </c>
      <c r="AJ40">
        <f t="shared" si="50"/>
        <v>2.1929270027312467E-5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1.8902456077254782E-5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4.9178602346927791E-5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2.6757055444439557E-4</v>
      </c>
      <c r="AN40">
        <f t="shared" si="51"/>
        <v>3.137567246406861E-3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1.5739447353779207E-5</v>
      </c>
      <c r="AP40">
        <f>AM39*T39*p_Stroke*p_Stroke_rec*(1-I39) + AN39*T39*p_Stroke*p_Stroke_rec*(1-I39) + AO39*(p_recur_Stroke*p_Stroke_rec)*(1-I39) + AP39*(p_recur_Stroke*p_Stroke_rec)*(1-I39) + AQ39*(p_recur_Stroke*p_Stroke_rec)*(1-I39)</f>
        <v>3.8764526042569649E-5</v>
      </c>
      <c r="AQ40">
        <f>AO39*(1-p_recur_Stroke-H39*rr_Stroke*rr_HF)*(1-I39) + AP39*(1-p_recur_Stroke-H39*rr_Stroke*rr_HF)*(1-I39) + AQ39*(1-p_recur_Stroke-H39*rr_Stroke*rr_HF)*(1-I39)</f>
        <v>1.0047288013253605E-4</v>
      </c>
      <c r="AR40">
        <f>AR39*(1-AC39-H39*rr_DM) + AD39*(1-T39-H39)*I39</f>
        <v>0.18483810622382182</v>
      </c>
      <c r="AS40">
        <f>AR39*AC39*p_Other + AD39*T39*p_Other*I39 + AE39*(1-T39*p_Stroke-T39*p_MI-H39*rr_Other)*I39 + AS39*(1-AC39*p_Stroke-AC39*p_MI-H39*rr_Other*rr_DM)</f>
        <v>9.3029344752865506E-2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6.6565403713118657E-3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2.3029901799251597E-2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2.9386322452454633E-3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1.3746451198144518E-2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3.5056477009398125E-4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2.9484791092604791E-4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7.0103755256452783E-4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2.674485791668923E-3</v>
      </c>
      <c r="BB40">
        <f>AM39*(1-T39*p_Stroke - H39*rr_HF)*I39 + AN39*(1-T39*p_Stroke - H39*rr_HF)*I39 + BA39*(1-AC39*p_Stroke - H39*rr_HF*rr_DM) + BB39*(1-AC39*p_Stroke - H39*rr_HF*rr_DM)</f>
        <v>3.0028897232457063E-2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2.4339253696903596E-4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6.0173707732822648E-4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1.3861175911906889E-3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0.58344263195655655</v>
      </c>
      <c r="BG40">
        <f t="shared" si="16"/>
        <v>0.99999999999999933</v>
      </c>
      <c r="BH40">
        <f>(0.9442 - 0.0007*$B40 - dis_BMI*($C40-21.75))*AD40</f>
        <v>3.0412833064407088E-2</v>
      </c>
      <c r="BI40">
        <f>0.959*(0.9442 - 0.0007*$B40 - dis_BMI*($C40-21.75))*AE40</f>
        <v>8.7688028000546051E-3</v>
      </c>
      <c r="BJ40">
        <f>(0.943*(0.9442 - 0.0007*$B40 - dis_BMI*($C40-21.75)) - 0.19*0.5)*AF40</f>
        <v>4.757271040810836E-4</v>
      </c>
      <c r="BK40">
        <f>(0.943*(0.9442 - 0.0007*$B40 - dis_BMI*($C40-21.75)))*AG40</f>
        <v>1.985562146363059E-3</v>
      </c>
      <c r="BL40">
        <f>(0.955*(0.9442 - 0.0007*$B40 - dis_BMI*($C40-21.75)) - 0.15*0.5)*AH40</f>
        <v>2.1262790254270351E-4</v>
      </c>
      <c r="BM40">
        <f>(0.955*(0.9442 - 0.0007*$B40 - dis_BMI*($C40-21.75)))*AI40</f>
        <v>1.1134317424405262E-3</v>
      </c>
      <c r="BN40">
        <f>(0.955*0.943*(0.9442 - 0.0007*$B40 - dis_BMI*($C40-21.75)) - 0.19*0.5)*AJ40</f>
        <v>1.4370870016459352E-5</v>
      </c>
      <c r="BO40">
        <f>(0.955*0.943*(0.9442 - 0.0007*$B40 - dis_BMI*($C40-21.75)) - 0.15*0.5)*AK40</f>
        <v>1.2765362467576794E-5</v>
      </c>
      <c r="BP40">
        <f>(0.955*0.943*(0.9442 - 0.0007*$B40 - dis_BMI*($C40-21.75)))*AL40</f>
        <v>3.6900094335197283E-5</v>
      </c>
      <c r="BQ40">
        <f>(0.93*(0.9442 - 0.0007*$B40 - dis_BMI*($C40-21.75)))*AM40</f>
        <v>2.0732777993026465E-4</v>
      </c>
      <c r="BR40">
        <f>(0.93*(0.9442 - 0.0007*$B40 - dis_BMI*($C40-21.75)))*AN40</f>
        <v>2.4311526091882842E-3</v>
      </c>
      <c r="BS40">
        <f>(0.93*0.943*(0.9442 - 0.0007*$B40 - dis_BMI*($C40-21.75)))*AO40</f>
        <v>1.1500596083819347E-5</v>
      </c>
      <c r="BT40">
        <f>(0.93*0.943*(0.9442 - 0.0007*$B40 - dis_BMI*($C40-21.75))-0.19*0.5)*AP40</f>
        <v>2.4642072054915286E-5</v>
      </c>
      <c r="BU40">
        <f>(0.93*0.943*(0.9442 - 0.0007*$B40 - dis_BMI*($C40-21.75)))*AQ40</f>
        <v>7.341414128526231E-5</v>
      </c>
      <c r="BV40">
        <f>0.962*(0.9442 - 0.0007*$B40 - dis_BMI*($C40-21.75))*AR40</f>
        <v>0.1481503945652175</v>
      </c>
      <c r="BW40">
        <f>0.962*0.959*(0.9442 - 0.0007*$B40 - dis_BMI*($C40-21.75))*AS40</f>
        <v>7.1507216244107621E-2</v>
      </c>
      <c r="BX40">
        <f>0.962*(0.943*(0.9442 - 0.0007*$B40 - dis_BMI*($C40-21.75)) - 0.19*0.5)*AT40</f>
        <v>4.4228585845758322E-3</v>
      </c>
      <c r="BY40">
        <f>0.962*(0.943*(0.9442 - 0.0007*$B40 - dis_BMI*($C40-21.75)))*AU40</f>
        <v>1.7406645355233088E-2</v>
      </c>
      <c r="BZ40">
        <f>0.962*(0.955*(0.9442 - 0.0007*$B40 - dis_BMI*($C40-21.75)) - 0.15*0.5)*AV40</f>
        <v>2.037342581315335E-3</v>
      </c>
      <c r="CA40">
        <f>0.962*(0.955*(0.9442 - 0.0007*$B40 - dis_BMI*($C40-21.75)))*AW40</f>
        <v>1.0522168891527586E-2</v>
      </c>
      <c r="CB40">
        <f>0.962*(0.955*0.943*(0.9442 - 0.0007*$B40 - dis_BMI*($C40-21.75)) - 0.19*0.5)*AX40</f>
        <v>2.2100506533442684E-4</v>
      </c>
      <c r="CC40">
        <f>0.962*(0.955*0.943*(0.9442 - 0.0007*$B40 - dis_BMI*($C40-21.75)) - 0.15*0.5)*AY40</f>
        <v>1.9155259526385614E-4</v>
      </c>
      <c r="CD40">
        <f>0.962*(0.955*0.943*(0.9442 - 0.0007*$B40 - dis_BMI*($C40-21.75)))*AZ40</f>
        <v>5.0601996122933562E-4</v>
      </c>
      <c r="CE40">
        <f>0.962*(0.93*(0.9442 - 0.0007*$B40 - dis_BMI*($C40-21.75)))*BA40</f>
        <v>1.9935840290311894E-3</v>
      </c>
      <c r="CF40">
        <f>0.962*(0.93*(0.9442 - 0.0007*$B40 - dis_BMI*($C40-21.75)))*BB40</f>
        <v>2.2383790603235348E-2</v>
      </c>
      <c r="CG40">
        <f>0.962*(0.93*0.943*(0.9442 - 0.0007*$B40 - dis_BMI*($C40-21.75)))*BC40</f>
        <v>1.7108549907665589E-4</v>
      </c>
      <c r="CH40">
        <f>0.962*(0.93*0.943*(0.9442 - 0.0007*$B40 - dis_BMI*($C40-21.75))-0.19*0.5)*BD40</f>
        <v>3.6798031690368966E-4</v>
      </c>
      <c r="CI40">
        <f>0.962*(0.93*0.943*(0.9442 - 0.0007*$B40 - dis_BMI*($C40-21.75)))*BE40</f>
        <v>9.7432987395977674E-4</v>
      </c>
      <c r="CJ40">
        <f t="shared" si="17"/>
        <v>0</v>
      </c>
      <c r="CK40">
        <f t="shared" si="18"/>
        <v>0.32663703245126208</v>
      </c>
      <c r="CL40">
        <f>CK40/(1+r_)^A40</f>
        <v>0.10941783244658122</v>
      </c>
      <c r="CM40">
        <f t="shared" si="19"/>
        <v>0</v>
      </c>
      <c r="CN40">
        <f>AE40*c_Other</f>
        <v>156.70514646831452</v>
      </c>
      <c r="CO40">
        <f>AF40*(c_Stroke1+c_Stroke2)</f>
        <v>16.403907287120312</v>
      </c>
      <c r="CP40">
        <f>AG40*c_Stroke2</f>
        <v>16.426646769812947</v>
      </c>
      <c r="CQ40">
        <f>AH40*(c_MI1+c_MI2)</f>
        <v>8.6006240088476584</v>
      </c>
      <c r="CR40">
        <f>AI40*c_MI2</f>
        <v>4.3617502921623634</v>
      </c>
      <c r="CS40">
        <f>AJ40*(c_Stroke1+c_Stroke2+c_MI2)</f>
        <v>0.5906210296456067</v>
      </c>
      <c r="CT40">
        <f>AK40*(c_Stroke2+c_MI1+c_MI2)</f>
        <v>0.67389146161021019</v>
      </c>
      <c r="CU40">
        <f>AL40*(c_Stroke2+c_MI2)</f>
        <v>0.47295061877040456</v>
      </c>
      <c r="CV40">
        <f>AM40*(c_HF1)</f>
        <v>7.232432086632012</v>
      </c>
      <c r="CW40">
        <f>AN40*(c_HF2)</f>
        <v>48.961736880179068</v>
      </c>
      <c r="CX40">
        <f>AO40*(c_Stroke2+c_HF1)</f>
        <v>0.52774366977221676</v>
      </c>
      <c r="CY40">
        <f>AP40*(c_Stroke1+c_Stroke2+c_HF2)</f>
        <v>1.5281363811241382</v>
      </c>
      <c r="CZ40">
        <f>AQ40*(c_Stroke2+c_HF2)</f>
        <v>2.2209530153297092</v>
      </c>
      <c r="DA40">
        <f>AR40*c_DM</f>
        <v>2111.7753636071643</v>
      </c>
      <c r="DB40">
        <f>AS40*(c_Other+c_DM)</f>
        <v>2391.2262775276549</v>
      </c>
      <c r="DC40">
        <f>AT40*(c_Stroke1+c_Stroke2+c_DM)</f>
        <v>234.58313922540145</v>
      </c>
      <c r="DD40">
        <f>AU40*(c_Stroke2+c_DM)</f>
        <v>412.81098975158488</v>
      </c>
      <c r="DE40">
        <f>AV40*(c_MI1+c_MI2+c_DM)</f>
        <v>119.23794198307992</v>
      </c>
      <c r="DF40">
        <f>AW40*(c_MI2+c_DM)</f>
        <v>199.90089332341759</v>
      </c>
      <c r="DG40">
        <f>AX40*(c_Stroke1+c_Stroke2+c_MI2+c_DM)</f>
        <v>13.446963451264933</v>
      </c>
      <c r="DH40">
        <f>AY40*(c_Stroke2+c_MI1+c_MI2+c_DM)</f>
        <v>13.880260254754631</v>
      </c>
      <c r="DI40">
        <f>AZ40*(c_Stroke2+c_MI2+c_DM)</f>
        <v>14.751232181062795</v>
      </c>
      <c r="DJ40">
        <f>BA40*(c_HF1+c_DM)</f>
        <v>102.84735111862844</v>
      </c>
      <c r="DK40">
        <f>BB40*(c_HF2+c_DM)</f>
        <v>811.68109219331438</v>
      </c>
      <c r="DL40">
        <f>BC40*(c_Stroke2+c_HF1+c_DM)</f>
        <v>10.941711499443011</v>
      </c>
      <c r="DM40">
        <f>BD40*(c_Stroke1+c_Stroke2+c_HF2+c_DM)</f>
        <v>30.595923433831004</v>
      </c>
      <c r="DN40">
        <f>BE40*(c_Stroke2+c_HF2+c_DM)</f>
        <v>46.4765228326238</v>
      </c>
      <c r="DO40">
        <f t="shared" si="20"/>
        <v>0</v>
      </c>
      <c r="DP40">
        <f t="shared" si="21"/>
        <v>6778.8622023525477</v>
      </c>
      <c r="DQ40">
        <f>DP40/(1+r_)^A40</f>
        <v>2270.8031697114684</v>
      </c>
    </row>
    <row r="41" spans="1:121" x14ac:dyDescent="0.3">
      <c r="A41">
        <v>38</v>
      </c>
      <c r="B41">
        <v>83</v>
      </c>
      <c r="C41">
        <f t="shared" si="0"/>
        <v>38</v>
      </c>
      <c r="D41">
        <f t="shared" si="1"/>
        <v>125</v>
      </c>
      <c r="E41">
        <f t="shared" si="2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2"/>
        <v>5.6857293942168513E-2</v>
      </c>
      <c r="J41">
        <f t="shared" si="23"/>
        <v>0.3616958311232209</v>
      </c>
      <c r="K41">
        <f t="shared" si="24"/>
        <v>0.46673516473010246</v>
      </c>
      <c r="L41">
        <f t="shared" si="25"/>
        <v>0.19146219825597877</v>
      </c>
      <c r="M41">
        <f t="shared" si="26"/>
        <v>0.25743392138944554</v>
      </c>
      <c r="N41">
        <f t="shared" si="27"/>
        <v>0.71792455052344994</v>
      </c>
      <c r="O41">
        <f t="shared" si="28"/>
        <v>0.83274764483152808</v>
      </c>
      <c r="P41">
        <f t="shared" si="29"/>
        <v>0.46341301152543724</v>
      </c>
      <c r="Q41">
        <f t="shared" si="30"/>
        <v>0.5850607580528765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2.9788737964754161E-2</v>
      </c>
      <c r="U41">
        <f t="shared" si="31"/>
        <v>0.62357355687228222</v>
      </c>
      <c r="V41">
        <f t="shared" si="32"/>
        <v>0.74546725094971622</v>
      </c>
      <c r="W41">
        <f t="shared" si="33"/>
        <v>0.37030903647935809</v>
      </c>
      <c r="X41">
        <f t="shared" si="34"/>
        <v>0.47678553881530905</v>
      </c>
      <c r="Y41">
        <f t="shared" si="35"/>
        <v>0.88393198212988211</v>
      </c>
      <c r="Z41">
        <f t="shared" si="36"/>
        <v>0.9523075954032747</v>
      </c>
      <c r="AA41">
        <f t="shared" si="37"/>
        <v>0.65330994068916315</v>
      </c>
      <c r="AB41">
        <f t="shared" si="38"/>
        <v>0.77615763816391115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4.9083856767295375E-2</v>
      </c>
      <c r="AD41">
        <f t="shared" si="46"/>
        <v>3.1555614128677655E-2</v>
      </c>
      <c r="AE41">
        <f t="shared" si="47"/>
        <v>9.6952537086839839E-3</v>
      </c>
      <c r="AF41">
        <f t="shared" si="48"/>
        <v>6.0978501562486268E-4</v>
      </c>
      <c r="AG41">
        <f t="shared" si="49"/>
        <v>2.1334485543394407E-3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2.6357713782546407E-4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1.2037987912993562E-3</v>
      </c>
      <c r="AJ41">
        <f t="shared" si="50"/>
        <v>1.9184007440018461E-5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1.6725673356883879E-5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3.8790773157489677E-5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2.3618485055326211E-4</v>
      </c>
      <c r="AN41">
        <f t="shared" si="51"/>
        <v>2.8722122213907424E-3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1.3666376810041964E-5</v>
      </c>
      <c r="AP41">
        <f>AM40*T40*p_Stroke*p_Stroke_rec*(1-I40) + AN40*T40*p_Stroke*p_Stroke_rec*(1-I40) + AO40*(p_recur_Stroke*p_Stroke_rec)*(1-I40) + AP40*(p_recur_Stroke*p_Stroke_rec)*(1-I40) + AQ40*(p_recur_Stroke*p_Stroke_rec)*(1-I40)</f>
        <v>3.5855227827793416E-5</v>
      </c>
      <c r="AQ41">
        <f>AO40*(1-p_recur_Stroke-H40*rr_Stroke*rr_HF)*(1-I40) + AP40*(1-p_recur_Stroke-H40*rr_Stroke*rr_HF)*(1-I40) + AQ40*(1-p_recur_Stroke-H40*rr_Stroke*rr_HF)*(1-I40)</f>
        <v>8.3341213279059981E-5</v>
      </c>
      <c r="AR41">
        <f>AR40*(1-AC40-H40*rr_DM) + AD40*(1-T40-H40)*I40</f>
        <v>0.16629816250136609</v>
      </c>
      <c r="AS41">
        <f>AR40*AC40*p_Other + AD40*T40*p_Other*I40 + AE40*(1-T40*p_Stroke-T40*p_MI-H40*rr_Other)*I40 + AS40*(1-AC40*p_Stroke-AC40*p_MI-H40*rr_Other*rr_DM)</f>
        <v>8.543220882978661E-2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6.1394249649190033E-3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2.0127368388858993E-2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2.7372088248477939E-3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1.2353272185679715E-2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3.1945401686208881E-4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2.7067427385820417E-4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5.632634686438345E-4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2.4676240776480987E-3</v>
      </c>
      <c r="BB41">
        <f>AM40*(1-T40*p_Stroke - H40*rr_HF)*I40 + AN40*(1-T40*p_Stroke - H40*rr_HF)*I40 + BA40*(1-AC40*p_Stroke - H40*rr_HF*rr_DM) + BB40*(1-AC40*p_Stroke - H40*rr_HF*rr_DM)</f>
        <v>2.8792477550279236E-2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2.1938418878726494E-4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5.8101035291297897E-4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1.1735560913321735E-3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0.62374747260395125</v>
      </c>
      <c r="BG41">
        <f t="shared" si="16"/>
        <v>0.99999999999999933</v>
      </c>
      <c r="BH41">
        <f>(0.9442 - 0.0007*$B41 - dis_BMI*($C41-21.75))*AD41</f>
        <v>2.6269259871770929E-2</v>
      </c>
      <c r="BI41">
        <f>0.959*(0.9442 - 0.0007*$B41 - dis_BMI*($C41-21.75))*AE41</f>
        <v>7.7401430215600945E-3</v>
      </c>
      <c r="BJ41">
        <f>(0.943*(0.9442 - 0.0007*$B41 - dis_BMI*($C41-21.75)) - 0.19*0.5)*AF41</f>
        <v>4.2076624988765407E-4</v>
      </c>
      <c r="BK41">
        <f>(0.943*(0.9442 - 0.0007*$B41 - dis_BMI*($C41-21.75)))*AG41</f>
        <v>1.6748081579131234E-3</v>
      </c>
      <c r="BL41">
        <f>(0.955*(0.9442 - 0.0007*$B41 - dis_BMI*($C41-21.75)) - 0.15*0.5)*AH41</f>
        <v>1.8977913047283699E-4</v>
      </c>
      <c r="BM41">
        <f>(0.955*(0.9442 - 0.0007*$B41 - dis_BMI*($C41-21.75)))*AI41</f>
        <v>9.5703644084151952E-4</v>
      </c>
      <c r="BN41">
        <f>(0.955*0.943*(0.9442 - 0.0007*$B41 - dis_BMI*($C41-21.75)) - 0.19*0.5)*AJ41</f>
        <v>1.2559728394190078E-5</v>
      </c>
      <c r="BO41">
        <f>(0.955*0.943*(0.9442 - 0.0007*$B41 - dis_BMI*($C41-21.75)) - 0.15*0.5)*AK41</f>
        <v>1.1284775826512618E-5</v>
      </c>
      <c r="BP41">
        <f>(0.955*0.943*(0.9442 - 0.0007*$B41 - dis_BMI*($C41-21.75)))*AL41</f>
        <v>2.9081359172972714E-5</v>
      </c>
      <c r="BQ41">
        <f>(0.93*(0.9442 - 0.0007*$B41 - dis_BMI*($C41-21.75)))*AM41</f>
        <v>1.8285472462182401E-4</v>
      </c>
      <c r="BR41">
        <f>(0.93*(0.9442 - 0.0007*$B41 - dis_BMI*($C41-21.75)))*AN41</f>
        <v>2.2236717281721003E-3</v>
      </c>
      <c r="BS41">
        <f>(0.93*0.943*(0.9442 - 0.0007*$B41 - dis_BMI*($C41-21.75)))*AO41</f>
        <v>9.9774424704717538E-6</v>
      </c>
      <c r="BT41">
        <f>(0.93*0.943*(0.9442 - 0.0007*$B41 - dis_BMI*($C41-21.75))-0.19*0.5)*AP41</f>
        <v>2.2770660219823186E-5</v>
      </c>
      <c r="BU41">
        <f>(0.93*0.943*(0.9442 - 0.0007*$B41 - dis_BMI*($C41-21.75)))*AQ41</f>
        <v>6.08451071172085E-5</v>
      </c>
      <c r="BV41">
        <f>0.962*(0.9442 - 0.0007*$B41 - dis_BMI*($C41-21.75))*AR41</f>
        <v>0.13317837844084837</v>
      </c>
      <c r="BW41">
        <f>0.962*0.959*(0.9442 - 0.0007*$B41 - dis_BMI*($C41-21.75))*AS41</f>
        <v>6.5612489217371048E-2</v>
      </c>
      <c r="BX41">
        <f>0.962*(0.943*(0.9442 - 0.0007*$B41 - dis_BMI*($C41-21.75)) - 0.19*0.5)*AT41</f>
        <v>4.0753688072980151E-3</v>
      </c>
      <c r="BY41">
        <f>0.962*(0.943*(0.9442 - 0.0007*$B41 - dis_BMI*($C41-21.75)))*AU41</f>
        <v>1.5200048034706379E-2</v>
      </c>
      <c r="BZ41">
        <f>0.962*(0.955*(0.9442 - 0.0007*$B41 - dis_BMI*($C41-21.75)) - 0.15*0.5)*AV41</f>
        <v>1.8959361977229454E-3</v>
      </c>
      <c r="CA41">
        <f>0.962*(0.955*(0.9442 - 0.0007*$B41 - dis_BMI*($C41-21.75)))*AW41</f>
        <v>9.447820952312844E-3</v>
      </c>
      <c r="CB41">
        <f>0.962*(0.955*0.943*(0.9442 - 0.0007*$B41 - dis_BMI*($C41-21.75)) - 0.19*0.5)*AX41</f>
        <v>2.011983149095748E-4</v>
      </c>
      <c r="CC41">
        <f>0.962*(0.955*0.943*(0.9442 - 0.0007*$B41 - dis_BMI*($C41-21.75)) - 0.15*0.5)*AY41</f>
        <v>1.7568366287565722E-4</v>
      </c>
      <c r="CD41">
        <f>0.962*(0.955*0.943*(0.9442 - 0.0007*$B41 - dis_BMI*($C41-21.75)))*AZ41</f>
        <v>4.0623086891112214E-4</v>
      </c>
      <c r="CE41">
        <f>0.962*(0.93*(0.9442 - 0.0007*$B41 - dis_BMI*($C41-21.75)))*BA41</f>
        <v>1.8378422018455168E-3</v>
      </c>
      <c r="CF41">
        <f>0.962*(0.93*(0.9442 - 0.0007*$B41 - dis_BMI*($C41-21.75)))*BB41</f>
        <v>2.1444121419023944E-2</v>
      </c>
      <c r="CG41">
        <f>0.962*(0.93*0.943*(0.9442 - 0.0007*$B41 - dis_BMI*($C41-21.75)))*BC41</f>
        <v>1.5407998865885612E-4</v>
      </c>
      <c r="CH41">
        <f>0.962*(0.93*0.943*(0.9442 - 0.0007*$B41 - dis_BMI*($C41-21.75))-0.19*0.5)*BD41</f>
        <v>3.5496217725775845E-4</v>
      </c>
      <c r="CI41">
        <f>0.962*(0.93*0.943*(0.9442 - 0.0007*$B41 - dis_BMI*($C41-21.75)))*BE41</f>
        <v>8.2422306841052227E-4</v>
      </c>
      <c r="CJ41">
        <f t="shared" si="17"/>
        <v>0</v>
      </c>
      <c r="CK41">
        <f t="shared" si="18"/>
        <v>0.29461322175059385</v>
      </c>
      <c r="CL41">
        <f>CK41/(1+r_)^A41</f>
        <v>9.5815924549317394E-2</v>
      </c>
      <c r="CM41">
        <f t="shared" si="19"/>
        <v>0</v>
      </c>
      <c r="CN41">
        <f>AE41*c_Other</f>
        <v>138.4385277062986</v>
      </c>
      <c r="CO41">
        <f>AF41*(c_Stroke1+c_Stroke2)</f>
        <v>14.522639932121729</v>
      </c>
      <c r="CP41">
        <f>AG41*c_Stroke2</f>
        <v>13.867415603206364</v>
      </c>
      <c r="CQ41">
        <f>AH41*(c_MI1+c_MI2)</f>
        <v>7.6835371447501029</v>
      </c>
      <c r="CR41">
        <f>AI41*c_MI2</f>
        <v>3.7522408324800933</v>
      </c>
      <c r="CS41">
        <f>AJ41*(c_Stroke1+c_Stroke2+c_MI2)</f>
        <v>0.51668287238201727</v>
      </c>
      <c r="CT41">
        <f>AK41*(c_Stroke2+c_MI1+c_MI2)</f>
        <v>0.59628698084626719</v>
      </c>
      <c r="CU41">
        <f>AL41*(c_Stroke2+c_MI2)</f>
        <v>0.37305086545557825</v>
      </c>
      <c r="CV41">
        <f>AM41*(c_HF1)</f>
        <v>6.3840765104546753</v>
      </c>
      <c r="CW41">
        <f>AN41*(c_HF2)</f>
        <v>44.820871714802536</v>
      </c>
      <c r="CX41">
        <f>AO41*(c_Stroke2+c_HF1)</f>
        <v>0.45823361444070704</v>
      </c>
      <c r="CY41">
        <f>AP41*(c_Stroke1+c_Stroke2+c_HF2)</f>
        <v>1.4134489361994442</v>
      </c>
      <c r="CZ41">
        <f>AQ41*(c_Stroke2+c_HF2)</f>
        <v>1.8422575195336208</v>
      </c>
      <c r="DA41">
        <f>AR41*c_DM</f>
        <v>1899.9565065781076</v>
      </c>
      <c r="DB41">
        <f>AS41*(c_Other+c_DM)</f>
        <v>2195.9494957608349</v>
      </c>
      <c r="DC41">
        <f>AT41*(c_Stroke1+c_Stroke2+c_DM)</f>
        <v>216.3594751887106</v>
      </c>
      <c r="DD41">
        <f>AU41*(c_Stroke2+c_DM)</f>
        <v>360.78307837029746</v>
      </c>
      <c r="DE41">
        <f>AV41*(c_MI1+c_MI2+c_DM)</f>
        <v>111.06498527702408</v>
      </c>
      <c r="DF41">
        <f>AW41*(c_MI2+c_DM)</f>
        <v>179.64128412415442</v>
      </c>
      <c r="DG41">
        <f>AX41*(c_Stroke1+c_Stroke2+c_MI2+c_DM)</f>
        <v>12.253617178796002</v>
      </c>
      <c r="DH41">
        <f>AY41*(c_Stroke2+c_MI1+c_MI2+c_DM)</f>
        <v>12.742262116148819</v>
      </c>
      <c r="DI41">
        <f>AZ41*(c_Stroke2+c_MI2+c_DM)</f>
        <v>11.852189907203565</v>
      </c>
      <c r="DJ41">
        <f>BA41*(c_HF1+c_DM)</f>
        <v>94.892483905957633</v>
      </c>
      <c r="DK41">
        <f>BB41*(c_HF2+c_DM)</f>
        <v>778.26066818404774</v>
      </c>
      <c r="DL41">
        <f>BC41*(c_Stroke2+c_HF1+c_DM)</f>
        <v>9.8624162069314956</v>
      </c>
      <c r="DM41">
        <f>BD41*(c_Stroke1+c_Stroke2+c_HF2+c_DM)</f>
        <v>29.542052404213329</v>
      </c>
      <c r="DN41">
        <f>BE41*(c_Stroke2+c_HF2+c_DM)</f>
        <v>39.349335742367778</v>
      </c>
      <c r="DO41">
        <f t="shared" si="20"/>
        <v>0</v>
      </c>
      <c r="DP41">
        <f t="shared" si="21"/>
        <v>6187.1791211777663</v>
      </c>
      <c r="DQ41">
        <f>DP41/(1+r_)^A41</f>
        <v>2012.2324596475305</v>
      </c>
    </row>
    <row r="42" spans="1:121" x14ac:dyDescent="0.3">
      <c r="A42">
        <v>39</v>
      </c>
      <c r="B42">
        <v>84</v>
      </c>
      <c r="C42">
        <f t="shared" si="0"/>
        <v>38</v>
      </c>
      <c r="D42">
        <f t="shared" si="1"/>
        <v>125</v>
      </c>
      <c r="E42">
        <f t="shared" si="2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2"/>
        <v>5.6857293942168513E-2</v>
      </c>
      <c r="J42">
        <f t="shared" si="23"/>
        <v>0.37111787594973267</v>
      </c>
      <c r="K42">
        <f t="shared" si="24"/>
        <v>0.47772652512751956</v>
      </c>
      <c r="L42">
        <f t="shared" si="25"/>
        <v>0.19713427909630232</v>
      </c>
      <c r="M42">
        <f t="shared" si="26"/>
        <v>0.26471920158354523</v>
      </c>
      <c r="N42">
        <f t="shared" si="27"/>
        <v>0.73116420041927055</v>
      </c>
      <c r="O42">
        <f t="shared" si="28"/>
        <v>0.84373144579034942</v>
      </c>
      <c r="P42">
        <f t="shared" si="29"/>
        <v>0.47595284937138926</v>
      </c>
      <c r="Q42">
        <f t="shared" si="30"/>
        <v>0.59869605127045322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3.0564447627088324E-2</v>
      </c>
      <c r="U42">
        <f t="shared" si="31"/>
        <v>0.63556121713585867</v>
      </c>
      <c r="V42">
        <f t="shared" si="32"/>
        <v>0.75674654901886329</v>
      </c>
      <c r="W42">
        <f t="shared" si="33"/>
        <v>0.37988307304341762</v>
      </c>
      <c r="X42">
        <f t="shared" si="34"/>
        <v>0.48789260797758516</v>
      </c>
      <c r="Y42">
        <f t="shared" si="35"/>
        <v>0.89304892802540481</v>
      </c>
      <c r="Z42">
        <f t="shared" si="36"/>
        <v>0.95751365609289618</v>
      </c>
      <c r="AA42">
        <f t="shared" si="37"/>
        <v>0.66698346264993358</v>
      </c>
      <c r="AB42">
        <f t="shared" si="38"/>
        <v>0.78852965849188672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5.0109369648763669E-2</v>
      </c>
      <c r="AD42">
        <f t="shared" si="46"/>
        <v>2.7010217626373085E-2</v>
      </c>
      <c r="AE42">
        <f t="shared" si="47"/>
        <v>8.4205123250769773E-3</v>
      </c>
      <c r="AF42">
        <f t="shared" si="48"/>
        <v>5.3086622159300529E-4</v>
      </c>
      <c r="AG42">
        <f t="shared" si="49"/>
        <v>1.7524537813616917E-3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2.3310179284124666E-4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1.0241957204091135E-3</v>
      </c>
      <c r="AJ42">
        <f t="shared" si="50"/>
        <v>1.6501447687558283E-5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1.4458916495494947E-5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2.9312112986188751E-5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2.0653043973210605E-4</v>
      </c>
      <c r="AN42">
        <f t="shared" si="51"/>
        <v>2.5772777665175979E-3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1.1579490677616147E-5</v>
      </c>
      <c r="AP42">
        <f>AM41*T41*p_Stroke*p_Stroke_rec*(1-I41) + AN41*T41*p_Stroke*p_Stroke_rec*(1-I41) + AO41*(p_recur_Stroke*p_Stroke_rec)*(1-I41) + AP41*(p_recur_Stroke*p_Stroke_rec)*(1-I41) + AQ41*(p_recur_Stroke*p_Stroke_rec)*(1-I41)</f>
        <v>3.2313205494064568E-5</v>
      </c>
      <c r="AQ42">
        <f>AO41*(1-p_recur_Stroke-H41*rr_Stroke*rr_HF)*(1-I41) + AP41*(1-p_recur_Stroke-H41*rr_Stroke*rr_HF)*(1-I41) + AQ41*(1-p_recur_Stroke-H41*rr_Stroke*rr_HF)*(1-I41)</f>
        <v>6.5547075807471358E-5</v>
      </c>
      <c r="AR42">
        <f>AR41*(1-AC41-H41*rr_DM) + AD41*(1-T41-H41)*I41</f>
        <v>0.14778178461221028</v>
      </c>
      <c r="AS42">
        <f>AR41*AC41*p_Other + AD41*T41*p_Other*I41 + AE41*(1-T41*p_Stroke-T41*p_MI-H41*rr_Other)*I41 + AS41*(1-AC41*p_Stroke-AC41*p_MI-H41*rr_Other*rr_DM)</f>
        <v>7.6846657059012891E-2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5.5463651293179723E-3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1.7013016138446836E-2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2.5154518889209639E-3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1.0938485346287882E-2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2.8506114907858647E-4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2.4152938252481742E-4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4.2803015962926286E-4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2.2478717146920315E-3</v>
      </c>
      <c r="BB42">
        <f>AM41*(1-T41*p_Stroke - H41*rr_HF)*I41 + AN41*(1-T41*p_Stroke - H41*rr_HF)*I41 + BA41*(1-AC41*p_Stroke - H41*rr_HF*rr_DM) + BB41*(1-AC41*p_Stroke - H41*rr_HF*rr_DM)</f>
        <v>2.6963280519566972E-2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1.918900706477484E-4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5.445440691210587E-4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9.3081608694382692E-4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0.66560034875054508</v>
      </c>
      <c r="BG42">
        <f t="shared" si="16"/>
        <v>0.99999999999999956</v>
      </c>
      <c r="BH42">
        <f>(0.9442 - 0.0007*$B42 - dis_BMI*($C42-21.75))*AD42</f>
        <v>2.2466423766176472E-2</v>
      </c>
      <c r="BI42">
        <f>0.959*(0.9442 - 0.0007*$B42 - dis_BMI*($C42-21.75))*AE42</f>
        <v>6.7168088019840758E-3</v>
      </c>
      <c r="BJ42">
        <f>(0.943*(0.9442 - 0.0007*$B42 - dis_BMI*($C42-21.75)) - 0.19*0.5)*AF42</f>
        <v>3.6595996908065173E-4</v>
      </c>
      <c r="BK42">
        <f>(0.943*(0.9442 - 0.0007*$B42 - dis_BMI*($C42-21.75)))*AG42</f>
        <v>1.3745613510845701E-3</v>
      </c>
      <c r="BL42">
        <f>(0.955*(0.9442 - 0.0007*$B42 - dis_BMI*($C42-21.75)) - 0.15*0.5)*AH42</f>
        <v>1.6768063830911069E-4</v>
      </c>
      <c r="BM42">
        <f>(0.955*(0.9442 - 0.0007*$B42 - dis_BMI*($C42-21.75)))*AI42</f>
        <v>8.1356487755284237E-4</v>
      </c>
      <c r="BN42">
        <f>(0.955*0.943*(0.9442 - 0.0007*$B42 - dis_BMI*($C42-21.75)) - 0.19*0.5)*AJ42</f>
        <v>1.0793059857751305E-5</v>
      </c>
      <c r="BO42">
        <f>(0.955*0.943*(0.9442 - 0.0007*$B42 - dis_BMI*($C42-21.75)) - 0.15*0.5)*AK42</f>
        <v>9.7462850134506011E-6</v>
      </c>
      <c r="BP42">
        <f>(0.955*0.943*(0.9442 - 0.0007*$B42 - dis_BMI*($C42-21.75)))*AL42</f>
        <v>2.1956749812948616E-5</v>
      </c>
      <c r="BQ42">
        <f>(0.93*(0.9442 - 0.0007*$B42 - dis_BMI*($C42-21.75)))*AM42</f>
        <v>1.5976177655260045E-4</v>
      </c>
      <c r="BR42">
        <f>(0.93*(0.9442 - 0.0007*$B42 - dis_BMI*($C42-21.75)))*AN42</f>
        <v>1.9936551492480128E-3</v>
      </c>
      <c r="BS42">
        <f>(0.93*0.943*(0.9442 - 0.0007*$B42 - dis_BMI*($C42-21.75)))*AO42</f>
        <v>8.4467562474855646E-6</v>
      </c>
      <c r="BT42">
        <f>(0.93*0.943*(0.9442 - 0.0007*$B42 - dis_BMI*($C42-21.75))-0.19*0.5)*AP42</f>
        <v>2.0501383275245884E-5</v>
      </c>
      <c r="BU42">
        <f>(0.93*0.943*(0.9442 - 0.0007*$B42 - dis_BMI*($C42-21.75)))*AQ42</f>
        <v>4.7813862241059277E-5</v>
      </c>
      <c r="BV42">
        <f>0.962*(0.9442 - 0.0007*$B42 - dis_BMI*($C42-21.75))*AR42</f>
        <v>0.11825018852778001</v>
      </c>
      <c r="BW42">
        <f>0.962*0.959*(0.9442 - 0.0007*$B42 - dis_BMI*($C42-21.75))*AS42</f>
        <v>5.8969103051111922E-2</v>
      </c>
      <c r="BX42">
        <f>0.962*(0.943*(0.9442 - 0.0007*$B42 - dis_BMI*($C42-21.75)) - 0.19*0.5)*AT42</f>
        <v>3.6781718681383135E-3</v>
      </c>
      <c r="BY42">
        <f>0.962*(0.943*(0.9442 - 0.0007*$B42 - dis_BMI*($C42-21.75)))*AU42</f>
        <v>1.2837307425439613E-2</v>
      </c>
      <c r="BZ42">
        <f>0.962*(0.955*(0.9442 - 0.0007*$B42 - dis_BMI*($C42-21.75)) - 0.15*0.5)*AV42</f>
        <v>1.7407178874355781E-3</v>
      </c>
      <c r="CA42">
        <f>0.962*(0.955*(0.9442 - 0.0007*$B42 - dis_BMI*($C42-21.75)))*AW42</f>
        <v>8.3587530743388216E-3</v>
      </c>
      <c r="CB42">
        <f>0.962*(0.955*0.943*(0.9442 - 0.0007*$B42 - dis_BMI*($C42-21.75)) - 0.19*0.5)*AX42</f>
        <v>1.7936414934317652E-4</v>
      </c>
      <c r="CC42">
        <f>0.962*(0.955*0.943*(0.9442 - 0.0007*$B42 - dis_BMI*($C42-21.75)) - 0.15*0.5)*AY42</f>
        <v>1.5662042603740216E-4</v>
      </c>
      <c r="CD42">
        <f>0.962*(0.955*0.943*(0.9442 - 0.0007*$B42 - dis_BMI*($C42-21.75)))*AZ42</f>
        <v>3.0843976989293904E-4</v>
      </c>
      <c r="CE42">
        <f>0.962*(0.93*(0.9442 - 0.0007*$B42 - dis_BMI*($C42-21.75)))*BA42</f>
        <v>1.6727668224732625E-3</v>
      </c>
      <c r="CF42">
        <f>0.962*(0.93*(0.9442 - 0.0007*$B42 - dis_BMI*($C42-21.75)))*BB42</f>
        <v>2.0064882165373308E-2</v>
      </c>
      <c r="CG42">
        <f>0.962*(0.93*0.943*(0.9442 - 0.0007*$B42 - dis_BMI*($C42-21.75)))*BC42</f>
        <v>1.3465673471041588E-4</v>
      </c>
      <c r="CH42">
        <f>0.962*(0.93*0.943*(0.9442 - 0.0007*$B42 - dis_BMI*($C42-21.75))-0.19*0.5)*BD42</f>
        <v>3.3236189519407586E-4</v>
      </c>
      <c r="CI42">
        <f>0.962*(0.93*0.943*(0.9442 - 0.0007*$B42 - dis_BMI*($C42-21.75)))*BE42</f>
        <v>6.5318989388392834E-4</v>
      </c>
      <c r="CJ42">
        <f t="shared" si="17"/>
        <v>0</v>
      </c>
      <c r="CK42">
        <f t="shared" si="18"/>
        <v>0.26151419811758903</v>
      </c>
      <c r="CL42">
        <f>CK42/(1+r_)^A42</f>
        <v>8.2574035384196207E-2</v>
      </c>
      <c r="CM42">
        <f t="shared" si="19"/>
        <v>0</v>
      </c>
      <c r="CN42">
        <f>AE42*c_Other</f>
        <v>120.23649548977416</v>
      </c>
      <c r="CO42">
        <f>AF42*(c_Stroke1+c_Stroke2)</f>
        <v>12.643109933459014</v>
      </c>
      <c r="CP42">
        <f>AG42*c_Stroke2</f>
        <v>11.390949578850996</v>
      </c>
      <c r="CQ42">
        <f>AH42*(c_MI1+c_MI2)</f>
        <v>6.7951503631151819</v>
      </c>
      <c r="CR42">
        <f>AI42*c_MI2</f>
        <v>3.192418060515207</v>
      </c>
      <c r="CS42">
        <f>AJ42*(c_Stroke1+c_Stroke2+c_MI2)</f>
        <v>0.44443349056900722</v>
      </c>
      <c r="CT42">
        <f>AK42*(c_Stroke2+c_MI1+c_MI2)</f>
        <v>0.51547483198089039</v>
      </c>
      <c r="CU42">
        <f>AL42*(c_Stroke2+c_MI2)</f>
        <v>0.28189459058817723</v>
      </c>
      <c r="CV42">
        <f>AM42*(c_HF1)</f>
        <v>5.5825177859588262</v>
      </c>
      <c r="CW42">
        <f>AN42*(c_HF2)</f>
        <v>40.218419546507114</v>
      </c>
      <c r="CX42">
        <f>AO42*(c_Stroke2+c_HF1)</f>
        <v>0.38826032242046943</v>
      </c>
      <c r="CY42">
        <f>AP42*(c_Stroke1+c_Stroke2+c_HF2)</f>
        <v>1.2738188737815193</v>
      </c>
      <c r="CZ42">
        <f>AQ42*(c_Stroke2+c_HF2)</f>
        <v>1.4489181107241544</v>
      </c>
      <c r="DA42">
        <f>AR42*c_DM</f>
        <v>1688.4068891945026</v>
      </c>
      <c r="DB42">
        <f>AS42*(c_Other+c_DM)</f>
        <v>1975.2664730448673</v>
      </c>
      <c r="DC42">
        <f>AT42*(c_Stroke1+c_Stroke2+c_DM)</f>
        <v>195.45945352229467</v>
      </c>
      <c r="DD42">
        <f>AU42*(c_Stroke2+c_DM)</f>
        <v>304.95831428165951</v>
      </c>
      <c r="DE42">
        <f>AV42*(c_MI1+c_MI2+c_DM)</f>
        <v>102.06697584485703</v>
      </c>
      <c r="DF42">
        <f>AW42*(c_MI2+c_DM)</f>
        <v>159.06745390571837</v>
      </c>
      <c r="DG42">
        <f>AX42*(c_Stroke1+c_Stroke2+c_MI2+c_DM)</f>
        <v>10.93437555635642</v>
      </c>
      <c r="DH42">
        <f>AY42*(c_Stroke2+c_MI1+c_MI2+c_DM)</f>
        <v>11.370237211738305</v>
      </c>
      <c r="DI42">
        <f>AZ42*(c_Stroke2+c_MI2+c_DM)</f>
        <v>9.0066106189189483</v>
      </c>
      <c r="DJ42">
        <f>BA42*(c_HF1+c_DM)</f>
        <v>86.441906788482072</v>
      </c>
      <c r="DK42">
        <f>BB42*(c_HF2+c_DM)</f>
        <v>728.81747244389521</v>
      </c>
      <c r="DL42">
        <f>BC42*(c_Stroke2+c_HF1+c_DM)</f>
        <v>8.6264181259695292</v>
      </c>
      <c r="DM42">
        <f>BD42*(c_Stroke1+c_Stroke2+c_HF2+c_DM)</f>
        <v>27.687887738529351</v>
      </c>
      <c r="DN42">
        <f>BE42*(c_Stroke2+c_HF2+c_DM)</f>
        <v>31.210263395226516</v>
      </c>
      <c r="DO42">
        <f t="shared" si="20"/>
        <v>0</v>
      </c>
      <c r="DP42">
        <f t="shared" si="21"/>
        <v>5543.7325926512603</v>
      </c>
      <c r="DQ42">
        <f>DP42/(1+r_)^A42</f>
        <v>1750.4532241888942</v>
      </c>
    </row>
    <row r="43" spans="1:121" x14ac:dyDescent="0.3">
      <c r="A43">
        <v>40</v>
      </c>
      <c r="B43">
        <v>85</v>
      </c>
      <c r="C43">
        <f t="shared" si="0"/>
        <v>38</v>
      </c>
      <c r="D43">
        <f t="shared" si="1"/>
        <v>125</v>
      </c>
      <c r="E43">
        <f t="shared" si="2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22"/>
        <v>5.6857293942168513E-2</v>
      </c>
      <c r="J43">
        <f t="shared" si="23"/>
        <v>0.38059154730418365</v>
      </c>
      <c r="K43">
        <f t="shared" si="24"/>
        <v>0.48871181296336297</v>
      </c>
      <c r="L43">
        <f t="shared" si="25"/>
        <v>0.20288274088619795</v>
      </c>
      <c r="M43">
        <f t="shared" si="26"/>
        <v>0.27208158433093144</v>
      </c>
      <c r="N43">
        <f t="shared" si="27"/>
        <v>0.7440960042366993</v>
      </c>
      <c r="O43">
        <f t="shared" si="28"/>
        <v>0.85424634532122035</v>
      </c>
      <c r="P43">
        <f t="shared" si="29"/>
        <v>0.48850784089997834</v>
      </c>
      <c r="Q43">
        <f t="shared" si="30"/>
        <v>0.61221348289891209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3.1343408658843712E-2</v>
      </c>
      <c r="U43">
        <f t="shared" si="31"/>
        <v>0.64740341909556631</v>
      </c>
      <c r="V43">
        <f t="shared" si="32"/>
        <v>0.76774403682476666</v>
      </c>
      <c r="W43">
        <f t="shared" si="33"/>
        <v>0.38950519315608179</v>
      </c>
      <c r="X43">
        <f t="shared" si="34"/>
        <v>0.49898647455000233</v>
      </c>
      <c r="Y43">
        <f t="shared" si="35"/>
        <v>0.90165490638556112</v>
      </c>
      <c r="Z43">
        <f t="shared" si="36"/>
        <v>0.96226270900840638</v>
      </c>
      <c r="AA43">
        <f t="shared" si="37"/>
        <v>0.68044542249590401</v>
      </c>
      <c r="AB43">
        <f t="shared" si="38"/>
        <v>0.80050701234211896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5.1127551072704426E-2</v>
      </c>
      <c r="AD43">
        <f t="shared" si="46"/>
        <v>2.2946237131208417E-2</v>
      </c>
      <c r="AE43">
        <f t="shared" si="47"/>
        <v>7.2243872122032165E-3</v>
      </c>
      <c r="AF43">
        <f t="shared" si="48"/>
        <v>4.5386342084544084E-4</v>
      </c>
      <c r="AG43">
        <f t="shared" si="49"/>
        <v>1.4176493173154833E-3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2.0379258768955365E-4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8.6606015180995522E-4</v>
      </c>
      <c r="AJ43">
        <f t="shared" si="50"/>
        <v>1.3944906353063264E-5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1.2187673379376768E-5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2.1956026272214918E-5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1.786323836866639E-4</v>
      </c>
      <c r="AN43">
        <f t="shared" si="51"/>
        <v>2.2788770986876144E-3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9.5573009333967645E-6</v>
      </c>
      <c r="AP43">
        <f>AM42*T42*p_Stroke*p_Stroke_rec*(1-I42) + AN42*T42*p_Stroke*p_Stroke_rec*(1-I42) + AO42*(p_recur_Stroke*p_Stroke_rec)*(1-I42) + AP42*(p_recur_Stroke*p_Stroke_rec)*(1-I42) + AQ42*(p_recur_Stroke*p_Stroke_rec)*(1-I42)</f>
        <v>2.837563228471017E-5</v>
      </c>
      <c r="AQ43">
        <f>AO42*(1-p_recur_Stroke-H42*rr_Stroke*rr_HF)*(1-I42) + AP42*(1-p_recur_Stroke-H42*rr_Stroke*rr_HF)*(1-I42) + AQ42*(1-p_recur_Stroke-H42*rr_Stroke*rr_HF)*(1-I42)</f>
        <v>5.0447065859995761E-5</v>
      </c>
      <c r="AR43">
        <f>AR42*(1-AC42-H42*rr_DM) + AD42*(1-T42-H42)*I42</f>
        <v>0.13008740407548944</v>
      </c>
      <c r="AS43">
        <f>AR42*AC42*p_Other + AD42*T42*p_Other*I42 + AE42*(1-T42*p_Stroke-T42*p_MI-H42*rr_Other)*I42 + AS42*(1-AC42*p_Stroke-AC42*p_MI-H42*rr_Other*rr_DM)</f>
        <v>6.8089844607069003E-2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4.8996842204708357E-3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1.4111872790365167E-2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2.2768475334416401E-3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9.5988504650744537E-3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2.4888480731814912E-4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2.0900530707022188E-4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3.2139938457453453E-4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2.0179160165323421E-3</v>
      </c>
      <c r="BB43">
        <f>AM42*(1-T42*p_Stroke - H42*rr_HF)*I42 + AN42*(1-T42*p_Stroke - H42*rr_HF)*I42 + BA42*(1-AC42*p_Stroke - H42*rr_HF*rr_DM) + BB42*(1-AC42*p_Stroke - H42*rr_HF*rr_DM)</f>
        <v>2.4812726338721676E-2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1.6255396658859097E-4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4.9550506125961742E-4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7.2005555699145702E-4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0.70624148196050318</v>
      </c>
      <c r="BG43">
        <f t="shared" si="16"/>
        <v>0.99999999999999944</v>
      </c>
      <c r="BH43">
        <f>(0.9442 - 0.0007*$B43 - dis_BMI*($C43-21.75))*AD43</f>
        <v>1.9070044023819035E-2</v>
      </c>
      <c r="BI43">
        <f>0.959*(0.9442 - 0.0007*$B43 - dis_BMI*($C43-21.75))*AE43</f>
        <v>5.7578432906841342E-3</v>
      </c>
      <c r="BJ43">
        <f>(0.943*(0.9442 - 0.0007*$B43 - dis_BMI*($C43-21.75)) - 0.19*0.5)*AF43</f>
        <v>3.1257742857749774E-4</v>
      </c>
      <c r="BK43">
        <f>(0.943*(0.9442 - 0.0007*$B43 - dis_BMI*($C43-21.75)))*AG43</f>
        <v>1.1110170507238513E-3</v>
      </c>
      <c r="BL43">
        <f>(0.955*(0.9442 - 0.0007*$B43 - dis_BMI*($C43-21.75)) - 0.15*0.5)*AH43</f>
        <v>1.4646096912074497E-4</v>
      </c>
      <c r="BM43">
        <f>(0.955*(0.9442 - 0.0007*$B43 - dis_BMI*($C43-21.75)))*AI43</f>
        <v>6.8737169833551289E-4</v>
      </c>
      <c r="BN43">
        <f>(0.955*0.943*(0.9442 - 0.0007*$B43 - dis_BMI*($C43-21.75)) - 0.19*0.5)*AJ43</f>
        <v>9.1121185727156027E-6</v>
      </c>
      <c r="BO43">
        <f>(0.955*0.943*(0.9442 - 0.0007*$B43 - dis_BMI*($C43-21.75)) - 0.15*0.5)*AK43</f>
        <v>8.207630896855113E-6</v>
      </c>
      <c r="BP43">
        <f>(0.955*0.943*(0.9442 - 0.0007*$B43 - dis_BMI*($C43-21.75)))*AL43</f>
        <v>1.6432703694824722E-5</v>
      </c>
      <c r="BQ43">
        <f>(0.93*(0.9442 - 0.0007*$B43 - dis_BMI*($C43-21.75)))*AM43</f>
        <v>1.380649246933266E-4</v>
      </c>
      <c r="BR43">
        <f>(0.93*(0.9442 - 0.0007*$B43 - dis_BMI*($C43-21.75)))*AN43</f>
        <v>1.7613435398563825E-3</v>
      </c>
      <c r="BS43">
        <f>(0.93*0.943*(0.9442 - 0.0007*$B43 - dis_BMI*($C43-21.75)))*AO43</f>
        <v>6.9657858784775903E-6</v>
      </c>
      <c r="BT43">
        <f>(0.93*0.943*(0.9442 - 0.0007*$B43 - dis_BMI*($C43-21.75))-0.19*0.5)*AP43</f>
        <v>1.7985737443257123E-5</v>
      </c>
      <c r="BU43">
        <f>(0.93*0.943*(0.9442 - 0.0007*$B43 - dis_BMI*($C43-21.75)))*AQ43</f>
        <v>3.6768064689713077E-5</v>
      </c>
      <c r="BV43">
        <f>0.962*(0.9442 - 0.0007*$B43 - dis_BMI*($C43-21.75))*AR43</f>
        <v>0.10400411854703996</v>
      </c>
      <c r="BW43">
        <f>0.962*0.959*(0.9442 - 0.0007*$B43 - dis_BMI*($C43-21.75))*AS43</f>
        <v>5.220549770781252E-2</v>
      </c>
      <c r="BX43">
        <f>0.962*(0.943*(0.9442 - 0.0007*$B43 - dis_BMI*($C43-21.75)) - 0.19*0.5)*AT43</f>
        <v>3.2462024045514302E-3</v>
      </c>
      <c r="BY43">
        <f>0.962*(0.943*(0.9442 - 0.0007*$B43 - dis_BMI*($C43-21.75)))*AU43</f>
        <v>1.0639265236178983E-2</v>
      </c>
      <c r="BZ43">
        <f>0.962*(0.955*(0.9442 - 0.0007*$B43 - dis_BMI*($C43-21.75)) - 0.15*0.5)*AV43</f>
        <v>1.5741370511364228E-3</v>
      </c>
      <c r="CA43">
        <f>0.962*(0.955*(0.9442 - 0.0007*$B43 - dis_BMI*($C43-21.75)))*AW43</f>
        <v>7.3288846778419743E-3</v>
      </c>
      <c r="CB43">
        <f>0.962*(0.955*0.943*(0.9442 - 0.0007*$B43 - dis_BMI*($C43-21.75)) - 0.19*0.5)*AX43</f>
        <v>1.5645059498678123E-4</v>
      </c>
      <c r="CC43">
        <f>0.962*(0.955*0.943*(0.9442 - 0.0007*$B43 - dis_BMI*($C43-21.75)) - 0.15*0.5)*AY43</f>
        <v>1.3540334604830162E-4</v>
      </c>
      <c r="CD43">
        <f>0.962*(0.955*0.943*(0.9442 - 0.0007*$B43 - dis_BMI*($C43-21.75)))*AZ43</f>
        <v>2.3140641566704275E-4</v>
      </c>
      <c r="CE43">
        <f>0.962*(0.93*(0.9442 - 0.0007*$B43 - dis_BMI*($C43-21.75)))*BA43</f>
        <v>1.5003802068802871E-3</v>
      </c>
      <c r="CF43">
        <f>0.962*(0.93*(0.9442 - 0.0007*$B43 - dis_BMI*($C43-21.75)))*BB43</f>
        <v>1.8448995484623774E-2</v>
      </c>
      <c r="CG43">
        <f>0.962*(0.93*0.943*(0.9442 - 0.0007*$B43 - dis_BMI*($C43-21.75)))*BC43</f>
        <v>1.1397444945975498E-4</v>
      </c>
      <c r="CH43">
        <f>0.962*(0.93*0.943*(0.9442 - 0.0007*$B43 - dis_BMI*($C43-21.75))-0.19*0.5)*BD43</f>
        <v>3.0213836076394956E-4</v>
      </c>
      <c r="CI43">
        <f>0.962*(0.93*0.943*(0.9442 - 0.0007*$B43 - dis_BMI*($C43-21.75)))*BE43</f>
        <v>5.0486578341237822E-4</v>
      </c>
      <c r="CJ43">
        <f t="shared" si="17"/>
        <v>0</v>
      </c>
      <c r="CK43">
        <f t="shared" si="18"/>
        <v>0.22947191523338994</v>
      </c>
      <c r="CL43">
        <f>CK43/(1+r_)^A43</f>
        <v>7.0346185380262827E-2</v>
      </c>
      <c r="CM43">
        <f t="shared" si="19"/>
        <v>0</v>
      </c>
      <c r="CN43">
        <f>AE43*c_Other</f>
        <v>103.15702500304972</v>
      </c>
      <c r="CO43">
        <f>AF43*(c_Stroke1+c_Stroke2)</f>
        <v>10.80921123085502</v>
      </c>
      <c r="CP43">
        <f>AG43*c_Stroke2</f>
        <v>9.2147205625506423</v>
      </c>
      <c r="CQ43">
        <f>AH43*(c_MI1+c_MI2)</f>
        <v>5.9407577237381783</v>
      </c>
      <c r="CR43">
        <f>AI43*c_MI2</f>
        <v>2.6995094931916306</v>
      </c>
      <c r="CS43">
        <f>AJ43*(c_Stroke1+c_Stroke2+c_MI2)</f>
        <v>0.37557816280705286</v>
      </c>
      <c r="CT43">
        <f>AK43*(c_Stroke2+c_MI1+c_MI2)</f>
        <v>0.43450274364816116</v>
      </c>
      <c r="CU43">
        <f>AL43*(c_Stroke2+c_MI2)</f>
        <v>0.21115110465989087</v>
      </c>
      <c r="CV43">
        <f>AM43*(c_HF1)</f>
        <v>4.8284333310505252</v>
      </c>
      <c r="CW43">
        <f>AN43*(c_HF2)</f>
        <v>35.561877125020224</v>
      </c>
      <c r="CX43">
        <f>AO43*(c_Stroke2+c_HF1)</f>
        <v>0.32045630029679351</v>
      </c>
      <c r="CY43">
        <f>AP43*(c_Stroke1+c_Stroke2+c_HF2)</f>
        <v>1.1185958002955596</v>
      </c>
      <c r="CZ43">
        <f>AQ43*(c_Stroke2+c_HF2)</f>
        <v>1.1151323908352062</v>
      </c>
      <c r="DA43">
        <f>AR43*c_DM</f>
        <v>1486.2485915624668</v>
      </c>
      <c r="DB43">
        <f>AS43*(c_Other+c_DM)</f>
        <v>1750.1813657801017</v>
      </c>
      <c r="DC43">
        <f>AT43*(c_Stroke1+c_Stroke2+c_DM)</f>
        <v>172.66977161361271</v>
      </c>
      <c r="DD43">
        <f>AU43*(c_Stroke2+c_DM)</f>
        <v>252.95531976729561</v>
      </c>
      <c r="DE43">
        <f>AV43*(c_MI1+c_MI2+c_DM)</f>
        <v>92.38536551692799</v>
      </c>
      <c r="DF43">
        <f>AW43*(c_MI2+c_DM)</f>
        <v>139.5864834631127</v>
      </c>
      <c r="DG43">
        <f>AX43*(c_Stroke1+c_Stroke2+c_MI2+c_DM)</f>
        <v>9.5467234391095648</v>
      </c>
      <c r="DH43">
        <f>AY43*(c_Stroke2+c_MI1+c_MI2+c_DM)</f>
        <v>9.8391338356377656</v>
      </c>
      <c r="DI43">
        <f>AZ43*(c_Stroke2+c_MI2+c_DM)</f>
        <v>6.7628858502173559</v>
      </c>
      <c r="DJ43">
        <f>BA43*(c_HF1+c_DM)</f>
        <v>77.598960415751222</v>
      </c>
      <c r="DK43">
        <f>BB43*(c_HF2+c_DM)</f>
        <v>670.68799293564689</v>
      </c>
      <c r="DL43">
        <f>BC43*(c_Stroke2+c_HF1+c_DM)</f>
        <v>7.3076135679901073</v>
      </c>
      <c r="DM43">
        <f>BD43*(c_Stroke1+c_Stroke2+c_HF2+c_DM)</f>
        <v>25.194450344806508</v>
      </c>
      <c r="DN43">
        <f>BE43*(c_Stroke2+c_HF2+c_DM)</f>
        <v>24.143462825923553</v>
      </c>
      <c r="DO43">
        <f t="shared" si="20"/>
        <v>0</v>
      </c>
      <c r="DP43">
        <f t="shared" si="21"/>
        <v>4900.8950718905999</v>
      </c>
      <c r="DQ43">
        <f>DP43/(1+r_)^A43</f>
        <v>1502.4029102027014</v>
      </c>
    </row>
    <row r="44" spans="1:121" x14ac:dyDescent="0.3">
      <c r="A44">
        <v>41</v>
      </c>
      <c r="B44">
        <v>86</v>
      </c>
      <c r="C44">
        <f t="shared" si="0"/>
        <v>38</v>
      </c>
      <c r="D44">
        <f t="shared" si="1"/>
        <v>125</v>
      </c>
      <c r="E44">
        <f t="shared" si="2"/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22"/>
        <v>5.6857293942168513E-2</v>
      </c>
      <c r="J44">
        <f t="shared" si="23"/>
        <v>0.39011188860061308</v>
      </c>
      <c r="K44">
        <f t="shared" si="24"/>
        <v>0.4996836341349562</v>
      </c>
      <c r="L44">
        <f t="shared" si="25"/>
        <v>0.20870635567603923</v>
      </c>
      <c r="M44">
        <f t="shared" si="26"/>
        <v>0.27951856791757668</v>
      </c>
      <c r="N44">
        <f t="shared" si="27"/>
        <v>0.75670782825151162</v>
      </c>
      <c r="O44">
        <f t="shared" si="28"/>
        <v>0.86429187333899182</v>
      </c>
      <c r="P44">
        <f t="shared" si="29"/>
        <v>0.50106666794547028</v>
      </c>
      <c r="Q44">
        <f t="shared" si="30"/>
        <v>0.62559863454118125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3.2125213438639798E-2</v>
      </c>
      <c r="U44">
        <f t="shared" si="31"/>
        <v>0.65909124237775085</v>
      </c>
      <c r="V44">
        <f t="shared" si="32"/>
        <v>0.77845407549853318</v>
      </c>
      <c r="W44">
        <f t="shared" si="33"/>
        <v>0.39917022874425034</v>
      </c>
      <c r="X44">
        <f t="shared" si="34"/>
        <v>0.51005954333674697</v>
      </c>
      <c r="Y44">
        <f t="shared" si="35"/>
        <v>0.90975913761142368</v>
      </c>
      <c r="Z44">
        <f t="shared" si="36"/>
        <v>0.96658077717887392</v>
      </c>
      <c r="AA44">
        <f t="shared" si="37"/>
        <v>0.6936815092069355</v>
      </c>
      <c r="AB44">
        <f t="shared" si="38"/>
        <v>0.81208197343318433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5.2137791284478915E-2</v>
      </c>
      <c r="AD44">
        <f t="shared" si="46"/>
        <v>1.9278804974953715E-2</v>
      </c>
      <c r="AE44">
        <f t="shared" si="47"/>
        <v>6.0829708109748463E-3</v>
      </c>
      <c r="AF44">
        <f t="shared" si="48"/>
        <v>3.8358989935166014E-4</v>
      </c>
      <c r="AG44">
        <f t="shared" si="49"/>
        <v>1.1111045202925316E-3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1.7668088038348743E-4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7.2217175524225163E-4</v>
      </c>
      <c r="AJ44">
        <f t="shared" si="50"/>
        <v>1.1699241306360357E-5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1.0126943709668764E-5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1.5464937493458155E-5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1.5334533398527988E-4</v>
      </c>
      <c r="AN44">
        <f t="shared" si="51"/>
        <v>1.9727411842703001E-3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7.7909622039193092E-6</v>
      </c>
      <c r="AP44">
        <f>AM43*T43*p_Stroke*p_Stroke_rec*(1-I43) + AN43*T43*p_Stroke*p_Stroke_rec*(1-I43) + AO43*(p_recur_Stroke*p_Stroke_rec)*(1-I43) + AP43*(p_recur_Stroke*p_Stroke_rec)*(1-I43) + AQ43*(p_recur_Stroke*p_Stroke_rec)*(1-I43)</f>
        <v>2.4574532662726375E-5</v>
      </c>
      <c r="AQ44">
        <f>AO43*(1-p_recur_Stroke-H43*rr_Stroke*rr_HF)*(1-I43) + AP43*(1-p_recur_Stroke-H43*rr_Stroke*rr_HF)*(1-I43) + AQ43*(1-p_recur_Stroke-H43*rr_Stroke*rr_HF)*(1-I43)</f>
        <v>3.6393675022280472E-5</v>
      </c>
      <c r="AR44">
        <f>AR43*(1-AC43-H43*rr_DM) + AD43*(1-T43-H43)*I43</f>
        <v>0.11295456866736896</v>
      </c>
      <c r="AS44">
        <f>AR43*AC43*p_Other + AD43*T43*p_Other*I43 + AE43*(1-T43*p_Stroke-T43*p_MI-H43*rr_Other)*I43 + AS43*(1-AC43*p_Stroke-AC43*p_MI-H43*rr_Other*rr_DM)</f>
        <v>5.8968208304412469E-2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4.265998947584654E-3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1.1256965843176543E-2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2.037783775762339E-3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8.2700254775104846E-3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2.1521715397019062E-4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1.7768621019171137E-4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2.2165958273728521E-4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1.7925387984410626E-3</v>
      </c>
      <c r="BB44">
        <f>AM43*(1-T43*p_Stroke - H43*rr_HF)*I43 + AN43*(1-T43*p_Stroke - H43*rr_HF)*I43 + BA43*(1-AC43*p_Stroke - H43*rr_HF*rr_DM) + BB43*(1-AC43*p_Stroke - H43*rr_HF*rr_DM)</f>
        <v>2.2263170662555169E-2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1.3559855804251908E-4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4.4389503809726734E-4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5.1223758953200375E-4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0.74649698573876422</v>
      </c>
      <c r="BG44">
        <f t="shared" si="16"/>
        <v>0.99999999999999933</v>
      </c>
      <c r="BH44">
        <f>(0.9442 - 0.0007*$B44 - dis_BMI*($C44-21.75))*AD44</f>
        <v>1.600863768107719E-2</v>
      </c>
      <c r="BI44">
        <f>0.959*(0.9442 - 0.0007*$B44 - dis_BMI*($C44-21.75))*AE44</f>
        <v>4.8440498647895451E-3</v>
      </c>
      <c r="BJ44">
        <f>(0.943*(0.9442 - 0.0007*$B44 - dis_BMI*($C44-21.75)) - 0.19*0.5)*AF44</f>
        <v>2.6392658486330139E-4</v>
      </c>
      <c r="BK44">
        <f>(0.943*(0.9442 - 0.0007*$B44 - dis_BMI*($C44-21.75)))*AG44</f>
        <v>8.7004331132374991E-4</v>
      </c>
      <c r="BL44">
        <f>(0.955*(0.9442 - 0.0007*$B44 - dis_BMI*($C44-21.75)) - 0.15*0.5)*AH44</f>
        <v>1.2685830764749709E-4</v>
      </c>
      <c r="BM44">
        <f>(0.955*(0.9442 - 0.0007*$B44 - dis_BMI*($C44-21.75)))*AI44</f>
        <v>5.7268806955261683E-4</v>
      </c>
      <c r="BN44">
        <f>(0.955*0.943*(0.9442 - 0.0007*$B44 - dis_BMI*($C44-21.75)) - 0.19*0.5)*AJ44</f>
        <v>7.6373426636752174E-6</v>
      </c>
      <c r="BO44">
        <f>(0.955*0.943*(0.9442 - 0.0007*$B44 - dis_BMI*($C44-21.75)) - 0.15*0.5)*AK44</f>
        <v>6.8134751922982698E-6</v>
      </c>
      <c r="BP44">
        <f>(0.955*0.943*(0.9442 - 0.0007*$B44 - dis_BMI*($C44-21.75)))*AL44</f>
        <v>1.156478328308847E-5</v>
      </c>
      <c r="BQ44">
        <f>(0.93*(0.9442 - 0.0007*$B44 - dis_BMI*($C44-21.75)))*AM44</f>
        <v>1.1842074248846491E-4</v>
      </c>
      <c r="BR44">
        <f>(0.93*(0.9442 - 0.0007*$B44 - dis_BMI*($C44-21.75)))*AN44</f>
        <v>1.523446913626259E-3</v>
      </c>
      <c r="BS44">
        <f>(0.93*0.943*(0.9442 - 0.0007*$B44 - dis_BMI*($C44-21.75)))*AO44</f>
        <v>5.6736168563473177E-6</v>
      </c>
      <c r="BT44">
        <f>(0.93*0.943*(0.9442 - 0.0007*$B44 - dis_BMI*($C44-21.75))-0.19*0.5)*AP44</f>
        <v>1.5561345356220007E-5</v>
      </c>
      <c r="BU44">
        <f>(0.93*0.943*(0.9442 - 0.0007*$B44 - dis_BMI*($C44-21.75)))*AQ44</f>
        <v>2.6502986751362163E-5</v>
      </c>
      <c r="BV44">
        <f>0.962*(0.9442 - 0.0007*$B44 - dis_BMI*($C44-21.75))*AR44</f>
        <v>9.0230453258794169E-2</v>
      </c>
      <c r="BW44">
        <f>0.962*0.959*(0.9442 - 0.0007*$B44 - dis_BMI*($C44-21.75))*AS44</f>
        <v>4.5173722220147622E-2</v>
      </c>
      <c r="BX44">
        <f>0.962*(0.943*(0.9442 - 0.0007*$B44 - dis_BMI*($C44-21.75)) - 0.19*0.5)*AT44</f>
        <v>2.8236560316969215E-3</v>
      </c>
      <c r="BY44">
        <f>0.962*(0.943*(0.9442 - 0.0007*$B44 - dis_BMI*($C44-21.75)))*AU44</f>
        <v>8.4797369174091398E-3</v>
      </c>
      <c r="BZ44">
        <f>0.962*(0.955*(0.9442 - 0.0007*$B44 - dis_BMI*($C44-21.75)) - 0.15*0.5)*AV44</f>
        <v>1.407545786286897E-3</v>
      </c>
      <c r="CA44">
        <f>0.962*(0.955*(0.9442 - 0.0007*$B44 - dis_BMI*($C44-21.75)))*AW44</f>
        <v>6.3089858965131515E-3</v>
      </c>
      <c r="CB44">
        <f>0.962*(0.955*0.943*(0.9442 - 0.0007*$B44 - dis_BMI*($C44-21.75)) - 0.19*0.5)*AX44</f>
        <v>1.3515637457078034E-4</v>
      </c>
      <c r="CC44">
        <f>0.962*(0.955*0.943*(0.9442 - 0.0007*$B44 - dis_BMI*($C44-21.75)) - 0.15*0.5)*AY44</f>
        <v>1.1500562423457332E-4</v>
      </c>
      <c r="CD44">
        <f>0.962*(0.955*0.943*(0.9442 - 0.0007*$B44 - dis_BMI*($C44-21.75)))*AZ44</f>
        <v>1.5945968915907836E-4</v>
      </c>
      <c r="CE44">
        <f>0.962*(0.93*(0.9442 - 0.0007*$B44 - dis_BMI*($C44-21.75)))*BA44</f>
        <v>1.3316829842585534E-3</v>
      </c>
      <c r="CF44">
        <f>0.962*(0.93*(0.9442 - 0.0007*$B44 - dis_BMI*($C44-21.75)))*BB44</f>
        <v>1.6539382898017495E-2</v>
      </c>
      <c r="CG44">
        <f>0.962*(0.93*0.943*(0.9442 - 0.0007*$B44 - dis_BMI*($C44-21.75)))*BC44</f>
        <v>9.4994628799388716E-5</v>
      </c>
      <c r="CH44">
        <f>0.962*(0.93*0.943*(0.9442 - 0.0007*$B44 - dis_BMI*($C44-21.75))-0.19*0.5)*BD44</f>
        <v>2.7040656802449696E-4</v>
      </c>
      <c r="CI44">
        <f>0.962*(0.93*0.943*(0.9442 - 0.0007*$B44 - dis_BMI*($C44-21.75)))*BE44</f>
        <v>3.5885204368787081E-4</v>
      </c>
      <c r="CJ44">
        <f t="shared" si="17"/>
        <v>0</v>
      </c>
      <c r="CK44">
        <f t="shared" si="18"/>
        <v>0.1978308659470718</v>
      </c>
      <c r="CL44">
        <f>CK44/(1+r_)^A44</f>
        <v>5.8880005118719242E-2</v>
      </c>
      <c r="CM44">
        <f t="shared" si="19"/>
        <v>0</v>
      </c>
      <c r="CN44">
        <f>AE44*c_Other</f>
        <v>86.858740209909826</v>
      </c>
      <c r="CO44">
        <f>AF44*(c_Stroke1+c_Stroke2)</f>
        <v>9.1355770429591381</v>
      </c>
      <c r="CP44">
        <f>AG44*c_Stroke2</f>
        <v>7.2221793819014559</v>
      </c>
      <c r="CQ44">
        <f>AH44*(c_MI1+c_MI2)</f>
        <v>5.1504243440590418</v>
      </c>
      <c r="CR44">
        <f>AI44*c_MI2</f>
        <v>2.2510093610900985</v>
      </c>
      <c r="CS44">
        <f>AJ44*(c_Stroke1+c_Stroke2+c_MI2)</f>
        <v>0.31509566610420348</v>
      </c>
      <c r="CT44">
        <f>AK44*(c_Stroke2+c_MI1+c_MI2)</f>
        <v>0.3610356701934011</v>
      </c>
      <c r="CU44">
        <f>AL44*(c_Stroke2+c_MI2)</f>
        <v>0.14872630387458707</v>
      </c>
      <c r="CV44">
        <f>AM44*(c_HF1)</f>
        <v>4.1449243776221154</v>
      </c>
      <c r="CW44">
        <f>AN44*(c_HF2)</f>
        <v>30.784626180538034</v>
      </c>
      <c r="CX44">
        <f>AO44*(c_Stroke2+c_HF1)</f>
        <v>0.26123096269741441</v>
      </c>
      <c r="CY44">
        <f>AP44*(c_Stroke1+c_Stroke2+c_HF2)</f>
        <v>0.96875265209733641</v>
      </c>
      <c r="CZ44">
        <f>AQ44*(c_Stroke2+c_HF2)</f>
        <v>0.80448218636750979</v>
      </c>
      <c r="DA44">
        <f>AR44*c_DM</f>
        <v>1290.5059470246904</v>
      </c>
      <c r="DB44">
        <f>AS44*(c_Other+c_DM)</f>
        <v>1515.7188262566181</v>
      </c>
      <c r="DC44">
        <f>AT44*(c_Stroke1+c_Stroke2+c_DM)</f>
        <v>150.33806891183079</v>
      </c>
      <c r="DD44">
        <f>AU44*(c_Stroke2+c_DM)</f>
        <v>201.78111273893953</v>
      </c>
      <c r="DE44">
        <f>AV44*(c_MI1+c_MI2+c_DM)</f>
        <v>82.685114485332662</v>
      </c>
      <c r="DF44">
        <f>AW44*(c_MI2+c_DM)</f>
        <v>120.26271049395747</v>
      </c>
      <c r="DG44">
        <f>AX44*(c_Stroke1+c_Stroke2+c_MI2+c_DM)</f>
        <v>8.2552995919885728</v>
      </c>
      <c r="DH44">
        <f>AY44*(c_Stroke2+c_MI1+c_MI2+c_DM)</f>
        <v>8.3647560309850046</v>
      </c>
      <c r="DI44">
        <f>AZ44*(c_Stroke2+c_MI2+c_DM)</f>
        <v>4.6641609399579558</v>
      </c>
      <c r="DJ44">
        <f>BA44*(c_HF1+c_DM)</f>
        <v>68.932079494051067</v>
      </c>
      <c r="DK44">
        <f>BB44*(c_HF2+c_DM)</f>
        <v>601.77350300886621</v>
      </c>
      <c r="DL44">
        <f>BC44*(c_Stroke2+c_HF1+c_DM)</f>
        <v>6.0958331768014453</v>
      </c>
      <c r="DM44">
        <f>BD44*(c_Stroke1+c_Stroke2+c_HF2+c_DM)</f>
        <v>22.570287107093655</v>
      </c>
      <c r="DN44">
        <f>BE44*(c_Stroke2+c_HF2+c_DM)</f>
        <v>17.175326377008087</v>
      </c>
      <c r="DO44">
        <f t="shared" si="20"/>
        <v>0</v>
      </c>
      <c r="DP44">
        <f t="shared" si="21"/>
        <v>4247.529829977535</v>
      </c>
      <c r="DQ44">
        <f>DP44/(1+r_)^A44</f>
        <v>1264.1838114275904</v>
      </c>
    </row>
    <row r="45" spans="1:121" x14ac:dyDescent="0.3">
      <c r="A45">
        <v>42</v>
      </c>
      <c r="B45">
        <v>87</v>
      </c>
      <c r="C45">
        <f t="shared" si="0"/>
        <v>38</v>
      </c>
      <c r="D45">
        <f t="shared" si="1"/>
        <v>125</v>
      </c>
      <c r="E45">
        <f t="shared" si="2"/>
        <v>5.7</v>
      </c>
      <c r="F45">
        <v>9.1389999999999999E-2</v>
      </c>
      <c r="G45">
        <v>0.11588</v>
      </c>
      <c r="H45">
        <f t="shared" ref="H45:H67" si="52">(PREV_FEMALE*F45 + (1-PREV_FEMALE)*G45)</f>
        <v>9.6287999999999985E-2</v>
      </c>
      <c r="I45">
        <f t="shared" ref="I45:I67" si="53">0.00000146 * EXP(1.87 * E45) * 0.0197 * EXP(0.101*C45)</f>
        <v>5.6857293942168513E-2</v>
      </c>
      <c r="J45">
        <f t="shared" si="23"/>
        <v>0.39967389578821111</v>
      </c>
      <c r="K45">
        <f t="shared" si="24"/>
        <v>0.5106346427384989</v>
      </c>
      <c r="L45">
        <f t="shared" si="25"/>
        <v>0.21460384657188858</v>
      </c>
      <c r="M45">
        <f t="shared" si="26"/>
        <v>0.28702758739502121</v>
      </c>
      <c r="N45">
        <f t="shared" si="27"/>
        <v>0.7689886893445651</v>
      </c>
      <c r="O45">
        <f t="shared" si="28"/>
        <v>0.87386929487717446</v>
      </c>
      <c r="P45">
        <f t="shared" si="29"/>
        <v>0.51361798804971626</v>
      </c>
      <c r="Q45">
        <f t="shared" si="30"/>
        <v>0.63883747381421152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3.2909457718708138E-2</v>
      </c>
      <c r="U45">
        <f t="shared" si="31"/>
        <v>0.67061616163260784</v>
      </c>
      <c r="V45">
        <f t="shared" si="32"/>
        <v>0.78887181929035055</v>
      </c>
      <c r="W45">
        <f t="shared" si="33"/>
        <v>0.40887296862960842</v>
      </c>
      <c r="X45">
        <f t="shared" si="34"/>
        <v>0.52110428187036661</v>
      </c>
      <c r="Y45">
        <f t="shared" si="35"/>
        <v>0.91737247519064435</v>
      </c>
      <c r="Z45">
        <f t="shared" si="36"/>
        <v>0.97049407335985327</v>
      </c>
      <c r="AA45">
        <f t="shared" si="37"/>
        <v>0.70667815895053554</v>
      </c>
      <c r="AB45">
        <f t="shared" si="38"/>
        <v>0.82324832378754653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5.3139507602917399E-2</v>
      </c>
      <c r="AD45">
        <f t="shared" ref="AD45:AD67" si="54">AD44*(1-T44-H44)*(1-I44)</f>
        <v>1.603076027626801E-2</v>
      </c>
      <c r="AE45">
        <f t="shared" ref="AE45:AE67" si="55">AD44*T44*p_Other*(1-I44) + AE44*(1-T44*(1-p_Other)-H44*rr_Other)*(1-I44)</f>
        <v>5.0355535802231064E-3</v>
      </c>
      <c r="AF45">
        <f t="shared" ref="AF45:AF67" si="56">AD44*T44*p_Stroke*p_Stroke_rec*(1-I44)+AE44*T44*p_Stroke*p_Stroke_rec*(1-I44) + AF44*p_recur_Stroke*p_Stroke_rec*(1-I44) + AG44*p_recur_Stroke*p_Stroke_rec*(1-I44)</f>
        <v>3.18231330401996E-4</v>
      </c>
      <c r="AG45">
        <f t="shared" ref="AG45:AG67" si="57">AF44*(1-p_recur_Stroke-T44*p_MI-H44*rr_Stroke)*(1-I44) + AG44*(1-p_recur_Stroke-T44*p_MI-H44*rr_Stroke)*(1-I44)</f>
        <v>8.5012757893459709E-4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1.5118062628017128E-4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5.953529714588468E-4</v>
      </c>
      <c r="AJ45">
        <f t="shared" ref="AJ45:AJ67" si="58">AH44*T44*p_Stroke*p_Stroke_rec*(1-I44) + AI44*T44*p_Stroke*p_Stroke_rec*(1-I44) + AJ44*p_recur_Stroke*p_Stroke_rec*(1-I44) + AK44*p_recur_Stroke*p_Stroke_rec*(1-I44) + AL44*p_recur_Stroke*p_Stroke_rec*(1-I44)</f>
        <v>9.6455828334105081E-6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8.1952178995562784E-6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1.0533241618383279E-5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1.2996143438958577E-4</v>
      </c>
      <c r="AN45">
        <f t="shared" ref="AN45:AN67" si="59">AM44*(1-T44*p_Stroke - H44*rr_HF)*(1-I44) + AN44*(1-T44*p_Stroke-H44*rr_HF)*(1-I44)</f>
        <v>1.6757150966095786E-3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6.182254514233173E-6</v>
      </c>
      <c r="AP45">
        <f>AM44*T44*p_Stroke*p_Stroke_rec*(1-I44) + AN44*T44*p_Stroke*p_Stroke_rec*(1-I44) + AO44*(p_recur_Stroke*p_Stroke_rec)*(1-I44) + AP44*(p_recur_Stroke*p_Stroke_rec)*(1-I44) + AQ44*(p_recur_Stroke*p_Stroke_rec)*(1-I44)</f>
        <v>2.0790166616651783E-5</v>
      </c>
      <c r="AQ45">
        <f>AO44*(1-p_recur_Stroke-H44*rr_Stroke*rr_HF)*(1-I44) + AP44*(1-p_recur_Stroke-H44*rr_Stroke*rr_HF)*(1-I44) + AQ44*(1-p_recur_Stroke-H44*rr_Stroke*rr_HF)*(1-I44)</f>
        <v>2.5214628120120938E-5</v>
      </c>
      <c r="AR45">
        <f>AR44*(1-AC44-H44*rr_DM) + AD44*(1-T44-H44)*I44</f>
        <v>9.6831476297332839E-2</v>
      </c>
      <c r="AS45">
        <f>AR44*AC44*p_Other + AD44*T44*p_Other*I44 + AE44*(1-T44*p_Stroke-T44*p_MI-H44*rr_Other)*I44 + AS44*(1-AC44*p_Stroke-AC44*p_MI-H44*rr_Other*rr_DM)</f>
        <v>5.0017747374990144E-2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3.6296332563965474E-3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8.7156472255825457E-3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1.7928665426772661E-3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7.0167443366935004E-3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1.8214866045916504E-4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1.4627629035148762E-4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1.4538055143477395E-4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1.5656583898520434E-3</v>
      </c>
      <c r="BB45">
        <f>AM44*(1-T44*p_Stroke - H44*rr_HF)*I44 + AN44*(1-T44*p_Stroke - H44*rr_HF)*I44 + BA44*(1-AC44*p_Stroke - H44*rr_HF*rr_DM) + BB44*(1-AC44*p_Stroke - H44*rr_HF*rr_DM)</f>
        <v>1.9527003495193634E-2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1.0946049467539296E-4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3.8717162258062297E-4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3.455669352109349E-4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0.78471977454040021</v>
      </c>
      <c r="BG45">
        <f t="shared" ref="BG45:BG67" si="60">SUM(AD45:BF45)</f>
        <v>0.99999999999999933</v>
      </c>
      <c r="BH45">
        <f>(0.9442 - 0.0007*$B45 - dis_BMI*($C45-21.75))*AD45</f>
        <v>1.3300321032212662E-2</v>
      </c>
      <c r="BI45">
        <f>0.959*(0.9442 - 0.0007*$B45 - dis_BMI*($C45-21.75))*AE45</f>
        <v>4.0065801270880701E-3</v>
      </c>
      <c r="BJ45">
        <f>(0.943*(0.9442 - 0.0007*$B45 - dis_BMI*($C45-21.75)) - 0.19*0.5)*AF45</f>
        <v>2.1874697365716368E-4</v>
      </c>
      <c r="BK45">
        <f>(0.943*(0.9442 - 0.0007*$B45 - dis_BMI*($C45-21.75)))*AG45</f>
        <v>6.6512581190656577E-4</v>
      </c>
      <c r="BL45">
        <f>(0.955*(0.9442 - 0.0007*$B45 - dis_BMI*($C45-21.75)) - 0.15*0.5)*AH45</f>
        <v>1.0844785376308322E-4</v>
      </c>
      <c r="BM45">
        <f>(0.955*(0.9442 - 0.0007*$B45 - dis_BMI*($C45-21.75)))*AI45</f>
        <v>4.7172175014833839E-4</v>
      </c>
      <c r="BN45">
        <f>(0.955*0.943*(0.9442 - 0.0007*$B45 - dis_BMI*($C45-21.75)) - 0.19*0.5)*AJ45</f>
        <v>6.2906201993044589E-6</v>
      </c>
      <c r="BO45">
        <f>(0.955*0.943*(0.9442 - 0.0007*$B45 - dis_BMI*($C45-21.75)) - 0.15*0.5)*AK45</f>
        <v>5.5086309698533095E-6</v>
      </c>
      <c r="BP45">
        <f>(0.955*0.943*(0.9442 - 0.0007*$B45 - dis_BMI*($C45-21.75)))*AL45</f>
        <v>7.870188145249381E-6</v>
      </c>
      <c r="BQ45">
        <f>(0.93*(0.9442 - 0.0007*$B45 - dis_BMI*($C45-21.75)))*AM45</f>
        <v>1.0027795036177702E-4</v>
      </c>
      <c r="BR45">
        <f>(0.93*(0.9442 - 0.0007*$B45 - dis_BMI*($C45-21.75)))*AN45</f>
        <v>1.2929779981849835E-3</v>
      </c>
      <c r="BS45">
        <f>(0.93*0.943*(0.9442 - 0.0007*$B45 - dis_BMI*($C45-21.75)))*AO45</f>
        <v>4.498311493742409E-6</v>
      </c>
      <c r="BT45">
        <f>(0.93*0.943*(0.9442 - 0.0007*$B45 - dis_BMI*($C45-21.75))-0.19*0.5)*AP45</f>
        <v>1.3152206145290295E-5</v>
      </c>
      <c r="BU45">
        <f>(0.93*0.943*(0.9442 - 0.0007*$B45 - dis_BMI*($C45-21.75)))*AQ45</f>
        <v>1.8346583956071443E-5</v>
      </c>
      <c r="BV45">
        <f>0.962*(0.9442 - 0.0007*$B45 - dis_BMI*($C45-21.75))*AR45</f>
        <v>7.7285786203304022E-2</v>
      </c>
      <c r="BW45">
        <f>0.962*0.959*(0.9442 - 0.0007*$B45 - dis_BMI*($C45-21.75))*AS45</f>
        <v>3.8284749686984809E-2</v>
      </c>
      <c r="BX45">
        <f>0.962*(0.943*(0.9442 - 0.0007*$B45 - dis_BMI*($C45-21.75)) - 0.19*0.5)*AT45</f>
        <v>2.4001419983540021E-3</v>
      </c>
      <c r="BY45">
        <f>0.962*(0.943*(0.9442 - 0.0007*$B45 - dis_BMI*($C45-21.75)))*AU45</f>
        <v>6.559857604645448E-3</v>
      </c>
      <c r="BZ45">
        <f>0.962*(0.955*(0.9442 - 0.0007*$B45 - dis_BMI*($C45-21.75)) - 0.15*0.5)*AV45</f>
        <v>1.2372226332899887E-3</v>
      </c>
      <c r="CA45">
        <f>0.962*(0.955*(0.9442 - 0.0007*$B45 - dis_BMI*($C45-21.75)))*AW45</f>
        <v>5.3483780825512505E-3</v>
      </c>
      <c r="CB45">
        <f>0.962*(0.955*0.943*(0.9442 - 0.0007*$B45 - dis_BMI*($C45-21.75)) - 0.19*0.5)*AX45</f>
        <v>1.1427889803793416E-4</v>
      </c>
      <c r="CC45">
        <f>0.962*(0.955*0.943*(0.9442 - 0.0007*$B45 - dis_BMI*($C45-21.75)) - 0.15*0.5)*AY45</f>
        <v>9.4587159580757741E-5</v>
      </c>
      <c r="CD45">
        <f>0.962*(0.955*0.943*(0.9442 - 0.0007*$B45 - dis_BMI*($C45-21.75)))*AZ45</f>
        <v>1.0449715151483928E-4</v>
      </c>
      <c r="CE45">
        <f>0.962*(0.93*(0.9442 - 0.0007*$B45 - dis_BMI*($C45-21.75)))*BA45</f>
        <v>1.1621522682250781E-3</v>
      </c>
      <c r="CF45">
        <f>0.962*(0.93*(0.9442 - 0.0007*$B45 - dis_BMI*($C45-21.75)))*BB45</f>
        <v>1.4494446266610469E-2</v>
      </c>
      <c r="CG45">
        <f>0.962*(0.93*0.943*(0.9442 - 0.0007*$B45 - dis_BMI*($C45-21.75)))*BC45</f>
        <v>7.6618760836969413E-5</v>
      </c>
      <c r="CH45">
        <f>0.962*(0.93*0.943*(0.9442 - 0.0007*$B45 - dis_BMI*($C45-21.75))-0.19*0.5)*BD45</f>
        <v>2.35623839209611E-4</v>
      </c>
      <c r="CI45">
        <f>0.962*(0.93*0.943*(0.9442 - 0.0007*$B45 - dis_BMI*($C45-21.75)))*BE45</f>
        <v>2.4188553542178732E-4</v>
      </c>
      <c r="CJ45">
        <f t="shared" ref="CJ45:CJ67" si="61">0*BF45</f>
        <v>0</v>
      </c>
      <c r="CK45">
        <f t="shared" ref="CK45:CK67" si="62">SUM(BH45:CJ45)</f>
        <v>0.16786009212679914</v>
      </c>
      <c r="CL45">
        <f>CK45/(1+r_)^A45</f>
        <v>4.8504721966624288E-2</v>
      </c>
      <c r="CM45">
        <f t="shared" ref="CM45:CM67" si="63">AD45*0</f>
        <v>0</v>
      </c>
      <c r="CN45">
        <f>AE45*c_Other</f>
        <v>71.902669572005735</v>
      </c>
      <c r="CO45">
        <f>AF45*(c_Stroke1+c_Stroke2)</f>
        <v>7.5789973648539366</v>
      </c>
      <c r="CP45">
        <f>AG45*c_Stroke2</f>
        <v>5.5258292630748809</v>
      </c>
      <c r="CQ45">
        <f>AH45*(c_MI1+c_MI2)</f>
        <v>4.407066436693273</v>
      </c>
      <c r="CR45">
        <f>AI45*c_MI2</f>
        <v>1.8557152120372256</v>
      </c>
      <c r="CS45">
        <f>AJ45*(c_Stroke1+c_Stroke2+c_MI2)</f>
        <v>0.25978448245224522</v>
      </c>
      <c r="CT45">
        <f>AK45*(c_Stroke2+c_MI1+c_MI2)</f>
        <v>0.29216771333708086</v>
      </c>
      <c r="CU45">
        <f>AL45*(c_Stroke2+c_MI2)</f>
        <v>0.101298184643992</v>
      </c>
      <c r="CV45">
        <f>AM45*(c_HF1)</f>
        <v>3.5128575715505033</v>
      </c>
      <c r="CW45">
        <f>AN45*(c_HF2)</f>
        <v>26.149534082592474</v>
      </c>
      <c r="CX45">
        <f>AO45*(c_Stroke2+c_HF1)</f>
        <v>0.20729099386223829</v>
      </c>
      <c r="CY45">
        <f>AP45*(c_Stroke1+c_Stroke2+c_HF2)</f>
        <v>0.81956915819502996</v>
      </c>
      <c r="CZ45">
        <f>AQ45*(c_Stroke2+c_HF2)</f>
        <v>0.55736935459527337</v>
      </c>
      <c r="DA45">
        <f>AR45*c_DM</f>
        <v>1106.2996166970277</v>
      </c>
      <c r="DB45">
        <f>AS45*(c_Other+c_DM)</f>
        <v>1285.6561785267468</v>
      </c>
      <c r="DC45">
        <f>AT45*(c_Stroke1+c_Stroke2+c_DM)</f>
        <v>127.91190558867072</v>
      </c>
      <c r="DD45">
        <f>AU45*(c_Stroke2+c_DM)</f>
        <v>156.22797651856712</v>
      </c>
      <c r="DE45">
        <f>AV45*(c_MI1+c_MI2+c_DM)</f>
        <v>72.747352835672757</v>
      </c>
      <c r="DF45">
        <f>AW45*(c_MI2+c_DM)</f>
        <v>102.03749614419688</v>
      </c>
      <c r="DG45">
        <f>AX45*(c_Stroke1+c_Stroke2+c_MI2+c_DM)</f>
        <v>6.9868583178926524</v>
      </c>
      <c r="DH45">
        <f>AY45*(c_Stroke2+c_MI1+c_MI2+c_DM)</f>
        <v>6.8861026445866313</v>
      </c>
      <c r="DI45">
        <f>AZ45*(c_Stroke2+c_MI2+c_DM)</f>
        <v>3.0590975632905133</v>
      </c>
      <c r="DJ45">
        <f>BA45*(c_HF1+c_DM)</f>
        <v>60.207393381760326</v>
      </c>
      <c r="DK45">
        <f>BB45*(c_HF2+c_DM)</f>
        <v>527.81490447508395</v>
      </c>
      <c r="DL45">
        <f>BC45*(c_Stroke2+c_HF1+c_DM)</f>
        <v>4.9207965381322909</v>
      </c>
      <c r="DM45">
        <f>BD45*(c_Stroke1+c_Stroke2+c_HF2+c_DM)</f>
        <v>19.686128321734355</v>
      </c>
      <c r="DN45">
        <f>BE45*(c_Stroke2+c_HF2+c_DM)</f>
        <v>11.586859337622647</v>
      </c>
      <c r="DO45">
        <f t="shared" ref="DO45:DO67" si="64">BF45*0</f>
        <v>0</v>
      </c>
      <c r="DP45">
        <f t="shared" ref="DP45:DP67" si="65">SUM(CM45:DO45)</f>
        <v>3615.1988162808793</v>
      </c>
      <c r="DQ45">
        <f>DP45/(1+r_)^A45</f>
        <v>1044.6450446679917</v>
      </c>
    </row>
    <row r="46" spans="1:121" x14ac:dyDescent="0.3">
      <c r="A46">
        <v>43</v>
      </c>
      <c r="B46">
        <v>88</v>
      </c>
      <c r="C46">
        <f t="shared" si="0"/>
        <v>38</v>
      </c>
      <c r="D46">
        <f t="shared" si="1"/>
        <v>125</v>
      </c>
      <c r="E46">
        <f t="shared" si="2"/>
        <v>5.7</v>
      </c>
      <c r="F46">
        <v>0.1036</v>
      </c>
      <c r="G46">
        <v>0.13149</v>
      </c>
      <c r="H46">
        <f t="shared" si="52"/>
        <v>0.109178</v>
      </c>
      <c r="I46">
        <f t="shared" si="53"/>
        <v>5.6857293942168513E-2</v>
      </c>
      <c r="J46">
        <f t="shared" si="23"/>
        <v>0.40927252398338487</v>
      </c>
      <c r="K46">
        <f t="shared" si="24"/>
        <v>0.52155755370892831</v>
      </c>
      <c r="L46">
        <f t="shared" si="25"/>
        <v>0.22057388843207371</v>
      </c>
      <c r="M46">
        <f t="shared" si="26"/>
        <v>0.29460601680295539</v>
      </c>
      <c r="N46">
        <f t="shared" si="27"/>
        <v>0.78092878157392331</v>
      </c>
      <c r="O46">
        <f t="shared" si="28"/>
        <v>0.88298154294934084</v>
      </c>
      <c r="P46">
        <f t="shared" si="29"/>
        <v>0.52615046208631466</v>
      </c>
      <c r="Q46">
        <f t="shared" si="30"/>
        <v>0.65191639730583273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3.3695741302226662E-2</v>
      </c>
      <c r="U46">
        <f t="shared" si="31"/>
        <v>0.68197006248863845</v>
      </c>
      <c r="V46">
        <f t="shared" si="32"/>
        <v>0.79899321176196048</v>
      </c>
      <c r="W46">
        <f t="shared" si="33"/>
        <v>0.41860816562077685</v>
      </c>
      <c r="X46">
        <f t="shared" si="34"/>
        <v>0.5321132336106269</v>
      </c>
      <c r="Y46">
        <f t="shared" si="35"/>
        <v>0.92450726049481002</v>
      </c>
      <c r="Z46">
        <f t="shared" si="36"/>
        <v>0.97402877362760254</v>
      </c>
      <c r="AA46">
        <f t="shared" si="37"/>
        <v>0.71942259722396795</v>
      </c>
      <c r="AB46">
        <f t="shared" si="38"/>
        <v>0.83400134601294784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5.4132144874687989E-2</v>
      </c>
      <c r="AD46">
        <f t="shared" si="54"/>
        <v>1.3165920198799284E-2</v>
      </c>
      <c r="AE46">
        <f t="shared" si="55"/>
        <v>4.0837139287823628E-3</v>
      </c>
      <c r="AF46">
        <f t="shared" si="56"/>
        <v>2.6001036842517841E-4</v>
      </c>
      <c r="AG46">
        <f t="shared" si="57"/>
        <v>6.2961862110859704E-4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1.2780682301510854E-4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4.8314202384872111E-4</v>
      </c>
      <c r="AJ46">
        <f t="shared" si="58"/>
        <v>7.8574034035409213E-6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6.494591135428194E-6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6.6826281649443378E-6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1.088611102985541E-4</v>
      </c>
      <c r="AN46">
        <f t="shared" si="59"/>
        <v>1.3916775928285189E-3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4.8104175522869001E-6</v>
      </c>
      <c r="AP46">
        <f>AM45*T45*p_Stroke*p_Stroke_rec*(1-I45) + AN45*T45*p_Stroke*p_Stroke_rec*(1-I45) + AO45*(p_recur_Stroke*p_Stroke_rec)*(1-I45) + AP45*(p_recur_Stroke*p_Stroke_rec)*(1-I45) + AQ45*(p_recur_Stroke*p_Stroke_rec)*(1-I45)</f>
        <v>1.7293024982740125E-5</v>
      </c>
      <c r="AQ46">
        <f>AO45*(1-p_recur_Stroke-H45*rr_Stroke*rr_HF)*(1-I45) + AP45*(1-p_recur_Stroke-H45*rr_Stroke*rr_HF)*(1-I45) + AQ45*(1-p_recur_Stroke-H45*rr_Stroke*rr_HF)*(1-I45)</f>
        <v>1.6315675307933314E-5</v>
      </c>
      <c r="AR46">
        <f>AR45*(1-AC45-H45*rr_DM) + AD45*(1-T45-H45)*I45</f>
        <v>8.1757340362730635E-2</v>
      </c>
      <c r="AS46">
        <f>AR45*AC45*p_Other + AD45*T45*p_Other*I45 + AE45*(1-T45*p_Stroke-T45*p_MI-H45*rr_Other)*I45 + AS45*(1-AC45*p_Stroke-AC45*p_MI-H45*rr_Other*rr_DM)</f>
        <v>4.1374739958112243E-2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3.0298133072439231E-3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6.4787443020092907E-3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1.5526587035780007E-3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5.8322161195000499E-3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1.5183989259664609E-4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1.1738239973440401E-4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8.487760854348914E-5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1.3463739465312001E-3</v>
      </c>
      <c r="BB46">
        <f>AM45*(1-T45*p_Stroke - H45*rr_HF)*I45 + AN45*(1-T45*p_Stroke - H45*rr_HF)*I45 + BA45*(1-AC45*p_Stroke - H45*rr_HF*rr_DM) + BB45*(1-AC45*p_Stroke - H45*rr_HF*rr_DM)</f>
        <v>1.6667942044496443E-2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8.6282709133729844E-5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3.3119392008212667E-4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2.1086687497233296E-4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0.82066752344308169</v>
      </c>
      <c r="BG46">
        <f t="shared" si="60"/>
        <v>0.99999999999999933</v>
      </c>
      <c r="BH46">
        <f>(0.9442 - 0.0007*$B46 - dis_BMI*($C46-21.75))*AD46</f>
        <v>1.0914218696799637E-2</v>
      </c>
      <c r="BI46">
        <f>0.959*(0.9442 - 0.0007*$B46 - dis_BMI*($C46-21.75))*AE46</f>
        <v>3.2464995871937523E-3</v>
      </c>
      <c r="BJ46">
        <f>(0.943*(0.9442 - 0.0007*$B46 - dis_BMI*($C46-21.75)) - 0.19*0.5)*AF46</f>
        <v>1.785552107404504E-4</v>
      </c>
      <c r="BK46">
        <f>(0.943*(0.9442 - 0.0007*$B46 - dis_BMI*($C46-21.75)))*AG46</f>
        <v>4.9218762493678976E-4</v>
      </c>
      <c r="BL46">
        <f>(0.955*(0.9442 - 0.0007*$B46 - dis_BMI*($C46-21.75)) - 0.15*0.5)*AH46</f>
        <v>9.159545963291374E-5</v>
      </c>
      <c r="BM46">
        <f>(0.955*(0.9442 - 0.0007*$B46 - dis_BMI*($C46-21.75)))*AI46</f>
        <v>3.8248958955509389E-4</v>
      </c>
      <c r="BN46">
        <f>(0.955*0.943*(0.9442 - 0.0007*$B46 - dis_BMI*($C46-21.75)) - 0.19*0.5)*AJ46</f>
        <v>5.1194587433762586E-6</v>
      </c>
      <c r="BO46">
        <f>(0.955*0.943*(0.9442 - 0.0007*$B46 - dis_BMI*($C46-21.75)) - 0.15*0.5)*AK46</f>
        <v>4.3614158600181822E-6</v>
      </c>
      <c r="BP46">
        <f>(0.955*0.943*(0.9442 - 0.0007*$B46 - dis_BMI*($C46-21.75)))*AL46</f>
        <v>4.9888884631321735E-6</v>
      </c>
      <c r="BQ46">
        <f>(0.93*(0.9442 - 0.0007*$B46 - dis_BMI*($C46-21.75)))*AM46</f>
        <v>8.3926119186061813E-5</v>
      </c>
      <c r="BR46">
        <f>(0.93*(0.9442 - 0.0007*$B46 - dis_BMI*($C46-21.75)))*AN46</f>
        <v>1.07290931723897E-3</v>
      </c>
      <c r="BS46">
        <f>(0.93*0.943*(0.9442 - 0.0007*$B46 - dis_BMI*($C46-21.75)))*AO46</f>
        <v>3.4971869587280643E-6</v>
      </c>
      <c r="BT46">
        <f>(0.93*0.943*(0.9442 - 0.0007*$B46 - dis_BMI*($C46-21.75))-0.19*0.5)*AP46</f>
        <v>1.0929239954489594E-5</v>
      </c>
      <c r="BU46">
        <f>(0.93*0.943*(0.9442 - 0.0007*$B46 - dis_BMI*($C46-21.75)))*AQ46</f>
        <v>1.1861541392102172E-5</v>
      </c>
      <c r="BV46">
        <f>0.962*(0.9442 - 0.0007*$B46 - dis_BMI*($C46-21.75))*AR46</f>
        <v>6.5199349160561235E-2</v>
      </c>
      <c r="BW46">
        <f>0.962*0.959*(0.9442 - 0.0007*$B46 - dis_BMI*($C46-21.75))*AS46</f>
        <v>3.1642470935129237E-2</v>
      </c>
      <c r="BX46">
        <f>0.962*(0.943*(0.9442 - 0.0007*$B46 - dis_BMI*($C46-21.75)) - 0.19*0.5)*AT46</f>
        <v>2.0015793081456018E-3</v>
      </c>
      <c r="BY46">
        <f>0.962*(0.943*(0.9442 - 0.0007*$B46 - dis_BMI*($C46-21.75)))*AU46</f>
        <v>4.8721319104182313E-3</v>
      </c>
      <c r="BZ46">
        <f>0.962*(0.955*(0.9442 - 0.0007*$B46 - dis_BMI*($C46-21.75)) - 0.15*0.5)*AV46</f>
        <v>1.0704613247605845E-3</v>
      </c>
      <c r="CA46">
        <f>0.962*(0.955*(0.9442 - 0.0007*$B46 - dis_BMI*($C46-21.75)))*AW46</f>
        <v>4.4417436068981651E-3</v>
      </c>
      <c r="CB46">
        <f>0.962*(0.955*0.943*(0.9442 - 0.0007*$B46 - dis_BMI*($C46-21.75)) - 0.19*0.5)*AX46</f>
        <v>9.5171290163341218E-5</v>
      </c>
      <c r="CC46">
        <f>0.962*(0.955*0.943*(0.9442 - 0.0007*$B46 - dis_BMI*($C46-21.75)) - 0.15*0.5)*AY46</f>
        <v>7.583221455254629E-5</v>
      </c>
      <c r="CD46">
        <f>0.962*(0.955*0.943*(0.9442 - 0.0007*$B46 - dis_BMI*($C46-21.75)))*AZ46</f>
        <v>6.0957157116746757E-5</v>
      </c>
      <c r="CE46">
        <f>0.962*(0.93*(0.9442 - 0.0007*$B46 - dis_BMI*($C46-21.75)))*BA46</f>
        <v>9.985392788651121E-4</v>
      </c>
      <c r="CF46">
        <f>0.962*(0.93*(0.9442 - 0.0007*$B46 - dis_BMI*($C46-21.75)))*BB46</f>
        <v>1.2361792109953957E-2</v>
      </c>
      <c r="CG46">
        <f>0.962*(0.93*0.943*(0.9442 - 0.0007*$B46 - dis_BMI*($C46-21.75)))*BC46</f>
        <v>6.0344114604490005E-5</v>
      </c>
      <c r="CH46">
        <f>0.962*(0.93*0.943*(0.9442 - 0.0007*$B46 - dis_BMI*($C46-21.75))-0.19*0.5)*BD46</f>
        <v>2.0136149171167875E-4</v>
      </c>
      <c r="CI46">
        <f>0.962*(0.93*0.943*(0.9442 - 0.0007*$B46 - dis_BMI*($C46-21.75)))*BE46</f>
        <v>1.474753748158193E-4</v>
      </c>
      <c r="CJ46">
        <f t="shared" si="61"/>
        <v>0</v>
      </c>
      <c r="CK46">
        <f t="shared" si="62"/>
        <v>0.13973234861435224</v>
      </c>
      <c r="CL46">
        <f>CK46/(1+r_)^A46</f>
        <v>3.9200923327711357E-2</v>
      </c>
      <c r="CM46">
        <f t="shared" si="63"/>
        <v>0</v>
      </c>
      <c r="CN46">
        <f>AE46*c_Other</f>
        <v>58.311351189083361</v>
      </c>
      <c r="CO46">
        <f>AF46*(c_Stroke1+c_Stroke2)</f>
        <v>6.1924069344140493</v>
      </c>
      <c r="CP46">
        <f>AG46*c_Stroke2</f>
        <v>4.0925210372058807</v>
      </c>
      <c r="CQ46">
        <f>AH46*(c_MI1+c_MI2)</f>
        <v>3.7256966977134289</v>
      </c>
      <c r="CR46">
        <f>AI46*c_MI2</f>
        <v>1.5059536883364637</v>
      </c>
      <c r="CS46">
        <f>AJ46*(c_Stroke1+c_Stroke2+c_MI2)</f>
        <v>0.21162344586756762</v>
      </c>
      <c r="CT46">
        <f>AK46*(c_Stroke2+c_MI1+c_MI2)</f>
        <v>0.23153866856915054</v>
      </c>
      <c r="CU46">
        <f>AL46*(c_Stroke2+c_MI2)</f>
        <v>6.4266835062269698E-2</v>
      </c>
      <c r="CV46">
        <f>AM46*(c_HF1)</f>
        <v>2.9425158113699172</v>
      </c>
      <c r="CW46">
        <f>AN46*(c_HF2)</f>
        <v>21.717128836089039</v>
      </c>
      <c r="CX46">
        <f>AO46*(c_Stroke2+c_HF1)</f>
        <v>0.16129330052817975</v>
      </c>
      <c r="CY46">
        <f>AP46*(c_Stroke1+c_Stroke2+c_HF2)</f>
        <v>0.6817083378445985</v>
      </c>
      <c r="CZ46">
        <f>AQ46*(c_Stroke2+c_HF2)</f>
        <v>0.36065800268186593</v>
      </c>
      <c r="DA46">
        <f>AR46*c_DM</f>
        <v>934.07761364419753</v>
      </c>
      <c r="DB46">
        <f>AS46*(c_Other+c_DM)</f>
        <v>1063.496315883317</v>
      </c>
      <c r="DC46">
        <f>AT46*(c_Stroke1+c_Stroke2+c_DM)</f>
        <v>106.7736507605831</v>
      </c>
      <c r="DD46">
        <f>AU46*(c_Stroke2+c_DM)</f>
        <v>116.13149161351653</v>
      </c>
      <c r="DE46">
        <f>AV46*(c_MI1+c_MI2+c_DM)</f>
        <v>63.000679556380959</v>
      </c>
      <c r="DF46">
        <f>AW46*(c_MI2+c_DM)</f>
        <v>84.812086809769724</v>
      </c>
      <c r="DG46">
        <f>AX46*(c_Stroke1+c_Stroke2+c_MI2+c_DM)</f>
        <v>5.8242746002221502</v>
      </c>
      <c r="DH46">
        <f>AY46*(c_Stroke2+c_MI1+c_MI2+c_DM)</f>
        <v>5.5258938498968027</v>
      </c>
      <c r="DI46">
        <f>AZ46*(c_Stroke2+c_MI2+c_DM)</f>
        <v>1.7859946389720984</v>
      </c>
      <c r="DJ46">
        <f>BA46*(c_HF1+c_DM)</f>
        <v>51.774810113857299</v>
      </c>
      <c r="DK46">
        <f>BB46*(c_HF2+c_DM)</f>
        <v>450.53447346273884</v>
      </c>
      <c r="DL46">
        <f>BC46*(c_Stroke2+c_HF1+c_DM)</f>
        <v>3.878839189106825</v>
      </c>
      <c r="DM46">
        <f>BD46*(c_Stroke1+c_Stroke2+c_HF2+c_DM)</f>
        <v>16.839886060495811</v>
      </c>
      <c r="DN46">
        <f>BE46*(c_Stroke2+c_HF2+c_DM)</f>
        <v>7.0703663178223239</v>
      </c>
      <c r="DO46">
        <f t="shared" si="64"/>
        <v>0</v>
      </c>
      <c r="DP46">
        <f t="shared" si="65"/>
        <v>3011.7250392856427</v>
      </c>
      <c r="DQ46">
        <f>DP46/(1+r_)^A46</f>
        <v>844.91818480075619</v>
      </c>
    </row>
    <row r="47" spans="1:121" x14ac:dyDescent="0.3">
      <c r="A47">
        <v>44</v>
      </c>
      <c r="B47">
        <v>89</v>
      </c>
      <c r="C47">
        <f t="shared" si="0"/>
        <v>38</v>
      </c>
      <c r="D47">
        <f t="shared" si="1"/>
        <v>125</v>
      </c>
      <c r="E47">
        <f t="shared" si="2"/>
        <v>5.7</v>
      </c>
      <c r="F47">
        <v>0.11525000000000001</v>
      </c>
      <c r="G47">
        <v>0.14443</v>
      </c>
      <c r="H47">
        <f t="shared" si="52"/>
        <v>0.121086</v>
      </c>
      <c r="I47">
        <f t="shared" si="53"/>
        <v>5.6857293942168513E-2</v>
      </c>
      <c r="J47">
        <f t="shared" si="23"/>
        <v>0.41890269418859061</v>
      </c>
      <c r="K47">
        <f t="shared" si="24"/>
        <v>0.53244515530542302</v>
      </c>
      <c r="L47">
        <f t="shared" si="25"/>
        <v>0.22661510861031653</v>
      </c>
      <c r="M47">
        <f t="shared" si="26"/>
        <v>0.30225117147610214</v>
      </c>
      <c r="N47">
        <f t="shared" si="27"/>
        <v>0.79251949594510207</v>
      </c>
      <c r="O47">
        <f t="shared" si="28"/>
        <v>0.8916331415090557</v>
      </c>
      <c r="P47">
        <f t="shared" si="29"/>
        <v>0.53865278209204526</v>
      </c>
      <c r="Q47">
        <f t="shared" si="30"/>
        <v>0.66482227175660391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3.4483668690207109E-2</v>
      </c>
      <c r="U47">
        <f t="shared" si="31"/>
        <v>0.69314525601631471</v>
      </c>
      <c r="V47">
        <f t="shared" si="32"/>
        <v>0.80881497873297004</v>
      </c>
      <c r="W47">
        <f t="shared" si="33"/>
        <v>0.42837054368484928</v>
      </c>
      <c r="X47">
        <f t="shared" si="34"/>
        <v>0.54307903094396415</v>
      </c>
      <c r="Y47">
        <f t="shared" si="35"/>
        <v>0.93117717158458235</v>
      </c>
      <c r="Z47">
        <f t="shared" si="36"/>
        <v>0.97721080828251938</v>
      </c>
      <c r="AA47">
        <f t="shared" si="37"/>
        <v>0.73190287697580847</v>
      </c>
      <c r="AB47">
        <f t="shared" si="38"/>
        <v>0.8443378063600383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5.5115175815188829E-2</v>
      </c>
      <c r="AD47">
        <f t="shared" si="54"/>
        <v>1.0643229552040457E-2</v>
      </c>
      <c r="AE47">
        <f t="shared" si="55"/>
        <v>3.2242969372501479E-3</v>
      </c>
      <c r="AF47">
        <f t="shared" si="56"/>
        <v>2.086281247703659E-4</v>
      </c>
      <c r="AG47">
        <f t="shared" si="57"/>
        <v>4.4541636916596794E-4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1.0647123482839123E-4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3.8355475733332348E-4</v>
      </c>
      <c r="AJ47">
        <f t="shared" si="58"/>
        <v>6.29858912924474E-6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5.0138493998568445E-6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3.6894161178380261E-6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8.9861205794311712E-5</v>
      </c>
      <c r="AN47">
        <f t="shared" si="59"/>
        <v>1.1230438903604852E-3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3.6479995002570012E-6</v>
      </c>
      <c r="AP47">
        <f>AM46*T46*p_Stroke*p_Stroke_rec*(1-I46) + AN46*T46*p_Stroke*p_Stroke_rec*(1-I46) + AO46*(p_recur_Stroke*p_Stroke_rec)*(1-I46) + AP46*(p_recur_Stroke*p_Stroke_rec)*(1-I46) + AQ46*(p_recur_Stroke*p_Stroke_rec)*(1-I46)</f>
        <v>1.4090872567478975E-5</v>
      </c>
      <c r="AQ47">
        <f>AO46*(1-p_recur_Stroke-H46*rr_Stroke*rr_HF)*(1-I46) + AP46*(1-p_recur_Stroke-H46*rr_Stroke*rr_HF)*(1-I46) + AQ46*(1-p_recur_Stroke-H46*rr_Stroke*rr_HF)*(1-I46)</f>
        <v>9.3506064508750903E-6</v>
      </c>
      <c r="AR47">
        <f>AR46*(1-AC46-H46*rr_DM) + AD46*(1-T46-H46)*I46</f>
        <v>6.7708248197875409E-2</v>
      </c>
      <c r="AS47">
        <f>AR46*AC46*p_Other + AD46*T46*p_Other*I46 + AE46*(1-T46*p_Stroke-T46*p_MI-H46*rr_Other)*I46 + AS46*(1-AC46*p_Stroke-AC46*p_MI-H46*rr_Other*rr_DM)</f>
        <v>3.312527822841943E-2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2.4727212963991845E-3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4.544412468781742E-3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1.3192910393701449E-3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4.7130585152879894E-3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1.2406136755516582E-4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9.1241197474860685E-5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3.7396456435718756E-5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1.1358542115513573E-3</v>
      </c>
      <c r="BB47">
        <f>AM46*(1-T46*p_Stroke - H46*rr_HF)*I46 + AN46*(1-T46*p_Stroke - H46*rr_HF)*I46 + BA46*(1-AC46*p_Stroke - H46*rr_HF*rr_DM) + BB46*(1-AC46*p_Stroke - H46*rr_HF*rr_DM)</f>
        <v>1.3741289983414989E-2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6.5927720303847893E-5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2.765610840978046E-4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1.0409277845043457E-4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0.85427397204987232</v>
      </c>
      <c r="BG47">
        <f t="shared" si="60"/>
        <v>0.99999999999999933</v>
      </c>
      <c r="BH47">
        <f>(0.9442 - 0.0007*$B47 - dis_BMI*($C47-21.75))*AD47</f>
        <v>8.81552095721631E-3</v>
      </c>
      <c r="BI47">
        <f>0.959*(0.9442 - 0.0007*$B47 - dis_BMI*($C47-21.75))*AE47</f>
        <v>2.5611097593271305E-3</v>
      </c>
      <c r="BJ47">
        <f>(0.943*(0.9442 - 0.0007*$B47 - dis_BMI*($C47-21.75)) - 0.19*0.5)*AF47</f>
        <v>1.4313210496847209E-4</v>
      </c>
      <c r="BK47">
        <f>(0.943*(0.9442 - 0.0007*$B47 - dis_BMI*($C47-21.75)))*AG47</f>
        <v>3.4789839031019841E-4</v>
      </c>
      <c r="BL47">
        <f>(0.955*(0.9442 - 0.0007*$B47 - dis_BMI*($C47-21.75)) - 0.15*0.5)*AH47</f>
        <v>7.6233683624119553E-5</v>
      </c>
      <c r="BM47">
        <f>(0.955*(0.9442 - 0.0007*$B47 - dis_BMI*($C47-21.75)))*AI47</f>
        <v>3.0339281988189684E-4</v>
      </c>
      <c r="BN47">
        <f>(0.955*0.943*(0.9442 - 0.0007*$B47 - dis_BMI*($C47-21.75)) - 0.19*0.5)*AJ47</f>
        <v>4.0998491372541471E-6</v>
      </c>
      <c r="BO47">
        <f>(0.955*0.943*(0.9442 - 0.0007*$B47 - dis_BMI*($C47-21.75)) - 0.15*0.5)*AK47</f>
        <v>3.3638691535636131E-6</v>
      </c>
      <c r="BP47">
        <f>(0.955*0.943*(0.9442 - 0.0007*$B47 - dis_BMI*($C47-21.75)))*AL47</f>
        <v>2.7519925773933381E-6</v>
      </c>
      <c r="BQ47">
        <f>(0.93*(0.9442 - 0.0007*$B47 - dis_BMI*($C47-21.75)))*AM47</f>
        <v>6.921970491323369E-5</v>
      </c>
      <c r="BR47">
        <f>(0.93*(0.9442 - 0.0007*$B47 - dis_BMI*($C47-21.75)))*AN47</f>
        <v>8.6507593580814775E-4</v>
      </c>
      <c r="BS47">
        <f>(0.93*0.943*(0.9442 - 0.0007*$B47 - dis_BMI*($C47-21.75)))*AO47</f>
        <v>2.6498663159202366E-6</v>
      </c>
      <c r="BT47">
        <f>(0.93*0.943*(0.9442 - 0.0007*$B47 - dis_BMI*($C47-21.75))-0.19*0.5)*AP47</f>
        <v>8.8968204212164647E-6</v>
      </c>
      <c r="BU47">
        <f>(0.93*0.943*(0.9442 - 0.0007*$B47 - dis_BMI*($C47-21.75)))*AQ47</f>
        <v>6.7921766617168608E-6</v>
      </c>
      <c r="BV47">
        <f>0.962*(0.9442 - 0.0007*$B47 - dis_BMI*($C47-21.75))*AR47</f>
        <v>5.394996940360363E-2</v>
      </c>
      <c r="BW47">
        <f>0.962*0.959*(0.9442 - 0.0007*$B47 - dis_BMI*($C47-21.75))*AS47</f>
        <v>2.5312076074944012E-2</v>
      </c>
      <c r="BX47">
        <f>0.962*(0.943*(0.9442 - 0.0007*$B47 - dis_BMI*($C47-21.75)) - 0.19*0.5)*AT47</f>
        <v>1.6319785454185095E-3</v>
      </c>
      <c r="BY47">
        <f>0.962*(0.943*(0.9442 - 0.0007*$B47 - dis_BMI*($C47-21.75)))*AU47</f>
        <v>3.4145939043426772E-3</v>
      </c>
      <c r="BZ47">
        <f>0.962*(0.955*(0.9442 - 0.0007*$B47 - dis_BMI*($C47-21.75)) - 0.15*0.5)*AV47</f>
        <v>9.0872044512953795E-4</v>
      </c>
      <c r="CA47">
        <f>0.962*(0.955*(0.9442 - 0.0007*$B47 - dis_BMI*($C47-21.75)))*AW47</f>
        <v>3.5863760743912883E-3</v>
      </c>
      <c r="CB47">
        <f>0.962*(0.955*0.943*(0.9442 - 0.0007*$B47 - dis_BMI*($C47-21.75)) - 0.19*0.5)*AX47</f>
        <v>7.7684832404405302E-5</v>
      </c>
      <c r="CC47">
        <f>0.962*(0.955*0.943*(0.9442 - 0.0007*$B47 - dis_BMI*($C47-21.75)) - 0.15*0.5)*AY47</f>
        <v>5.8888956385280449E-5</v>
      </c>
      <c r="CD47">
        <f>0.962*(0.955*0.943*(0.9442 - 0.0007*$B47 - dis_BMI*($C47-21.75)))*AZ47</f>
        <v>2.6834600947565223E-5</v>
      </c>
      <c r="CE47">
        <f>0.962*(0.93*(0.9442 - 0.0007*$B47 - dis_BMI*($C47-21.75)))*BA47</f>
        <v>8.4169581225006229E-4</v>
      </c>
      <c r="CF47">
        <f>0.962*(0.93*(0.9442 - 0.0007*$B47 - dis_BMI*($C47-21.75)))*BB47</f>
        <v>1.0182632697339936E-2</v>
      </c>
      <c r="CG47">
        <f>0.962*(0.93*0.943*(0.9442 - 0.0007*$B47 - dis_BMI*($C47-21.75)))*BC47</f>
        <v>4.6069375498716866E-5</v>
      </c>
      <c r="CH47">
        <f>0.962*(0.93*0.943*(0.9442 - 0.0007*$B47 - dis_BMI*($C47-21.75))-0.19*0.5)*BD47</f>
        <v>1.6798212785990903E-4</v>
      </c>
      <c r="CI47">
        <f>0.962*(0.93*0.943*(0.9442 - 0.0007*$B47 - dis_BMI*($C47-21.75)))*BE47</f>
        <v>7.2738588184702082E-5</v>
      </c>
      <c r="CJ47">
        <f t="shared" si="61"/>
        <v>0</v>
      </c>
      <c r="CK47">
        <f t="shared" si="62"/>
        <v>0.11348837936901679</v>
      </c>
      <c r="CL47">
        <f>CK47/(1+r_)^A47</f>
        <v>3.0911032179219519E-2</v>
      </c>
      <c r="CM47">
        <f t="shared" si="63"/>
        <v>0</v>
      </c>
      <c r="CN47">
        <f>AE47*c_Other</f>
        <v>46.039735966994861</v>
      </c>
      <c r="CO47">
        <f>AF47*(c_Stroke1+c_Stroke2)</f>
        <v>4.968687419531034</v>
      </c>
      <c r="CP47">
        <f>AG47*c_Stroke2</f>
        <v>2.8952063995787918</v>
      </c>
      <c r="CQ47">
        <f>AH47*(c_MI1+c_MI2)</f>
        <v>3.1037429664824328</v>
      </c>
      <c r="CR47">
        <f>AI47*c_MI2</f>
        <v>1.1955401786079694</v>
      </c>
      <c r="CS47">
        <f>AJ47*(c_Stroke1+c_Stroke2+c_MI2)</f>
        <v>0.16963990101794857</v>
      </c>
      <c r="CT47">
        <f>AK47*(c_Stroke2+c_MI1+c_MI2)</f>
        <v>0.17874874495429635</v>
      </c>
      <c r="CU47">
        <f>AL47*(c_Stroke2+c_MI2)</f>
        <v>3.54811148052483E-2</v>
      </c>
      <c r="CV47">
        <f>AM47*(c_HF1)</f>
        <v>2.4289483926202458</v>
      </c>
      <c r="CW47">
        <f>AN47*(c_HF2)</f>
        <v>17.525099909075372</v>
      </c>
      <c r="CX47">
        <f>AO47*(c_Stroke2+c_HF1)</f>
        <v>0.12231742324361725</v>
      </c>
      <c r="CY47">
        <f>AP47*(c_Stroke1+c_Stroke2+c_HF2)</f>
        <v>0.5554762874825887</v>
      </c>
      <c r="CZ47">
        <f>AQ47*(c_Stroke2+c_HF2)</f>
        <v>0.20669515559659388</v>
      </c>
      <c r="DA47">
        <f>AR47*c_DM</f>
        <v>773.56673566072652</v>
      </c>
      <c r="DB47">
        <f>AS47*(c_Other+c_DM)</f>
        <v>851.45215158329302</v>
      </c>
      <c r="DC47">
        <f>AT47*(c_Stroke1+c_Stroke2+c_DM)</f>
        <v>87.141171206403655</v>
      </c>
      <c r="DD47">
        <f>AU47*(c_Stroke2+c_DM)</f>
        <v>81.45859350291272</v>
      </c>
      <c r="DE47">
        <f>AV47*(c_MI1+c_MI2+c_DM)</f>
        <v>53.531553213483001</v>
      </c>
      <c r="DF47">
        <f>AW47*(c_MI2+c_DM)</f>
        <v>68.537296929317947</v>
      </c>
      <c r="DG47">
        <f>AX47*(c_Stroke1+c_Stroke2+c_MI2+c_DM)</f>
        <v>4.7587459366810503</v>
      </c>
      <c r="DH47">
        <f>AY47*(c_Stroke2+c_MI1+c_MI2+c_DM)</f>
        <v>4.2952706123265418</v>
      </c>
      <c r="DI47">
        <f>AZ47*(c_Stroke2+c_MI2+c_DM)</f>
        <v>0.78689623632039407</v>
      </c>
      <c r="DJ47">
        <f>BA47*(c_HF1+c_DM)</f>
        <v>43.679273705207443</v>
      </c>
      <c r="DK47">
        <f>BB47*(c_HF2+c_DM)</f>
        <v>371.42706825170717</v>
      </c>
      <c r="DL47">
        <f>BC47*(c_Stroke2+c_HF1+c_DM)</f>
        <v>2.9637806662594821</v>
      </c>
      <c r="DM47">
        <f>BD47*(c_Stroke1+c_Stroke2+c_HF2+c_DM)</f>
        <v>14.062024882036972</v>
      </c>
      <c r="DN47">
        <f>BE47*(c_Stroke2+c_HF2+c_DM)</f>
        <v>3.490230861443071</v>
      </c>
      <c r="DO47">
        <f t="shared" si="64"/>
        <v>0</v>
      </c>
      <c r="DP47">
        <f t="shared" si="65"/>
        <v>2440.5761131081099</v>
      </c>
      <c r="DQ47">
        <f>DP47/(1+r_)^A47</f>
        <v>664.74406619921467</v>
      </c>
    </row>
    <row r="48" spans="1:121" x14ac:dyDescent="0.3">
      <c r="A48">
        <v>45</v>
      </c>
      <c r="B48">
        <v>90</v>
      </c>
      <c r="C48">
        <f t="shared" si="0"/>
        <v>38</v>
      </c>
      <c r="D48">
        <f t="shared" si="1"/>
        <v>125</v>
      </c>
      <c r="E48">
        <f t="shared" si="2"/>
        <v>5.7</v>
      </c>
      <c r="F48">
        <v>0.12912000000000001</v>
      </c>
      <c r="G48">
        <v>0.16005</v>
      </c>
      <c r="H48">
        <f t="shared" si="52"/>
        <v>0.13530600000000001</v>
      </c>
      <c r="I48">
        <f t="shared" si="53"/>
        <v>5.6857293942168513E-2</v>
      </c>
      <c r="J48">
        <f t="shared" si="23"/>
        <v>0.42855930008479726</v>
      </c>
      <c r="K48">
        <f t="shared" si="24"/>
        <v>0.54329032140840883</v>
      </c>
      <c r="L48">
        <f t="shared" si="25"/>
        <v>0.23272608774522152</v>
      </c>
      <c r="M48">
        <f t="shared" si="26"/>
        <v>0.30996031043299277</v>
      </c>
      <c r="N48">
        <f t="shared" si="27"/>
        <v>0.80375343329735482</v>
      </c>
      <c r="O48">
        <f t="shared" si="28"/>
        <v>0.89983011945758051</v>
      </c>
      <c r="P48">
        <f t="shared" si="29"/>
        <v>0.5511136991978447</v>
      </c>
      <c r="Q48">
        <f t="shared" si="30"/>
        <v>0.67754247324463512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3.5272849696345449E-2</v>
      </c>
      <c r="U48">
        <f t="shared" si="31"/>
        <v>0.70413449165619346</v>
      </c>
      <c r="V48">
        <f t="shared" si="32"/>
        <v>0.81833461808168029</v>
      </c>
      <c r="W48">
        <f t="shared" si="33"/>
        <v>0.43815480518380712</v>
      </c>
      <c r="X48">
        <f t="shared" si="34"/>
        <v>0.55399440794715127</v>
      </c>
      <c r="Y48">
        <f t="shared" si="35"/>
        <v>0.93739706782215892</v>
      </c>
      <c r="Z48">
        <f t="shared" si="36"/>
        <v>0.9800656716637236</v>
      </c>
      <c r="AA48">
        <f t="shared" si="37"/>
        <v>0.74410791248272024</v>
      </c>
      <c r="AB48">
        <f t="shared" si="38"/>
        <v>0.85425592883492552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5.6088101239568686E-2</v>
      </c>
      <c r="AD48">
        <f t="shared" si="54"/>
        <v>8.4764628688183911E-3</v>
      </c>
      <c r="AE48">
        <f t="shared" si="55"/>
        <v>2.4845494906651088E-3</v>
      </c>
      <c r="AF48">
        <f t="shared" si="56"/>
        <v>1.6353557584822289E-4</v>
      </c>
      <c r="AG48">
        <f t="shared" si="57"/>
        <v>3.0436627950215756E-4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8.7022069641381889E-5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2.9885996458893125E-4</v>
      </c>
      <c r="AJ48">
        <f t="shared" si="58"/>
        <v>4.9343331754900806E-6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3.7347624681101435E-6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1.7980592455099306E-6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7.2742962989588857E-5</v>
      </c>
      <c r="AN48">
        <f t="shared" si="59"/>
        <v>8.827716188963533E-4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2.6670589459735897E-6</v>
      </c>
      <c r="AP48">
        <f>AM47*T47*p_Stroke*p_Stroke_rec*(1-I47) + AN47*T47*p_Stroke*p_Stroke_rec*(1-I47) + AO47*(p_recur_Stroke*p_Stroke_rec)*(1-I47) + AP47*(p_recur_Stroke*p_Stroke_rec)*(1-I47) + AQ47*(p_recur_Stroke*p_Stroke_rec)*(1-I47)</f>
        <v>1.1167693146587567E-5</v>
      </c>
      <c r="AQ48">
        <f>AO47*(1-p_recur_Stroke-H47*rr_Stroke*rr_HF)*(1-I47) + AP47*(1-p_recur_Stroke-H47*rr_Stroke*rr_HF)*(1-I47) + AQ47*(1-p_recur_Stroke-H47*rr_Stroke*rr_HF)*(1-I47)</f>
        <v>4.8600153377788045E-6</v>
      </c>
      <c r="AR48">
        <f>AR47*(1-AC47-H47*rr_DM) + AD47*(1-T47-H47)*I47</f>
        <v>5.5059200099847237E-2</v>
      </c>
      <c r="AS48">
        <f>AR47*AC47*p_Other + AD47*T47*p_Other*I47 + AE47*(1-T47*p_Stroke-T47*p_MI-H47*rr_Other)*I47 + AS47*(1-AC47*p_Stroke-AC47*p_MI-H47*rr_Other*rr_DM)</f>
        <v>2.574190398206223E-2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1.9605083135926394E-3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3.0499301559773566E-3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1.0938499391732952E-3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3.7171153164513044E-3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9.8546937639605744E-5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6.7909348762080403E-5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9.5235798285554138E-6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9.3443618867368851E-4</v>
      </c>
      <c r="BB48">
        <f>AM47*(1-T47*p_Stroke - H47*rr_HF)*I47 + AN47*(1-T47*p_Stroke - H47*rr_HF)*I47 + BA47*(1-AC47*p_Stroke - H47*rr_HF*rr_DM) + BB47*(1-AC47*p_Stroke - H47*rr_HF*rr_DM)</f>
        <v>1.0971412790888264E-2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4.819781759962258E-5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2.2347862840402257E-4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3.9036044201643617E-5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0.88418547810362824</v>
      </c>
      <c r="BG48">
        <f t="shared" si="60"/>
        <v>0.99999999999999933</v>
      </c>
      <c r="BH48">
        <f>(0.9442 - 0.0007*$B48 - dis_BMI*($C48-21.75))*AD48</f>
        <v>7.0149087586623797E-3</v>
      </c>
      <c r="BI48">
        <f>0.959*(0.9442 - 0.0007*$B48 - dis_BMI*($C48-21.75))*AE48</f>
        <v>1.9718488519029527E-3</v>
      </c>
      <c r="BJ48">
        <f>(0.943*(0.9442 - 0.0007*$B48 - dis_BMI*($C48-21.75)) - 0.19*0.5)*AF48</f>
        <v>1.1208781108860408E-4</v>
      </c>
      <c r="BK48">
        <f>(0.943*(0.9442 - 0.0007*$B48 - dis_BMI*($C48-21.75)))*AG48</f>
        <v>2.3752842610473513E-4</v>
      </c>
      <c r="BL48">
        <f>(0.955*(0.9442 - 0.0007*$B48 - dis_BMI*($C48-21.75)) - 0.15*0.5)*AH48</f>
        <v>6.2249856042606965E-5</v>
      </c>
      <c r="BM48">
        <f>(0.955*(0.9442 - 0.0007*$B48 - dis_BMI*($C48-21.75)))*AI48</f>
        <v>2.3619922861092393E-4</v>
      </c>
      <c r="BN48">
        <f>(0.955*0.943*(0.9442 - 0.0007*$B48 - dis_BMI*($C48-21.75)) - 0.19*0.5)*AJ48</f>
        <v>3.2087232431534294E-6</v>
      </c>
      <c r="BO48">
        <f>(0.955*0.943*(0.9442 - 0.0007*$B48 - dis_BMI*($C48-21.75)) - 0.15*0.5)*AK48</f>
        <v>2.5033555592513594E-6</v>
      </c>
      <c r="BP48">
        <f>(0.955*0.943*(0.9442 - 0.0007*$B48 - dis_BMI*($C48-21.75)))*AL48</f>
        <v>1.3400667284098508E-6</v>
      </c>
      <c r="BQ48">
        <f>(0.93*(0.9442 - 0.0007*$B48 - dis_BMI*($C48-21.75)))*AM48</f>
        <v>5.5986239564381369E-5</v>
      </c>
      <c r="BR48">
        <f>(0.93*(0.9442 - 0.0007*$B48 - dis_BMI*($C48-21.75)))*AN48</f>
        <v>6.7942054193257913E-4</v>
      </c>
      <c r="BS48">
        <f>(0.93*0.943*(0.9442 - 0.0007*$B48 - dis_BMI*($C48-21.75)))*AO48</f>
        <v>1.9356847045136877E-6</v>
      </c>
      <c r="BT48">
        <f>(0.93*0.943*(0.9442 - 0.0007*$B48 - dis_BMI*($C48-21.75))-0.19*0.5)*AP48</f>
        <v>7.0443016361630031E-6</v>
      </c>
      <c r="BU48">
        <f>(0.93*0.943*(0.9442 - 0.0007*$B48 - dis_BMI*($C48-21.75)))*AQ48</f>
        <v>3.5272776281314005E-6</v>
      </c>
      <c r="BV48">
        <f>0.962*(0.9442 - 0.0007*$B48 - dis_BMI*($C48-21.75))*AR48</f>
        <v>4.383412405677109E-2</v>
      </c>
      <c r="BW48">
        <f>0.962*0.959*(0.9442 - 0.0007*$B48 - dis_BMI*($C48-21.75))*AS48</f>
        <v>1.9653581678047524E-2</v>
      </c>
      <c r="BX48">
        <f>0.962*(0.943*(0.9442 - 0.0007*$B48 - dis_BMI*($C48-21.75)) - 0.19*0.5)*AT48</f>
        <v>1.2926766493862294E-3</v>
      </c>
      <c r="BY48">
        <f>0.962*(0.943*(0.9442 - 0.0007*$B48 - dis_BMI*($C48-21.75)))*AU48</f>
        <v>2.2897286672190014E-3</v>
      </c>
      <c r="BZ48">
        <f>0.962*(0.955*(0.9442 - 0.0007*$B48 - dis_BMI*($C48-21.75)) - 0.15*0.5)*AV48</f>
        <v>7.5273439793327858E-4</v>
      </c>
      <c r="CA48">
        <f>0.962*(0.955*(0.9442 - 0.0007*$B48 - dis_BMI*($C48-21.75)))*AW48</f>
        <v>2.826128084067877E-3</v>
      </c>
      <c r="CB48">
        <f>0.962*(0.955*0.943*(0.9442 - 0.0007*$B48 - dis_BMI*($C48-21.75)) - 0.19*0.5)*AX48</f>
        <v>6.1648426292260162E-5</v>
      </c>
      <c r="CC48">
        <f>0.962*(0.955*0.943*(0.9442 - 0.0007*$B48 - dis_BMI*($C48-21.75)) - 0.15*0.5)*AY48</f>
        <v>4.3788915575398783E-5</v>
      </c>
      <c r="CD48">
        <f>0.962*(0.955*0.943*(0.9442 - 0.0007*$B48 - dis_BMI*($C48-21.75)))*AZ48</f>
        <v>6.8280662389984668E-6</v>
      </c>
      <c r="CE48">
        <f>0.962*(0.93*(0.9442 - 0.0007*$B48 - dis_BMI*($C48-21.75)))*BA48</f>
        <v>6.9185491836345071E-4</v>
      </c>
      <c r="CF48">
        <f>0.962*(0.93*(0.9442 - 0.0007*$B48 - dis_BMI*($C48-21.75)))*BB48</f>
        <v>8.1232148249155804E-3</v>
      </c>
      <c r="CG48">
        <f>0.962*(0.93*0.943*(0.9442 - 0.0007*$B48 - dis_BMI*($C48-21.75)))*BC48</f>
        <v>3.3651501732993443E-5</v>
      </c>
      <c r="CH48">
        <f>0.962*(0.93*0.943*(0.9442 - 0.0007*$B48 - dis_BMI*($C48-21.75))-0.19*0.5)*BD48</f>
        <v>1.3560807186070872E-4</v>
      </c>
      <c r="CI48">
        <f>0.962*(0.93*0.943*(0.9442 - 0.0007*$B48 - dis_BMI*($C48-21.75)))*BE48</f>
        <v>2.7254792323026372E-5</v>
      </c>
      <c r="CJ48">
        <f t="shared" si="61"/>
        <v>0</v>
      </c>
      <c r="CK48">
        <f t="shared" si="62"/>
        <v>9.0162612174136209E-2</v>
      </c>
      <c r="CL48">
        <f>CK48/(1+r_)^A48</f>
        <v>2.3842477078344831E-2</v>
      </c>
      <c r="CM48">
        <f t="shared" si="63"/>
        <v>0</v>
      </c>
      <c r="CN48">
        <f>AE48*c_Other</f>
        <v>35.476882177207088</v>
      </c>
      <c r="CO48">
        <f>AF48*(c_Stroke1+c_Stroke2)</f>
        <v>3.8947632744012766</v>
      </c>
      <c r="CP48">
        <f>AG48*c_Stroke2</f>
        <v>1.9783808167640242</v>
      </c>
      <c r="CQ48">
        <f>AH48*(c_MI1+c_MI2)</f>
        <v>2.5367803521159233</v>
      </c>
      <c r="CR48">
        <f>AI48*c_MI2</f>
        <v>0.93154650962369867</v>
      </c>
      <c r="CS48">
        <f>AJ48*(c_Stroke1+c_Stroke2+c_MI2)</f>
        <v>0.13289639541547435</v>
      </c>
      <c r="CT48">
        <f>AK48*(c_Stroke2+c_MI1+c_MI2)</f>
        <v>0.13314801675059473</v>
      </c>
      <c r="CU48">
        <f>AL48*(c_Stroke2+c_MI2)</f>
        <v>1.7291935764069004E-2</v>
      </c>
      <c r="CV48">
        <f>AM48*(c_HF1)</f>
        <v>1.9662422896085867</v>
      </c>
      <c r="CW48">
        <f>AN48*(c_HF2)</f>
        <v>13.775651112877593</v>
      </c>
      <c r="CX48">
        <f>AO48*(c_Stroke2+c_HF1)</f>
        <v>8.9426486458494464E-2</v>
      </c>
      <c r="CY48">
        <f>AP48*(c_Stroke1+c_Stroke2+c_HF2)</f>
        <v>0.44024163153162849</v>
      </c>
      <c r="CZ48">
        <f>AQ48*(c_Stroke2+c_HF2)</f>
        <v>0.10743063904160048</v>
      </c>
      <c r="DA48">
        <f>AR48*c_DM</f>
        <v>629.05136114075469</v>
      </c>
      <c r="DB48">
        <f>AS48*(c_Other+c_DM)</f>
        <v>661.66989995492759</v>
      </c>
      <c r="DC48">
        <f>AT48*(c_Stroke1+c_Stroke2+c_DM)</f>
        <v>69.090273479318199</v>
      </c>
      <c r="DD48">
        <f>AU48*(c_Stroke2+c_DM)</f>
        <v>54.669998045894118</v>
      </c>
      <c r="DE48">
        <f>AV48*(c_MI1+c_MI2+c_DM)</f>
        <v>44.384055131895622</v>
      </c>
      <c r="DF48">
        <f>AW48*(c_MI2+c_DM)</f>
        <v>54.054290931834871</v>
      </c>
      <c r="DG48">
        <f>AX48*(c_Stroke1+c_Stroke2+c_MI2+c_DM)</f>
        <v>3.780063433979997</v>
      </c>
      <c r="DH48">
        <f>AY48*(c_Stroke2+c_MI1+c_MI2+c_DM)</f>
        <v>3.1969005023236972</v>
      </c>
      <c r="DI48">
        <f>AZ48*(c_Stroke2+c_MI2+c_DM)</f>
        <v>0.20039516675246302</v>
      </c>
      <c r="DJ48">
        <f>BA48*(c_HF1+c_DM)</f>
        <v>35.933743635446689</v>
      </c>
      <c r="DK48">
        <f>BB48*(c_HF2+c_DM)</f>
        <v>296.55728773770977</v>
      </c>
      <c r="DL48">
        <f>BC48*(c_Stroke2+c_HF1+c_DM)</f>
        <v>2.166732890191033</v>
      </c>
      <c r="DM48">
        <f>BD48*(c_Stroke1+c_Stroke2+c_HF2+c_DM)</f>
        <v>11.362994339830932</v>
      </c>
      <c r="DN48">
        <f>BE48*(c_Stroke2+c_HF2+c_DM)</f>
        <v>1.3088785620811105</v>
      </c>
      <c r="DO48">
        <f t="shared" si="64"/>
        <v>0</v>
      </c>
      <c r="DP48">
        <f t="shared" si="65"/>
        <v>1928.9075565905011</v>
      </c>
      <c r="DQ48">
        <f>DP48/(1+r_)^A48</f>
        <v>510.07765963381996</v>
      </c>
    </row>
    <row r="49" spans="1:121" x14ac:dyDescent="0.3">
      <c r="A49">
        <v>46</v>
      </c>
      <c r="B49">
        <v>91</v>
      </c>
      <c r="C49">
        <f t="shared" si="0"/>
        <v>38</v>
      </c>
      <c r="D49">
        <f t="shared" si="1"/>
        <v>125</v>
      </c>
      <c r="E49">
        <f t="shared" si="2"/>
        <v>5.7</v>
      </c>
      <c r="F49">
        <v>0.14421999999999999</v>
      </c>
      <c r="G49">
        <v>0.17713000000000001</v>
      </c>
      <c r="H49">
        <f t="shared" si="52"/>
        <v>0.15080199999999999</v>
      </c>
      <c r="I49">
        <f t="shared" si="53"/>
        <v>5.6857293942168513E-2</v>
      </c>
      <c r="J49">
        <f t="shared" si="23"/>
        <v>0.43823721488412926</v>
      </c>
      <c r="K49">
        <f t="shared" si="24"/>
        <v>0.55408602359436832</v>
      </c>
      <c r="L49">
        <f t="shared" si="25"/>
        <v>0.23890536059585632</v>
      </c>
      <c r="M49">
        <f t="shared" si="26"/>
        <v>0.31773063884401032</v>
      </c>
      <c r="N49">
        <f t="shared" si="27"/>
        <v>0.81462441028150334</v>
      </c>
      <c r="O49">
        <f t="shared" si="28"/>
        <v>0.90757991672567218</v>
      </c>
      <c r="P49">
        <f t="shared" si="29"/>
        <v>0.56352205154925472</v>
      </c>
      <c r="Q49">
        <f t="shared" si="30"/>
        <v>0.69006492416179577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3.60629000284561E-2</v>
      </c>
      <c r="U49">
        <f t="shared" si="31"/>
        <v>0.71493096857418181</v>
      </c>
      <c r="V49">
        <f t="shared" si="32"/>
        <v>0.82755038651903667</v>
      </c>
      <c r="W49">
        <f t="shared" si="33"/>
        <v>0.44795563816099249</v>
      </c>
      <c r="X49">
        <f t="shared" si="34"/>
        <v>0.56485221287936516</v>
      </c>
      <c r="Y49">
        <f t="shared" si="35"/>
        <v>0.9431828320814486</v>
      </c>
      <c r="Z49">
        <f t="shared" si="36"/>
        <v>0.98261825206209452</v>
      </c>
      <c r="AA49">
        <f t="shared" si="37"/>
        <v>0.75602750878720704</v>
      </c>
      <c r="AB49">
        <f t="shared" si="38"/>
        <v>0.86375536072701653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5.7050450187903959E-2</v>
      </c>
      <c r="AD49">
        <f t="shared" si="54"/>
        <v>6.6308191040784061E-3</v>
      </c>
      <c r="AE49">
        <f t="shared" si="55"/>
        <v>1.8587694748253181E-3</v>
      </c>
      <c r="AF49">
        <f t="shared" si="56"/>
        <v>1.258779148258946E-4</v>
      </c>
      <c r="AG49">
        <f t="shared" si="57"/>
        <v>1.9802471896559711E-4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6.9887675840724073E-5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2.2710106949786263E-4</v>
      </c>
      <c r="AJ49">
        <f t="shared" si="58"/>
        <v>3.8062364378731923E-6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2.7097138443695642E-6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5.6031326924069047E-7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5.7842182160416281E-5</v>
      </c>
      <c r="AN49">
        <f t="shared" si="59"/>
        <v>6.7195206334734003E-4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1.903570421062442E-6</v>
      </c>
      <c r="AP49">
        <f>AM48*T48*p_Stroke*p_Stroke_rec*(1-I48) + AN48*T48*p_Stroke*p_Stroke_rec*(1-I48) + AO48*(p_recur_Stroke*p_Stroke_rec)*(1-I48) + AP48*(p_recur_Stroke*p_Stroke_rec)*(1-I48) + AQ48*(p_recur_Stroke*p_Stroke_rec)*(1-I48)</f>
        <v>8.6727724502825177E-6</v>
      </c>
      <c r="AQ49">
        <f>AO48*(1-p_recur_Stroke-H48*rr_Stroke*rr_HF)*(1-I48) + AP48*(1-p_recur_Stroke-H48*rr_Stroke*rr_HF)*(1-I48) + AQ48*(1-p_recur_Stroke-H48*rr_Stroke*rr_HF)*(1-I48)</f>
        <v>1.9256755182323525E-6</v>
      </c>
      <c r="AR49">
        <f>AR48*(1-AC48-H48*rr_DM) + AD48*(1-T48-H48)*I48</f>
        <v>4.3803456441544077E-2</v>
      </c>
      <c r="AS49">
        <f>AR48*AC48*p_Other + AD48*T48*p_Other*I48 + AE48*(1-T48*p_Stroke-T48*p_MI-H48*rr_Other)*I48 + AS48*(1-AC48*p_Stroke-AC48*p_MI-H48*rr_Other*rr_DM)</f>
        <v>1.9292305113669774E-2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1.5197080236543921E-3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1.9190444202821957E-3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8.8671358415959062E-4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2.8384429351390461E-3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7.6755336913605189E-5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4.8975871978809895E-5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-7.6413434274898443E-6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7.5110979992381156E-4</v>
      </c>
      <c r="BB49">
        <f>AM48*(1-T48*p_Stroke - H48*rr_HF)*I48 + AN48*(1-T48*p_Stroke - H48*rr_HF)*I48 + BA48*(1-AC48*p_Stroke - H48*rr_HF*rr_DM) + BB48*(1-AC48*p_Stroke - H48*rr_HF*rr_DM)</f>
        <v>8.4210866229225655E-3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3.4257186668197502E-5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1.7612699596793733E-4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-1.8730248877138496E-6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0.91038167955000793</v>
      </c>
      <c r="BG49">
        <f t="shared" si="60"/>
        <v>0.99999999999999933</v>
      </c>
      <c r="BH49">
        <f>(0.9442 - 0.0007*$B49 - dis_BMI*($C49-21.75))*AD49</f>
        <v>5.4828585466848321E-3</v>
      </c>
      <c r="BI49">
        <f>0.959*(0.9442 - 0.0007*$B49 - dis_BMI*($C49-21.75))*AE49</f>
        <v>1.4739542391068413E-3</v>
      </c>
      <c r="BJ49">
        <f>(0.943*(0.9442 - 0.0007*$B49 - dis_BMI*($C49-21.75)) - 0.19*0.5)*AF49</f>
        <v>8.619403676636691E-5</v>
      </c>
      <c r="BK49">
        <f>(0.943*(0.9442 - 0.0007*$B49 - dis_BMI*($C49-21.75)))*AG49</f>
        <v>1.5440841319348147E-4</v>
      </c>
      <c r="BL49">
        <f>(0.955*(0.9442 - 0.0007*$B49 - dis_BMI*($C49-21.75)) - 0.15*0.5)*AH49</f>
        <v>4.9946319534508478E-5</v>
      </c>
      <c r="BM49">
        <f>(0.955*(0.9442 - 0.0007*$B49 - dis_BMI*($C49-21.75)))*AI49</f>
        <v>1.7933390798319815E-4</v>
      </c>
      <c r="BN49">
        <f>(0.955*0.943*(0.9442 - 0.0007*$B49 - dis_BMI*($C49-21.75)) - 0.19*0.5)*AJ49</f>
        <v>2.4727393317031328E-6</v>
      </c>
      <c r="BO49">
        <f>(0.955*0.943*(0.9442 - 0.0007*$B49 - dis_BMI*($C49-21.75)) - 0.15*0.5)*AK49</f>
        <v>1.8145725691978683E-6</v>
      </c>
      <c r="BP49">
        <f>(0.955*0.943*(0.9442 - 0.0007*$B49 - dis_BMI*($C49-21.75)))*AL49</f>
        <v>4.1723990065755073E-7</v>
      </c>
      <c r="BQ49">
        <f>(0.93*(0.9442 - 0.0007*$B49 - dis_BMI*($C49-21.75)))*AM49</f>
        <v>4.448027656772162E-5</v>
      </c>
      <c r="BR49">
        <f>(0.93*(0.9442 - 0.0007*$B49 - dis_BMI*($C49-21.75)))*AN49</f>
        <v>5.1672693701370861E-4</v>
      </c>
      <c r="BS49">
        <f>(0.93*0.943*(0.9442 - 0.0007*$B49 - dis_BMI*($C49-21.75)))*AO49</f>
        <v>1.3803952323624189E-6</v>
      </c>
      <c r="BT49">
        <f>(0.93*0.943*(0.9442 - 0.0007*$B49 - dis_BMI*($C49-21.75))-0.19*0.5)*AP49</f>
        <v>5.4652438815245557E-6</v>
      </c>
      <c r="BU49">
        <f>(0.93*0.943*(0.9442 - 0.0007*$B49 - dis_BMI*($C49-21.75)))*AQ49</f>
        <v>1.396424989079915E-6</v>
      </c>
      <c r="BV49">
        <f>0.962*(0.9442 - 0.0007*$B49 - dis_BMI*($C49-21.75))*AR49</f>
        <v>3.4843623689387891E-2</v>
      </c>
      <c r="BW49">
        <f>0.962*0.959*(0.9442 - 0.0007*$B49 - dis_BMI*($C49-21.75))*AS49</f>
        <v>1.4716944854411473E-2</v>
      </c>
      <c r="BX49">
        <f>0.962*(0.943*(0.9442 - 0.0007*$B49 - dis_BMI*($C49-21.75)) - 0.19*0.5)*AT49</f>
        <v>1.0010664555989044E-3</v>
      </c>
      <c r="BY49">
        <f>0.962*(0.943*(0.9442 - 0.0007*$B49 - dis_BMI*($C49-21.75)))*AU49</f>
        <v>1.4394999489398357E-3</v>
      </c>
      <c r="BZ49">
        <f>0.962*(0.955*(0.9442 - 0.0007*$B49 - dis_BMI*($C49-21.75)) - 0.15*0.5)*AV49</f>
        <v>6.0962297654226663E-4</v>
      </c>
      <c r="CA49">
        <f>0.962*(0.955*(0.9442 - 0.0007*$B49 - dis_BMI*($C49-21.75)))*AW49</f>
        <v>2.1562468234560799E-3</v>
      </c>
      <c r="CB49">
        <f>0.962*(0.955*0.943*(0.9442 - 0.0007*$B49 - dis_BMI*($C49-21.75)) - 0.19*0.5)*AX49</f>
        <v>4.7969614537990172E-5</v>
      </c>
      <c r="CC49">
        <f>0.962*(0.955*0.943*(0.9442 - 0.0007*$B49 - dis_BMI*($C49-21.75)) - 0.15*0.5)*AY49</f>
        <v>3.1550639052465853E-5</v>
      </c>
      <c r="CD49">
        <f>0.962*(0.955*0.943*(0.9442 - 0.0007*$B49 - dis_BMI*($C49-21.75)))*AZ49</f>
        <v>-5.4739360154268895E-6</v>
      </c>
      <c r="CE49">
        <f>0.962*(0.93*(0.9442 - 0.0007*$B49 - dis_BMI*($C49-21.75)))*BA49</f>
        <v>5.5564998952036535E-4</v>
      </c>
      <c r="CF49">
        <f>0.962*(0.93*(0.9442 - 0.0007*$B49 - dis_BMI*($C49-21.75)))*BB49</f>
        <v>6.2296839879490886E-3</v>
      </c>
      <c r="CG49">
        <f>0.962*(0.93*0.943*(0.9442 - 0.0007*$B49 - dis_BMI*($C49-21.75)))*BC49</f>
        <v>2.3897984164832585E-5</v>
      </c>
      <c r="CH49">
        <f>0.962*(0.93*0.943*(0.9442 - 0.0007*$B49 - dis_BMI*($C49-21.75))-0.19*0.5)*BD49</f>
        <v>1.067708240800982E-4</v>
      </c>
      <c r="CI49">
        <f>0.962*(0.93*0.943*(0.9442 - 0.0007*$B49 - dis_BMI*($C49-21.75)))*BE49</f>
        <v>-1.3066314972232397E-6</v>
      </c>
      <c r="CJ49">
        <f t="shared" si="61"/>
        <v>0</v>
      </c>
      <c r="CK49">
        <f t="shared" si="62"/>
        <v>6.9756596512883823E-2</v>
      </c>
      <c r="CL49">
        <f>CK49/(1+r_)^A49</f>
        <v>1.7909066388704403E-2</v>
      </c>
      <c r="CM49">
        <f t="shared" si="63"/>
        <v>0</v>
      </c>
      <c r="CN49">
        <f>AE49*c_Other</f>
        <v>26.541369331030715</v>
      </c>
      <c r="CO49">
        <f>AF49*(c_Stroke1+c_Stroke2)</f>
        <v>2.9979084194935059</v>
      </c>
      <c r="CP49">
        <f>AG49*c_Stroke2</f>
        <v>1.2871606732763812</v>
      </c>
      <c r="CQ49">
        <f>AH49*(c_MI1+c_MI2)</f>
        <v>2.0372956384329473</v>
      </c>
      <c r="CR49">
        <f>AI49*c_MI2</f>
        <v>0.70787403362483781</v>
      </c>
      <c r="CS49">
        <f>AJ49*(c_Stroke1+c_Stroke2+c_MI2)</f>
        <v>0.10251336598123868</v>
      </c>
      <c r="CT49">
        <f>AK49*(c_Stroke2+c_MI1+c_MI2)</f>
        <v>9.6604008265619337E-2</v>
      </c>
      <c r="CU49">
        <f>AL49*(c_Stroke2+c_MI2)</f>
        <v>5.3885327102877198E-3</v>
      </c>
      <c r="CV49">
        <f>AM49*(c_HF1)</f>
        <v>1.563474183796052</v>
      </c>
      <c r="CW49">
        <f>AN49*(c_HF2)</f>
        <v>10.485811948535241</v>
      </c>
      <c r="CX49">
        <f>AO49*(c_Stroke2+c_HF1)</f>
        <v>6.3826716218223681E-2</v>
      </c>
      <c r="CY49">
        <f>AP49*(c_Stroke1+c_Stroke2+c_HF2)</f>
        <v>0.34188936276258713</v>
      </c>
      <c r="CZ49">
        <f>AQ49*(c_Stroke2+c_HF2)</f>
        <v>4.2567057330526153E-2</v>
      </c>
      <c r="DA49">
        <f>AR49*c_DM</f>
        <v>500.4544898446411</v>
      </c>
      <c r="DB49">
        <f>AS49*(c_Other+c_DM)</f>
        <v>495.88941064176788</v>
      </c>
      <c r="DC49">
        <f>AT49*(c_Stroke1+c_Stroke2+c_DM)</f>
        <v>53.556030461604429</v>
      </c>
      <c r="DD49">
        <f>AU49*(c_Stroke2+c_DM)</f>
        <v>34.39887123355836</v>
      </c>
      <c r="DE49">
        <f>AV49*(c_MI1+c_MI2+c_DM)</f>
        <v>35.979290390859546</v>
      </c>
      <c r="DF49">
        <f>AW49*(c_MI2+c_DM)</f>
        <v>41.276637162792007</v>
      </c>
      <c r="DG49">
        <f>AX49*(c_Stroke1+c_Stroke2+c_MI2+c_DM)</f>
        <v>2.9441812133320679</v>
      </c>
      <c r="DH49">
        <f>AY49*(c_Stroke2+c_MI1+c_MI2+c_DM)</f>
        <v>2.3055881492744548</v>
      </c>
      <c r="DI49">
        <f>AZ49*(c_Stroke2+c_MI2+c_DM)</f>
        <v>-0.16078914840124131</v>
      </c>
      <c r="DJ49">
        <f>BA49*(c_HF1+c_DM)</f>
        <v>28.883927356070174</v>
      </c>
      <c r="DK49">
        <f>BB49*(c_HF2+c_DM)</f>
        <v>227.62197141759694</v>
      </c>
      <c r="DL49">
        <f>BC49*(c_Stroke2+c_HF1+c_DM)</f>
        <v>1.5400318266688187</v>
      </c>
      <c r="DM49">
        <f>BD49*(c_Stroke1+c_Stroke2+c_HF2+c_DM)</f>
        <v>8.9553532369857418</v>
      </c>
      <c r="DN49">
        <f>BE49*(c_Stroke2+c_HF2+c_DM)</f>
        <v>-6.2802524485045377E-2</v>
      </c>
      <c r="DO49">
        <f t="shared" si="64"/>
        <v>0</v>
      </c>
      <c r="DP49">
        <f t="shared" si="65"/>
        <v>1479.8558745337236</v>
      </c>
      <c r="DQ49">
        <f>DP49/(1+r_)^A49</f>
        <v>379.93305905977911</v>
      </c>
    </row>
    <row r="50" spans="1:121" x14ac:dyDescent="0.3">
      <c r="A50">
        <v>47</v>
      </c>
      <c r="B50">
        <v>92</v>
      </c>
      <c r="C50">
        <f t="shared" si="0"/>
        <v>38</v>
      </c>
      <c r="D50">
        <f t="shared" si="1"/>
        <v>125</v>
      </c>
      <c r="E50">
        <f t="shared" si="2"/>
        <v>5.7</v>
      </c>
      <c r="F50">
        <v>0.15822</v>
      </c>
      <c r="G50">
        <v>0.19409999999999999</v>
      </c>
      <c r="H50">
        <f t="shared" si="52"/>
        <v>0.16539599999999999</v>
      </c>
      <c r="I50">
        <f t="shared" si="53"/>
        <v>5.6857293942168513E-2</v>
      </c>
      <c r="J50">
        <f t="shared" si="23"/>
        <v>0.44793129822897726</v>
      </c>
      <c r="K50">
        <f t="shared" si="24"/>
        <v>0.56482534295534981</v>
      </c>
      <c r="L50">
        <f t="shared" si="25"/>
        <v>0.24515141692309805</v>
      </c>
      <c r="M50">
        <f t="shared" si="26"/>
        <v>0.32555931057592813</v>
      </c>
      <c r="N50">
        <f t="shared" si="27"/>
        <v>0.82512745846275115</v>
      </c>
      <c r="O50">
        <f t="shared" si="28"/>
        <v>0.91489128351840365</v>
      </c>
      <c r="P50">
        <f t="shared" si="29"/>
        <v>0.57586679210451286</v>
      </c>
      <c r="Q50">
        <f t="shared" si="30"/>
        <v>0.70237812778190989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3.6853441835320681E-2</v>
      </c>
      <c r="U50">
        <f t="shared" si="31"/>
        <v>0.72552834541433286</v>
      </c>
      <c r="V50">
        <f t="shared" si="32"/>
        <v>0.8364612834711298</v>
      </c>
      <c r="W50">
        <f t="shared" si="33"/>
        <v>0.4577677236625749</v>
      </c>
      <c r="X50">
        <f t="shared" si="34"/>
        <v>0.57564542036767885</v>
      </c>
      <c r="Y50">
        <f t="shared" si="35"/>
        <v>0.94855121231096884</v>
      </c>
      <c r="Z50">
        <f t="shared" si="36"/>
        <v>0.98489268250719975</v>
      </c>
      <c r="AA50">
        <f t="shared" si="37"/>
        <v>0.76765238653401235</v>
      </c>
      <c r="AB50">
        <f t="shared" si="38"/>
        <v>0.87283712998965235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5.8001779948935003E-2</v>
      </c>
      <c r="AD50">
        <f t="shared" si="54"/>
        <v>5.0851913406857749E-3</v>
      </c>
      <c r="AE50">
        <f t="shared" si="55"/>
        <v>1.3463764993701353E-3</v>
      </c>
      <c r="AF50">
        <f t="shared" si="56"/>
        <v>9.4825580473258613E-5</v>
      </c>
      <c r="AG50">
        <f t="shared" si="57"/>
        <v>1.2221163991253212E-4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5.4951219500189803E-5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1.6787633781186931E-4</v>
      </c>
      <c r="AJ50">
        <f t="shared" si="58"/>
        <v>2.8742403909992335E-6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1.9026778787438836E-6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-1.3265236709017909E-7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4.4995532598688492E-5</v>
      </c>
      <c r="AN50">
        <f t="shared" si="59"/>
        <v>4.9368043391108212E-4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1.3159964266346487E-6</v>
      </c>
      <c r="AP50">
        <f>AM49*T49*p_Stroke*p_Stroke_rec*(1-I49) + AN49*T49*p_Stroke*p_Stroke_rec*(1-I49) + AO49*(p_recur_Stroke*p_Stroke_rec)*(1-I49) + AP49*(p_recur_Stroke*p_Stroke_rec)*(1-I49) + AQ49*(p_recur_Stroke*p_Stroke_rec)*(1-I49)</f>
        <v>6.5541031168583802E-6</v>
      </c>
      <c r="AQ50">
        <f>AO49*(1-p_recur_Stroke-H49*rr_Stroke*rr_HF)*(1-I49) + AP49*(1-p_recur_Stroke-H49*rr_Stroke*rr_HF)*(1-I49) + AQ49*(1-p_recur_Stroke-H49*rr_Stroke*rr_HF)*(1-I49)</f>
        <v>2.4692310985795331E-7</v>
      </c>
      <c r="AR50">
        <f>AR49*(1-AC49-H49*rr_DM) + AD49*(1-T49-H49)*I49</f>
        <v>3.4014513782127595E-2</v>
      </c>
      <c r="AS50">
        <f>AR49*AC49*p_Other + AD49*T49*p_Other*I49 + AE49*(1-T49*p_Stroke-T49*p_MI-H49*rr_Other)*I49 + AS49*(1-AC49*p_Stroke-AC49*p_MI-H49*rr_Other*rr_DM)</f>
        <v>1.3895779260745384E-2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1.1470389863995627E-3</v>
      </c>
      <c r="AU50">
        <f>AF49*(1-p_recur_Stroke-T49*p_MI-H49*rr_Stroke)*I49 + AG49*(1-p_recur_Stroke-T49*p_MI-H49*rr_Stroke)*I49 + AT49*(1-p_recur_Stroke-AC49*p_MI-H49*rr_Stroke*rr_DM) + AU49*(1-p_recur_Stroke-AC49*p_MI-H49*rr_Stroke*rr_DM)</f>
        <v>1.1237141481599087E-3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6.9961955382552424E-4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2.0916304522386863E-3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5.8180019358032947E-5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3.39604019664273E-5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-1.5565467858307005E-5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5.8693708128899403E-4</v>
      </c>
      <c r="BB50">
        <f>AM49*(1-T49*p_Stroke - H49*rr_HF)*I49 + AN49*(1-T49*p_Stroke - H49*rr_HF)*I49 + BA49*(1-AC49*p_Stroke - H49*rr_HF*rr_DM) + BB49*(1-AC49*p_Stroke - H49*rr_HF*rr_DM)</f>
        <v>6.1865966017176192E-3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2.3438559843306698E-5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1.3414035655105535E-4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-2.2487111739659304E-5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0.93261963350255572</v>
      </c>
      <c r="BG50">
        <f t="shared" si="60"/>
        <v>0.99999999999999933</v>
      </c>
      <c r="BH50">
        <f>(0.9442 - 0.0007*$B50 - dis_BMI*($C50-21.75))*AD50</f>
        <v>4.2012579558910702E-3</v>
      </c>
      <c r="BI50">
        <f>0.959*(0.9442 - 0.0007*$B50 - dis_BMI*($C50-21.75))*AE50</f>
        <v>1.0667365575880697E-3</v>
      </c>
      <c r="BJ50">
        <f>(0.943*(0.9442 - 0.0007*$B50 - dis_BMI*($C50-21.75)) - 0.19*0.5)*AF50</f>
        <v>6.4868569937527677E-5</v>
      </c>
      <c r="BK50">
        <f>(0.943*(0.9442 - 0.0007*$B50 - dis_BMI*($C50-21.75)))*AG50</f>
        <v>9.5213014113266245E-5</v>
      </c>
      <c r="BL50">
        <f>(0.955*(0.9442 - 0.0007*$B50 - dis_BMI*($C50-21.75)) - 0.15*0.5)*AH50</f>
        <v>3.9235012738379456E-5</v>
      </c>
      <c r="BM50">
        <f>(0.955*(0.9442 - 0.0007*$B50 - dis_BMI*($C50-21.75)))*AI50</f>
        <v>1.3245394788909367E-4</v>
      </c>
      <c r="BN50">
        <f>(0.955*0.943*(0.9442 - 0.0007*$B50 - dis_BMI*($C50-21.75)) - 0.19*0.5)*AJ50</f>
        <v>1.8654518258240794E-6</v>
      </c>
      <c r="BO50">
        <f>(0.955*0.943*(0.9442 - 0.0007*$B50 - dis_BMI*($C50-21.75)) - 0.15*0.5)*AK50</f>
        <v>1.2729377147848202E-6</v>
      </c>
      <c r="BP50">
        <f>(0.955*0.943*(0.9442 - 0.0007*$B50 - dis_BMI*($C50-21.75)))*AL50</f>
        <v>-9.8696583091855942E-8</v>
      </c>
      <c r="BQ50">
        <f>(0.93*(0.9442 - 0.0007*$B50 - dis_BMI*($C50-21.75)))*AM50</f>
        <v>3.4571991254590967E-5</v>
      </c>
      <c r="BR50">
        <f>(0.93*(0.9442 - 0.0007*$B50 - dis_BMI*($C50-21.75)))*AN50</f>
        <v>3.7931578221243412E-4</v>
      </c>
      <c r="BS50">
        <f>(0.93*0.943*(0.9442 - 0.0007*$B50 - dis_BMI*($C50-21.75)))*AO50</f>
        <v>9.5350154356509289E-7</v>
      </c>
      <c r="BT50">
        <f>(0.93*0.943*(0.9442 - 0.0007*$B50 - dis_BMI*($C50-21.75))-0.19*0.5)*AP50</f>
        <v>4.1261173525713326E-6</v>
      </c>
      <c r="BU50">
        <f>(0.93*0.943*(0.9442 - 0.0007*$B50 - dis_BMI*($C50-21.75)))*AQ50</f>
        <v>1.789074511346037E-7</v>
      </c>
      <c r="BV50">
        <f>0.962*(0.9442 - 0.0007*$B50 - dis_BMI*($C50-21.75))*AR50</f>
        <v>2.7034067168839191E-2</v>
      </c>
      <c r="BW50">
        <f>0.962*0.959*(0.9442 - 0.0007*$B50 - dis_BMI*($C50-21.75))*AS50</f>
        <v>1.0591284519898461E-2</v>
      </c>
      <c r="BX50">
        <f>0.962*(0.943*(0.9442 - 0.0007*$B50 - dis_BMI*($C50-21.75)) - 0.19*0.5)*AT50</f>
        <v>7.5485244342399899E-4</v>
      </c>
      <c r="BY50">
        <f>0.962*(0.943*(0.9442 - 0.0007*$B50 - dis_BMI*($C50-21.75)))*AU50</f>
        <v>8.4219888630793834E-4</v>
      </c>
      <c r="BZ50">
        <f>0.962*(0.955*(0.9442 - 0.0007*$B50 - dis_BMI*($C50-21.75)) - 0.15*0.5)*AV50</f>
        <v>4.805443487242492E-4</v>
      </c>
      <c r="CA50">
        <f>0.962*(0.955*(0.9442 - 0.0007*$B50 - dis_BMI*($C50-21.75)))*AW50</f>
        <v>1.5875793776703798E-3</v>
      </c>
      <c r="CB50">
        <f>0.962*(0.955*0.943*(0.9442 - 0.0007*$B50 - dis_BMI*($C50-21.75)) - 0.19*0.5)*AX50</f>
        <v>3.6325356354338984E-5</v>
      </c>
      <c r="CC50">
        <f>0.962*(0.955*0.943*(0.9442 - 0.0007*$B50 - dis_BMI*($C50-21.75)) - 0.15*0.5)*AY50</f>
        <v>2.1856961092029243E-5</v>
      </c>
      <c r="CD50">
        <f>0.962*(0.955*0.943*(0.9442 - 0.0007*$B50 - dis_BMI*($C50-21.75)))*AZ50</f>
        <v>-1.1141004880420763E-5</v>
      </c>
      <c r="CE50">
        <f>0.962*(0.93*(0.9442 - 0.0007*$B50 - dis_BMI*($C50-21.75)))*BA50</f>
        <v>4.3383203477220599E-4</v>
      </c>
      <c r="CF50">
        <f>0.962*(0.93*(0.9442 - 0.0007*$B50 - dis_BMI*($C50-21.75)))*BB50</f>
        <v>4.5727964335524045E-3</v>
      </c>
      <c r="CG50">
        <f>0.962*(0.93*0.943*(0.9442 - 0.0007*$B50 - dis_BMI*($C50-21.75)))*BC50</f>
        <v>1.6337014174812897E-5</v>
      </c>
      <c r="CH50">
        <f>0.962*(0.93*0.943*(0.9442 - 0.0007*$B50 - dis_BMI*($C50-21.75))-0.19*0.5)*BD50</f>
        <v>8.1238675520337297E-5</v>
      </c>
      <c r="CI50">
        <f>0.962*(0.93*0.943*(0.9442 - 0.0007*$B50 - dis_BMI*($C50-21.75)))*BE50</f>
        <v>-1.5673841127501069E-5</v>
      </c>
      <c r="CJ50">
        <f t="shared" si="61"/>
        <v>0</v>
      </c>
      <c r="CK50">
        <f t="shared" si="62"/>
        <v>5.2448049425251643E-2</v>
      </c>
      <c r="CL50">
        <f>CK50/(1+r_)^A50</f>
        <v>1.3073136025212826E-2</v>
      </c>
      <c r="CM50">
        <f t="shared" si="63"/>
        <v>0</v>
      </c>
      <c r="CN50">
        <f>AE50*c_Other</f>
        <v>19.224910034506163</v>
      </c>
      <c r="CO50">
        <f>AF50*(c_Stroke1+c_Stroke2)</f>
        <v>2.258366024551127</v>
      </c>
      <c r="CP50">
        <f>AG50*c_Stroke2</f>
        <v>0.79437565943145871</v>
      </c>
      <c r="CQ50">
        <f>AH50*(c_MI1+c_MI2)</f>
        <v>1.601882999650033</v>
      </c>
      <c r="CR50">
        <f>AI50*c_MI2</f>
        <v>0.52327054495959668</v>
      </c>
      <c r="CS50">
        <f>AJ50*(c_Stroke1+c_Stroke2+c_MI2)</f>
        <v>7.7411916450782353E-2</v>
      </c>
      <c r="CT50">
        <f>AK50*(c_Stroke2+c_MI1+c_MI2)</f>
        <v>6.7832369055098193E-2</v>
      </c>
      <c r="CU50">
        <f>AL50*(c_Stroke2+c_MI2)</f>
        <v>-1.2757178143062524E-3</v>
      </c>
      <c r="CV50">
        <f>AM50*(c_HF1)</f>
        <v>1.2162292461425499</v>
      </c>
      <c r="CW50">
        <f>AN50*(c_HF2)</f>
        <v>7.7038831711824365</v>
      </c>
      <c r="CX50">
        <f>AO50*(c_Stroke2+c_HF1)</f>
        <v>4.4125360185059768E-2</v>
      </c>
      <c r="CY50">
        <f>AP50*(c_Stroke1+c_Stroke2+c_HF2)</f>
        <v>0.2583692989696742</v>
      </c>
      <c r="CZ50">
        <f>AQ50*(c_Stroke2+c_HF2)</f>
        <v>5.4582353434100579E-3</v>
      </c>
      <c r="DA50">
        <f>AR50*c_DM</f>
        <v>388.61581996080776</v>
      </c>
      <c r="DB50">
        <f>AS50*(c_Other+c_DM)</f>
        <v>357.17711011819938</v>
      </c>
      <c r="DC50">
        <f>AT50*(c_Stroke1+c_Stroke2+c_DM)</f>
        <v>40.422800919706987</v>
      </c>
      <c r="DD50">
        <f>AU50*(c_Stroke2+c_DM)</f>
        <v>20.142576105766363</v>
      </c>
      <c r="DE50">
        <f>AV50*(c_MI1+c_MI2+c_DM)</f>
        <v>28.387763016024472</v>
      </c>
      <c r="DF50">
        <f>AW50*(c_MI2+c_DM)</f>
        <v>30.416490036454977</v>
      </c>
      <c r="DG50">
        <f>AX50*(c_Stroke1+c_Stroke2+c_MI2+c_DM)</f>
        <v>2.2316691825354278</v>
      </c>
      <c r="DH50">
        <f>AY50*(c_Stroke2+c_MI1+c_MI2+c_DM)</f>
        <v>1.5987198829715317</v>
      </c>
      <c r="DI50">
        <f>AZ50*(c_Stroke2+c_MI2+c_DM)</f>
        <v>-0.32752857467449598</v>
      </c>
      <c r="DJ50">
        <f>BA50*(c_HF1+c_DM)</f>
        <v>22.570665460968264</v>
      </c>
      <c r="DK50">
        <f>BB50*(c_HF2+c_DM)</f>
        <v>167.22370614442724</v>
      </c>
      <c r="DL50">
        <f>BC50*(c_Stroke2+c_HF1+c_DM)</f>
        <v>1.0536804577558525</v>
      </c>
      <c r="DM50">
        <f>BD50*(c_Stroke1+c_Stroke2+c_HF2+c_DM)</f>
        <v>6.8205005691949605</v>
      </c>
      <c r="DN50">
        <f>BE50*(c_Stroke2+c_HF2+c_DM)</f>
        <v>-0.75399285663077642</v>
      </c>
      <c r="DO50">
        <f t="shared" si="64"/>
        <v>0</v>
      </c>
      <c r="DP50">
        <f t="shared" si="65"/>
        <v>1099.3548195661213</v>
      </c>
      <c r="DQ50">
        <f>DP50/(1+r_)^A50</f>
        <v>274.02382459702409</v>
      </c>
    </row>
    <row r="51" spans="1:121" x14ac:dyDescent="0.3">
      <c r="A51">
        <v>48</v>
      </c>
      <c r="B51">
        <v>93</v>
      </c>
      <c r="C51">
        <f t="shared" si="0"/>
        <v>38</v>
      </c>
      <c r="D51">
        <f t="shared" si="1"/>
        <v>125</v>
      </c>
      <c r="E51">
        <f t="shared" si="2"/>
        <v>5.7</v>
      </c>
      <c r="F51">
        <v>0.17560000000000001</v>
      </c>
      <c r="G51">
        <v>0.21640000000000001</v>
      </c>
      <c r="H51">
        <f t="shared" si="52"/>
        <v>0.18376000000000001</v>
      </c>
      <c r="I51">
        <f t="shared" si="53"/>
        <v>5.6857293942168513E-2</v>
      </c>
      <c r="J51">
        <f t="shared" si="23"/>
        <v>0.45763640312358733</v>
      </c>
      <c r="K51">
        <f t="shared" si="24"/>
        <v>0.57550148163075643</v>
      </c>
      <c r="L51">
        <f t="shared" si="25"/>
        <v>0.25146270241632762</v>
      </c>
      <c r="M51">
        <f t="shared" si="26"/>
        <v>0.3334434308099602</v>
      </c>
      <c r="N51">
        <f t="shared" si="27"/>
        <v>0.8352588166394519</v>
      </c>
      <c r="O51">
        <f t="shared" si="28"/>
        <v>0.92177417385928162</v>
      </c>
      <c r="P51">
        <f t="shared" si="29"/>
        <v>0.58813701619726522</v>
      </c>
      <c r="Q51">
        <f t="shared" si="30"/>
        <v>0.71447120023533017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3.7644104217993718E-2</v>
      </c>
      <c r="U51">
        <f t="shared" si="31"/>
        <v>0.73592074842731625</v>
      </c>
      <c r="V51">
        <f t="shared" si="32"/>
        <v>0.84506703222121926</v>
      </c>
      <c r="W51">
        <f t="shared" si="33"/>
        <v>0.46758574307869816</v>
      </c>
      <c r="X51">
        <f t="shared" si="34"/>
        <v>0.58636714325186667</v>
      </c>
      <c r="Y51">
        <f t="shared" si="35"/>
        <v>0.95351966414409461</v>
      </c>
      <c r="Z51">
        <f t="shared" si="36"/>
        <v>0.98691221280345032</v>
      </c>
      <c r="AA51">
        <f t="shared" si="37"/>
        <v>0.7789742020763275</v>
      </c>
      <c r="AB51">
        <f t="shared" si="38"/>
        <v>0.88150359498256292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5.8941675987085829E-2</v>
      </c>
      <c r="AD51">
        <f t="shared" si="54"/>
        <v>3.8260604369686835E-3</v>
      </c>
      <c r="AE51">
        <f t="shared" si="55"/>
        <v>9.4693397124220478E-4</v>
      </c>
      <c r="AF51">
        <f t="shared" si="56"/>
        <v>6.9901480179992862E-5</v>
      </c>
      <c r="AG51">
        <f t="shared" si="57"/>
        <v>7.2504268208440221E-5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4.2219252567335593E-5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1.210717162492409E-4</v>
      </c>
      <c r="AJ51">
        <f t="shared" si="58"/>
        <v>2.122427789254794E-6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1.293703213845832E-6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-4.0319519455918732E-7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3.4166580732915103E-5</v>
      </c>
      <c r="AN51">
        <f t="shared" si="59"/>
        <v>3.5080887542691367E-4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8.821840195837832E-7</v>
      </c>
      <c r="AP51">
        <f>AM50*T50*p_Stroke*p_Stroke_rec*(1-I50) + AN50*T50*p_Stroke*p_Stroke_rec*(1-I50) + AO50*(p_recur_Stroke*p_Stroke_rec)*(1-I50) + AP50*(p_recur_Stroke*p_Stroke_rec)*(1-I50) + AQ50*(p_recur_Stroke*p_Stroke_rec)*(1-I50)</f>
        <v>4.8070247556144386E-6</v>
      </c>
      <c r="AQ51">
        <f>AO50*(1-p_recur_Stroke-H50*rr_Stroke*rr_HF)*(1-I50) + AP50*(1-p_recur_Stroke-H50*rr_Stroke*rr_HF)*(1-I50) + AQ50*(1-p_recur_Stroke-H50*rr_Stroke*rr_HF)*(1-I50)</f>
        <v>-4.7613336786744004E-7</v>
      </c>
      <c r="AR51">
        <f>AR50*(1-AC50-H50*rr_DM) + AD50*(1-T50-H50)*I50</f>
        <v>2.5802521032369113E-2</v>
      </c>
      <c r="AS51">
        <f>AR50*AC50*p_Other + AD50*T50*p_Other*I50 + AE50*(1-T50*p_Stroke-T50*p_MI-H50*rr_Other)*I50 + AS50*(1-AC50*p_Stroke-AC50*p_MI-H50*rr_Other*rr_DM)</f>
        <v>9.6534711509063814E-3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8.4291664129270555E-4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6.217812132415278E-4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5.3600227799938094E-4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1.4923416607629002E-3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4.2839329640702803E-5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2.2669727729486524E-5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-1.6468148800769997E-5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4.4463350499957921E-4</v>
      </c>
      <c r="BB51">
        <f>AM50*(1-T50*p_Stroke - H50*rr_HF)*I50 + AN50*(1-T50*p_Stroke - H50*rr_HF)*I50 + BA50*(1-AC50*p_Stroke - H50*rr_HF*rr_DM) + BB50*(1-AC50*p_Stroke - H50*rr_HF*rr_DM)</f>
        <v>4.3595003757522571E-3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1.546535275202665E-5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9.8336701744131379E-5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-2.752313914716423E-5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0.95063961972596556</v>
      </c>
      <c r="BG51">
        <f t="shared" si="60"/>
        <v>0.99999999999999944</v>
      </c>
      <c r="BH51">
        <f>(0.9442 - 0.0007*$B51 - dis_BMI*($C51-21.75))*AD51</f>
        <v>3.1583172392067238E-3</v>
      </c>
      <c r="BI51">
        <f>0.959*(0.9442 - 0.0007*$B51 - dis_BMI*($C51-21.75))*AE51</f>
        <v>7.4962183679480143E-4</v>
      </c>
      <c r="BJ51">
        <f>(0.943*(0.9442 - 0.0007*$B51 - dis_BMI*($C51-21.75)) - 0.19*0.5)*AF51</f>
        <v>4.777227404644024E-5</v>
      </c>
      <c r="BK51">
        <f>(0.943*(0.9442 - 0.0007*$B51 - dis_BMI*($C51-21.75)))*AG51</f>
        <v>5.643898453379854E-5</v>
      </c>
      <c r="BL51">
        <f>(0.955*(0.9442 - 0.0007*$B51 - dis_BMI*($C51-21.75)) - 0.15*0.5)*AH51</f>
        <v>3.0116201382385215E-5</v>
      </c>
      <c r="BM51">
        <f>(0.955*(0.9442 - 0.0007*$B51 - dis_BMI*($C51-21.75)))*AI51</f>
        <v>9.5444299597154217E-5</v>
      </c>
      <c r="BN51">
        <f>(0.955*0.943*(0.9442 - 0.0007*$B51 - dis_BMI*($C51-21.75)) - 0.19*0.5)*AJ51</f>
        <v>1.3761692176822097E-6</v>
      </c>
      <c r="BO51">
        <f>(0.955*0.943*(0.9442 - 0.0007*$B51 - dis_BMI*($C51-21.75)) - 0.15*0.5)*AK51</f>
        <v>8.6470332797416587E-7</v>
      </c>
      <c r="BP51">
        <f>(0.955*0.943*(0.9442 - 0.0007*$B51 - dis_BMI*($C51-21.75)))*AL51</f>
        <v>-2.9973284547344488E-7</v>
      </c>
      <c r="BQ51">
        <f>(0.93*(0.9442 - 0.0007*$B51 - dis_BMI*($C51-21.75)))*AM51</f>
        <v>2.6229402154367877E-5</v>
      </c>
      <c r="BR51">
        <f>(0.93*(0.9442 - 0.0007*$B51 - dis_BMI*($C51-21.75)))*AN51</f>
        <v>2.6931307949201933E-4</v>
      </c>
      <c r="BS51">
        <f>(0.93*0.943*(0.9442 - 0.0007*$B51 - dis_BMI*($C51-21.75)))*AO51</f>
        <v>6.3864240636877919E-7</v>
      </c>
      <c r="BT51">
        <f>(0.93*0.943*(0.9442 - 0.0007*$B51 - dis_BMI*($C51-21.75))-0.19*0.5)*AP51</f>
        <v>3.023298040072534E-6</v>
      </c>
      <c r="BU51">
        <f>(0.93*0.943*(0.9442 - 0.0007*$B51 - dis_BMI*($C51-21.75)))*AQ51</f>
        <v>-3.4468880988209055E-7</v>
      </c>
      <c r="BV51">
        <f>0.962*(0.9442 - 0.0007*$B51 - dis_BMI*($C51-21.75))*AR51</f>
        <v>2.0489961279325487E-2</v>
      </c>
      <c r="BW51">
        <f>0.962*0.959*(0.9442 - 0.0007*$B51 - dis_BMI*($C51-21.75))*AS51</f>
        <v>7.3515871027243261E-3</v>
      </c>
      <c r="BX51">
        <f>0.962*(0.943*(0.9442 - 0.0007*$B51 - dis_BMI*($C51-21.75)) - 0.19*0.5)*AT51</f>
        <v>5.5417795137554593E-4</v>
      </c>
      <c r="BY51">
        <f>0.962*(0.943*(0.9442 - 0.0007*$B51 - dis_BMI*($C51-21.75)))*AU51</f>
        <v>4.6561641819410101E-4</v>
      </c>
      <c r="BZ51">
        <f>0.962*(0.955*(0.9442 - 0.0007*$B51 - dis_BMI*($C51-21.75)) - 0.15*0.5)*AV51</f>
        <v>3.6781662877960383E-4</v>
      </c>
      <c r="CA51">
        <f>0.962*(0.955*(0.9442 - 0.0007*$B51 - dis_BMI*($C51-21.75)))*AW51</f>
        <v>1.131750334779975E-3</v>
      </c>
      <c r="CB51">
        <f>0.962*(0.955*0.943*(0.9442 - 0.0007*$B51 - dis_BMI*($C51-21.75)) - 0.19*0.5)*AX51</f>
        <v>2.6721242865368536E-5</v>
      </c>
      <c r="CC51">
        <f>0.962*(0.955*0.943*(0.9442 - 0.0007*$B51 - dis_BMI*($C51-21.75)) - 0.15*0.5)*AY51</f>
        <v>1.4576519890865913E-5</v>
      </c>
      <c r="CD51">
        <f>0.962*(0.955*0.943*(0.9442 - 0.0007*$B51 - dis_BMI*($C51-21.75)))*AZ51</f>
        <v>-1.177711304604328E-5</v>
      </c>
      <c r="CE51">
        <f>0.962*(0.93*(0.9442 - 0.0007*$B51 - dis_BMI*($C51-21.75)))*BA51</f>
        <v>3.2837049756641377E-4</v>
      </c>
      <c r="CF51">
        <f>0.962*(0.93*(0.9442 - 0.0007*$B51 - dis_BMI*($C51-21.75)))*BB51</f>
        <v>3.2195758786286053E-3</v>
      </c>
      <c r="CG51">
        <f>0.962*(0.93*0.943*(0.9442 - 0.0007*$B51 - dis_BMI*($C51-21.75)))*BC51</f>
        <v>1.0770440568280868E-5</v>
      </c>
      <c r="CH51">
        <f>0.962*(0.93*0.943*(0.9442 - 0.0007*$B51 - dis_BMI*($C51-21.75))-0.19*0.5)*BD51</f>
        <v>5.9497033653816438E-5</v>
      </c>
      <c r="CI51">
        <f>0.962*(0.93*0.943*(0.9442 - 0.0007*$B51 - dis_BMI*($C51-21.75)))*BE51</f>
        <v>-1.9167770641261998E-5</v>
      </c>
      <c r="CJ51">
        <f t="shared" si="61"/>
        <v>0</v>
      </c>
      <c r="CK51">
        <f t="shared" si="62"/>
        <v>3.8427988153209518E-2</v>
      </c>
      <c r="CL51">
        <f>CK51/(1+r_)^A51</f>
        <v>9.2995270559571575E-3</v>
      </c>
      <c r="CM51">
        <f t="shared" si="63"/>
        <v>0</v>
      </c>
      <c r="CN51">
        <f>AE51*c_Other</f>
        <v>13.521270175367443</v>
      </c>
      <c r="CO51">
        <f>AF51*(c_Stroke1+c_Stroke2)</f>
        <v>1.66477365196671</v>
      </c>
      <c r="CP51">
        <f>AG51*c_Stroke2</f>
        <v>0.47127774335486144</v>
      </c>
      <c r="CQ51">
        <f>AH51*(c_MI1+c_MI2)</f>
        <v>1.2307334315903999</v>
      </c>
      <c r="CR51">
        <f>AI51*c_MI2</f>
        <v>0.3773805395488839</v>
      </c>
      <c r="CS51">
        <f>AJ51*(c_Stroke1+c_Stroke2+c_MI2)</f>
        <v>5.7163347647999366E-2</v>
      </c>
      <c r="CT51">
        <f>AK51*(c_Stroke2+c_MI1+c_MI2)</f>
        <v>4.6121813276817754E-2</v>
      </c>
      <c r="CU51">
        <f>AL51*(c_Stroke2+c_MI2)</f>
        <v>-3.8775281860757046E-3</v>
      </c>
      <c r="CV51">
        <f>AM51*(c_HF1)</f>
        <v>0.92352267721069525</v>
      </c>
      <c r="CW51">
        <f>AN51*(c_HF2)</f>
        <v>5.4743725010369877</v>
      </c>
      <c r="CX51">
        <f>AO51*(c_Stroke2+c_HF1)</f>
        <v>2.957963017664425E-2</v>
      </c>
      <c r="CY51">
        <f>AP51*(c_Stroke1+c_Stroke2+c_HF2)</f>
        <v>0.18949772289107678</v>
      </c>
      <c r="CZ51">
        <f>AQ51*(c_Stroke2+c_HF2)</f>
        <v>-1.0524928096709763E-2</v>
      </c>
      <c r="DA51">
        <f>AR51*c_DM</f>
        <v>294.79380279481711</v>
      </c>
      <c r="DB51">
        <f>AS51*(c_Other+c_DM)</f>
        <v>248.13282246289762</v>
      </c>
      <c r="DC51">
        <f>AT51*(c_Stroke1+c_Stroke2+c_DM)</f>
        <v>29.705225355796237</v>
      </c>
      <c r="DD51">
        <f>AU51*(c_Stroke2+c_DM)</f>
        <v>11.145428247354387</v>
      </c>
      <c r="DE51">
        <f>AV51*(c_MI1+c_MI2+c_DM)</f>
        <v>21.748828432102883</v>
      </c>
      <c r="DF51">
        <f>AW51*(c_MI2+c_DM)</f>
        <v>21.701632430814094</v>
      </c>
      <c r="DG51">
        <f>AX51*(c_Stroke1+c_Stroke2+c_MI2+c_DM)</f>
        <v>1.6432310063580782</v>
      </c>
      <c r="DH51">
        <f>AY51*(c_Stroke2+c_MI1+c_MI2+c_DM)</f>
        <v>1.0672001025933076</v>
      </c>
      <c r="DI51">
        <f>AZ51*(c_Stroke2+c_MI2+c_DM)</f>
        <v>-0.34652278706580225</v>
      </c>
      <c r="DJ51">
        <f>BA51*(c_HF1+c_DM)</f>
        <v>17.098381434758817</v>
      </c>
      <c r="DK51">
        <f>BB51*(c_HF2+c_DM)</f>
        <v>117.83729515658351</v>
      </c>
      <c r="DL51">
        <f>BC51*(c_Stroke2+c_HF1+c_DM)</f>
        <v>0.69524493296735801</v>
      </c>
      <c r="DM51">
        <f>BD51*(c_Stroke1+c_Stroke2+c_HF2+c_DM)</f>
        <v>5.0000279368821037</v>
      </c>
      <c r="DN51">
        <f>BE51*(c_Stroke2+c_HF2+c_DM)</f>
        <v>-0.9228508556044166</v>
      </c>
      <c r="DO51">
        <f t="shared" si="64"/>
        <v>0</v>
      </c>
      <c r="DP51">
        <f t="shared" si="65"/>
        <v>793.27103742904103</v>
      </c>
      <c r="DQ51">
        <f>DP51/(1+r_)^A51</f>
        <v>191.97063988535754</v>
      </c>
    </row>
    <row r="52" spans="1:121" x14ac:dyDescent="0.3">
      <c r="A52">
        <v>49</v>
      </c>
      <c r="B52">
        <v>94</v>
      </c>
      <c r="C52">
        <f t="shared" si="0"/>
        <v>38</v>
      </c>
      <c r="D52">
        <f t="shared" si="1"/>
        <v>125</v>
      </c>
      <c r="E52">
        <f t="shared" si="2"/>
        <v>5.7</v>
      </c>
      <c r="F52">
        <v>0.19406999999999999</v>
      </c>
      <c r="G52">
        <v>0.23441000000000001</v>
      </c>
      <c r="H52">
        <f t="shared" si="52"/>
        <v>0.20213799999999998</v>
      </c>
      <c r="I52">
        <f t="shared" si="53"/>
        <v>5.6857293942168513E-2</v>
      </c>
      <c r="J52">
        <f t="shared" si="23"/>
        <v>0.46734738288396815</v>
      </c>
      <c r="K52">
        <f t="shared" si="24"/>
        <v>0.58610777401987046</v>
      </c>
      <c r="L52">
        <f t="shared" si="25"/>
        <v>0.25783761966499608</v>
      </c>
      <c r="M52">
        <f t="shared" si="26"/>
        <v>0.34138005873019373</v>
      </c>
      <c r="N52">
        <f t="shared" si="27"/>
        <v>0.84501591652541985</v>
      </c>
      <c r="O52">
        <f t="shared" si="28"/>
        <v>0.92823963460161052</v>
      </c>
      <c r="P52">
        <f t="shared" si="29"/>
        <v>0.6003219887503809</v>
      </c>
      <c r="Q52">
        <f t="shared" si="30"/>
        <v>0.72633389971969309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3.8434523704814441E-2</v>
      </c>
      <c r="U52">
        <f t="shared" si="31"/>
        <v>0.7461027779606304</v>
      </c>
      <c r="V52">
        <f t="shared" si="32"/>
        <v>0.85336805847648955</v>
      </c>
      <c r="W52">
        <f t="shared" si="33"/>
        <v>0.47740438548883557</v>
      </c>
      <c r="X52">
        <f t="shared" si="34"/>
        <v>0.59701064405551618</v>
      </c>
      <c r="Y52">
        <f t="shared" si="35"/>
        <v>0.95810619616771409</v>
      </c>
      <c r="Z52">
        <f t="shared" si="36"/>
        <v>0.98869910281074058</v>
      </c>
      <c r="AA52">
        <f t="shared" si="37"/>
        <v>0.78998556275782839</v>
      </c>
      <c r="AB52">
        <f t="shared" si="38"/>
        <v>0.88975838715027056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5.9869751777773587E-2</v>
      </c>
      <c r="AD52">
        <f t="shared" si="54"/>
        <v>2.80957963582101E-3</v>
      </c>
      <c r="AE52">
        <f t="shared" si="55"/>
        <v>6.4085837642731196E-4</v>
      </c>
      <c r="AF52">
        <f t="shared" si="56"/>
        <v>5.0685286504127951E-5</v>
      </c>
      <c r="AG52">
        <f t="shared" si="57"/>
        <v>3.9829249467273026E-5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3.1747791945817097E-5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8.4226419320884645E-5</v>
      </c>
      <c r="AJ52">
        <f t="shared" si="58"/>
        <v>1.5404548754542326E-6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8.6251217392161092E-7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-5.1963922528785034E-7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2.5370240788196605E-5</v>
      </c>
      <c r="AN52">
        <f t="shared" si="59"/>
        <v>2.3851122666474086E-4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5.8185981841359425E-7</v>
      </c>
      <c r="AP52">
        <f>AM51*T51*p_Stroke*p_Stroke_rec*(1-I51) + AN51*T51*p_Stroke*p_Stroke_rec*(1-I51) + AO51*(p_recur_Stroke*p_Stroke_rec)*(1-I51) + AP51*(p_recur_Stroke*p_Stroke_rec)*(1-I51) + AQ51*(p_recur_Stroke*p_Stroke_rec)*(1-I51)</f>
        <v>3.4349659278839859E-6</v>
      </c>
      <c r="AQ52">
        <f>AO51*(1-p_recur_Stroke-H51*rr_Stroke*rr_HF)*(1-I51) + AP51*(1-p_recur_Stroke-H51*rr_Stroke*rr_HF)*(1-I51) + AQ51*(1-p_recur_Stroke-H51*rr_Stroke*rr_HF)*(1-I51)</f>
        <v>-8.2013670968504209E-7</v>
      </c>
      <c r="AR52">
        <f>AR51*(1-AC51-H51*rr_DM) + AD51*(1-T51-H51)*I51</f>
        <v>1.8998360560801595E-2</v>
      </c>
      <c r="AS52">
        <f>AR51*AC51*p_Other + AD51*T51*p_Other*I51 + AE51*(1-T51*p_Stroke-T51*p_MI-H51*rr_Other)*I51 + AS51*(1-AC51*p_Stroke-AC51*p_MI-H51*rr_Other*rr_DM)</f>
        <v>6.3965038062996412E-3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6.0696741580212887E-4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3.0352644792991986E-4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3.9967571876616919E-4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1.0161086516477071E-3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3.0804607067581343E-5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1.4804745409700503E-5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-1.5684287452908245E-5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3.272941421107689E-4</v>
      </c>
      <c r="BB52">
        <f>AM51*(1-T51*p_Stroke - H51*rr_HF)*I51 + AN51*(1-T51*p_Stroke - H51*rr_HF)*I51 + BA51*(1-AC51*p_Stroke - H51*rr_HF*rr_DM) + BB51*(1-AC51*p_Stroke - H51*rr_HF*rr_DM)</f>
        <v>2.9056684676923412E-3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1.0022363425704749E-5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6.9649708411769997E-5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-2.7988996231072196E-5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0.96503839840451833</v>
      </c>
      <c r="BG52">
        <f t="shared" si="60"/>
        <v>0.99999999999999944</v>
      </c>
      <c r="BH52">
        <f>(0.9442 - 0.0007*$B52 - dis_BMI*($C52-21.75))*AD52</f>
        <v>2.3172710441342736E-3</v>
      </c>
      <c r="BI52">
        <f>0.959*(0.9442 - 0.0007*$B52 - dis_BMI*($C52-21.75))*AE52</f>
        <v>5.0689284475370492E-4</v>
      </c>
      <c r="BJ52">
        <f>(0.943*(0.9442 - 0.0007*$B52 - dis_BMI*($C52-21.75)) - 0.19*0.5)*AF52</f>
        <v>3.4606029399492776E-5</v>
      </c>
      <c r="BK52">
        <f>(0.943*(0.9442 - 0.0007*$B52 - dis_BMI*($C52-21.75)))*AG52</f>
        <v>3.0977709583296016E-5</v>
      </c>
      <c r="BL52">
        <f>(0.955*(0.9442 - 0.0007*$B52 - dis_BMI*($C52-21.75)) - 0.15*0.5)*AH52</f>
        <v>2.2625385376580007E-5</v>
      </c>
      <c r="BM52">
        <f>(0.955*(0.9442 - 0.0007*$B52 - dis_BMI*($C52-21.75)))*AI52</f>
        <v>6.634179197059042E-5</v>
      </c>
      <c r="BN52">
        <f>(0.955*0.943*(0.9442 - 0.0007*$B52 - dis_BMI*($C52-21.75)) - 0.19*0.5)*AJ52</f>
        <v>9.9785043844283116E-7</v>
      </c>
      <c r="BO52">
        <f>(0.955*0.943*(0.9442 - 0.0007*$B52 - dis_BMI*($C52-21.75)) - 0.15*0.5)*AK52</f>
        <v>5.7595414621766531E-7</v>
      </c>
      <c r="BP52">
        <f>(0.955*0.943*(0.9442 - 0.0007*$B52 - dis_BMI*($C52-21.75)))*AL52</f>
        <v>-3.8596904860785884E-7</v>
      </c>
      <c r="BQ52">
        <f>(0.93*(0.9442 - 0.0007*$B52 - dis_BMI*($C52-21.75)))*AM52</f>
        <v>1.9460008521858915E-5</v>
      </c>
      <c r="BR52">
        <f>(0.93*(0.9442 - 0.0007*$B52 - dis_BMI*($C52-21.75)))*AN52</f>
        <v>1.8294783018434283E-4</v>
      </c>
      <c r="BS52">
        <f>(0.93*0.943*(0.9442 - 0.0007*$B52 - dis_BMI*($C52-21.75)))*AO52</f>
        <v>4.2087051059471007E-7</v>
      </c>
      <c r="BT52">
        <f>(0.93*0.943*(0.9442 - 0.0007*$B52 - dis_BMI*($C52-21.75))-0.19*0.5)*AP52</f>
        <v>2.1582558244313312E-6</v>
      </c>
      <c r="BU52">
        <f>(0.93*0.943*(0.9442 - 0.0007*$B52 - dis_BMI*($C52-21.75)))*AQ52</f>
        <v>-5.9322081511608428E-7</v>
      </c>
      <c r="BV52">
        <f>0.962*(0.9442 - 0.0007*$B52 - dis_BMI*($C52-21.75))*AR52</f>
        <v>1.5073936663936801E-2</v>
      </c>
      <c r="BW52">
        <f>0.962*0.959*(0.9442 - 0.0007*$B52 - dis_BMI*($C52-21.75))*AS52</f>
        <v>4.867117492993382E-3</v>
      </c>
      <c r="BX52">
        <f>0.962*(0.943*(0.9442 - 0.0007*$B52 - dis_BMI*($C52-21.75)) - 0.19*0.5)*AT52</f>
        <v>3.9866702557116271E-4</v>
      </c>
      <c r="BY52">
        <f>0.962*(0.943*(0.9442 - 0.0007*$B52 - dis_BMI*($C52-21.75)))*AU52</f>
        <v>2.2710086727523065E-4</v>
      </c>
      <c r="BZ52">
        <f>0.962*(0.955*(0.9442 - 0.0007*$B52 - dis_BMI*($C52-21.75)) - 0.15*0.5)*AV52</f>
        <v>2.740092956829392E-4</v>
      </c>
      <c r="CA52">
        <f>0.962*(0.955*(0.9442 - 0.0007*$B52 - dis_BMI*($C52-21.75)))*AW52</f>
        <v>7.6993503340273871E-4</v>
      </c>
      <c r="CB52">
        <f>0.962*(0.955*0.943*(0.9442 - 0.0007*$B52 - dis_BMI*($C52-21.75)) - 0.19*0.5)*AX52</f>
        <v>1.9195844223820501E-5</v>
      </c>
      <c r="CC52">
        <f>0.962*(0.955*0.943*(0.9442 - 0.0007*$B52 - dis_BMI*($C52-21.75)) - 0.15*0.5)*AY52</f>
        <v>9.5103979738931003E-6</v>
      </c>
      <c r="CD52">
        <f>0.962*(0.955*0.943*(0.9442 - 0.0007*$B52 - dis_BMI*($C52-21.75)))*AZ52</f>
        <v>-1.1207026994211535E-5</v>
      </c>
      <c r="CE52">
        <f>0.962*(0.93*(0.9442 - 0.0007*$B52 - dis_BMI*($C52-21.75)))*BA52</f>
        <v>2.4150812235431123E-4</v>
      </c>
      <c r="CF52">
        <f>0.962*(0.93*(0.9442 - 0.0007*$B52 - dis_BMI*($C52-21.75)))*BB52</f>
        <v>2.144073008123101E-3</v>
      </c>
      <c r="CG52">
        <f>0.962*(0.93*0.943*(0.9442 - 0.0007*$B52 - dis_BMI*($C52-21.75)))*BC52</f>
        <v>6.9738941062067674E-6</v>
      </c>
      <c r="CH52">
        <f>0.962*(0.93*0.943*(0.9442 - 0.0007*$B52 - dis_BMI*($C52-21.75))-0.19*0.5)*BD52</f>
        <v>4.2099298831311148E-5</v>
      </c>
      <c r="CI52">
        <f>0.962*(0.93*0.943*(0.9442 - 0.0007*$B52 - dis_BMI*($C52-21.75)))*BE52</f>
        <v>-1.9475675303681412E-5</v>
      </c>
      <c r="CJ52">
        <f t="shared" si="61"/>
        <v>0</v>
      </c>
      <c r="CK52">
        <f t="shared" si="62"/>
        <v>2.7227740627157108E-2</v>
      </c>
      <c r="CL52">
        <f>CK52/(1+r_)^A52</f>
        <v>6.3971656158456625E-3</v>
      </c>
      <c r="CM52">
        <f t="shared" si="63"/>
        <v>0</v>
      </c>
      <c r="CN52">
        <f>AE52*c_Other</f>
        <v>9.1508167570055878</v>
      </c>
      <c r="CO52">
        <f>AF52*(c_Stroke1+c_Stroke2)</f>
        <v>1.2071207833823112</v>
      </c>
      <c r="CP52">
        <f>AG52*c_Stroke2</f>
        <v>0.25889012153727464</v>
      </c>
      <c r="CQ52">
        <f>AH52*(c_MI1+c_MI2)</f>
        <v>0.92547988301251416</v>
      </c>
      <c r="CR52">
        <f>AI52*c_MI2</f>
        <v>0.26253374902319743</v>
      </c>
      <c r="CS52">
        <f>AJ52*(c_Stroke1+c_Stroke2+c_MI2)</f>
        <v>4.1489071160608848E-2</v>
      </c>
      <c r="CT52">
        <f>AK52*(c_Stroke2+c_MI1+c_MI2)</f>
        <v>3.074942151247935E-2</v>
      </c>
      <c r="CU52">
        <f>AL52*(c_Stroke2+c_MI2)</f>
        <v>-4.9973704295932569E-3</v>
      </c>
      <c r="CV52">
        <f>AM52*(c_HF1)</f>
        <v>0.68575760850495426</v>
      </c>
      <c r="CW52">
        <f>AN52*(c_HF2)</f>
        <v>3.7219676921032812</v>
      </c>
      <c r="CX52">
        <f>AO52*(c_Stroke2+c_HF1)</f>
        <v>1.9509759711407816E-2</v>
      </c>
      <c r="CY52">
        <f>AP52*(c_Stroke1+c_Stroke2+c_HF2)</f>
        <v>0.13540979184311461</v>
      </c>
      <c r="CZ52">
        <f>AQ52*(c_Stroke2+c_HF2)</f>
        <v>-1.8129121967587855E-2</v>
      </c>
      <c r="DA52">
        <f>AR52*c_DM</f>
        <v>217.05626940715823</v>
      </c>
      <c r="DB52">
        <f>AS52*(c_Other+c_DM)</f>
        <v>164.41573383712597</v>
      </c>
      <c r="DC52">
        <f>AT52*(c_Stroke1+c_Stroke2+c_DM)</f>
        <v>21.390138700282822</v>
      </c>
      <c r="DD52">
        <f>AU52*(c_Stroke2+c_DM)</f>
        <v>5.4407115791438132</v>
      </c>
      <c r="DE52">
        <f>AV52*(c_MI1+c_MI2+c_DM)</f>
        <v>16.217241964656083</v>
      </c>
      <c r="DF52">
        <f>AW52*(c_MI2+c_DM)</f>
        <v>14.776252012260956</v>
      </c>
      <c r="DG52">
        <f>AX52*(c_Stroke1+c_Stroke2+c_MI2+c_DM)</f>
        <v>1.1816031178982851</v>
      </c>
      <c r="DH52">
        <f>AY52*(c_Stroke2+c_MI1+c_MI2+c_DM)</f>
        <v>0.69694819490706084</v>
      </c>
      <c r="DI52">
        <f>AZ52*(c_Stroke2+c_MI2+c_DM)</f>
        <v>-0.3300287765840953</v>
      </c>
      <c r="DJ52">
        <f>BA52*(c_HF1+c_DM)</f>
        <v>12.586096234869618</v>
      </c>
      <c r="DK52">
        <f>BB52*(c_HF2+c_DM)</f>
        <v>78.540218681723985</v>
      </c>
      <c r="DL52">
        <f>BC52*(c_Stroke2+c_HF1+c_DM)</f>
        <v>0.45055534780255702</v>
      </c>
      <c r="DM52">
        <f>BD52*(c_Stroke1+c_Stroke2+c_HF2+c_DM)</f>
        <v>3.5414090739048572</v>
      </c>
      <c r="DN52">
        <f>BE52*(c_Stroke2+c_HF2+c_DM)</f>
        <v>-0.93847104362785072</v>
      </c>
      <c r="DO52">
        <f t="shared" si="64"/>
        <v>0</v>
      </c>
      <c r="DP52">
        <f t="shared" si="65"/>
        <v>551.44127647792197</v>
      </c>
      <c r="DQ52">
        <f>DP52/(1+r_)^A52</f>
        <v>129.56128903050052</v>
      </c>
    </row>
    <row r="53" spans="1:121" x14ac:dyDescent="0.3">
      <c r="A53">
        <v>50</v>
      </c>
      <c r="B53">
        <v>95</v>
      </c>
      <c r="C53">
        <f t="shared" si="0"/>
        <v>38</v>
      </c>
      <c r="D53">
        <f t="shared" si="1"/>
        <v>125</v>
      </c>
      <c r="E53">
        <f t="shared" si="2"/>
        <v>5.7</v>
      </c>
      <c r="F53">
        <v>0.21340000000000001</v>
      </c>
      <c r="G53">
        <v>0.25403999999999999</v>
      </c>
      <c r="H53">
        <f t="shared" si="52"/>
        <v>0.221528</v>
      </c>
      <c r="I53">
        <f t="shared" si="53"/>
        <v>5.6857293942168513E-2</v>
      </c>
      <c r="J53">
        <f t="shared" si="23"/>
        <v>0.47705909809177183</v>
      </c>
      <c r="K53">
        <f t="shared" si="24"/>
        <v>0.59663769764452113</v>
      </c>
      <c r="L53">
        <f t="shared" si="25"/>
        <v>0.26427452917450467</v>
      </c>
      <c r="M53">
        <f t="shared" si="26"/>
        <v>0.34936621027907599</v>
      </c>
      <c r="N53">
        <f t="shared" si="27"/>
        <v>0.8543973619982641</v>
      </c>
      <c r="O53">
        <f t="shared" si="28"/>
        <v>0.93429969109075583</v>
      </c>
      <c r="P53">
        <f t="shared" si="29"/>
        <v>0.61241117102745024</v>
      </c>
      <c r="Q53">
        <f t="shared" si="30"/>
        <v>0.73795665279346301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3.922434468957807E-2</v>
      </c>
      <c r="U53">
        <f t="shared" si="31"/>
        <v>0.75606951330453365</v>
      </c>
      <c r="V53">
        <f t="shared" si="32"/>
        <v>0.86136546653747215</v>
      </c>
      <c r="W53">
        <f t="shared" si="33"/>
        <v>0.48721835499574173</v>
      </c>
      <c r="X53">
        <f t="shared" si="34"/>
        <v>0.60756934605160184</v>
      </c>
      <c r="Y53">
        <f t="shared" si="35"/>
        <v>0.96232921935566318</v>
      </c>
      <c r="Z53">
        <f t="shared" si="36"/>
        <v>0.99027453661202558</v>
      </c>
      <c r="AA53">
        <f t="shared" si="37"/>
        <v>0.80068003731234694</v>
      </c>
      <c r="AB53">
        <f t="shared" si="38"/>
        <v>0.8976063472683351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6.0785648556247636E-2</v>
      </c>
      <c r="AD53">
        <f t="shared" si="54"/>
        <v>2.0123571577776978E-3</v>
      </c>
      <c r="AE53">
        <f t="shared" si="55"/>
        <v>4.178467188434085E-4</v>
      </c>
      <c r="AF53">
        <f t="shared" si="56"/>
        <v>3.5890671326338761E-5</v>
      </c>
      <c r="AG53">
        <f t="shared" si="57"/>
        <v>2.0390386925487401E-5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2.3225375725791482E-5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5.6624179114098735E-5</v>
      </c>
      <c r="AJ53">
        <f t="shared" si="58"/>
        <v>1.0856592118234998E-6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5.5645474604881212E-7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-4.8625338878707171E-7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1.8297045347833776E-5</v>
      </c>
      <c r="AN53">
        <f t="shared" si="59"/>
        <v>1.5511784319472265E-4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3.7082654948799534E-7</v>
      </c>
      <c r="AP53">
        <f>AM52*T52*p_Stroke*p_Stroke_rec*(1-I52) + AN52*T52*p_Stroke*p_Stroke_rec*(1-I52) + AO52*(p_recur_Stroke*p_Stroke_rec)*(1-I52) + AP52*(p_recur_Stroke*p_Stroke_rec)*(1-I52) + AQ52*(p_recur_Stroke*p_Stroke_rec)*(1-I52)</f>
        <v>2.3569091063362348E-6</v>
      </c>
      <c r="AQ53">
        <f>AO52*(1-p_recur_Stroke-H52*rr_Stroke*rr_HF)*(1-I52) + AP52*(1-p_recur_Stroke-H52*rr_Stroke*rr_HF)*(1-I52) + AQ52*(1-p_recur_Stroke-H52*rr_Stroke*rr_HF)*(1-I52)</f>
        <v>-8.1855254940118658E-7</v>
      </c>
      <c r="AR53">
        <f>AR52*(1-AC52-H52*rr_DM) + AD52*(1-T52-H52)*I52</f>
        <v>1.3565914046250748E-2</v>
      </c>
      <c r="AS53">
        <f>AR52*AC52*p_Other + AD52*T52*p_Other*I52 + AE52*(1-T52*p_Stroke-T52*p_MI-H52*rr_Other)*I52 + AS52*(1-AC52*p_Stroke-AC52*p_MI-H52*rr_Other*rr_DM)</f>
        <v>4.0497942737905707E-3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4.24395491478271E-4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1.2799995566551431E-4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2.8788512703214315E-4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6.6153416931445696E-4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2.1304954678403596E-5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9.2983852976036924E-6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-1.2708601358684214E-5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2.3212341839386167E-4</v>
      </c>
      <c r="BB53">
        <f>AM52*(1-T52*p_Stroke - H52*rr_HF)*I52 + AN52*(1-T52*p_Stroke - H52*rr_HF)*I52 + BA52*(1-AC52*p_Stroke - H52*rr_HF*rr_DM) + BB52*(1-AC52*p_Stroke - H52*rr_HF*rr_DM)</f>
        <v>1.8300107251083861E-3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6.2246073503197171E-6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4.6804488803288984E-5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-2.3008220871807647E-5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0.97602961275713551</v>
      </c>
      <c r="BG53">
        <f t="shared" si="60"/>
        <v>0.99999999999999944</v>
      </c>
      <c r="BH53">
        <f>(0.9442 - 0.0007*$B53 - dis_BMI*($C53-21.75))*AD53</f>
        <v>1.6583332247956564E-3</v>
      </c>
      <c r="BI53">
        <f>0.959*(0.9442 - 0.0007*$B53 - dis_BMI*($C53-21.75))*AE53</f>
        <v>3.3021921640281573E-4</v>
      </c>
      <c r="BJ53">
        <f>(0.943*(0.9442 - 0.0007*$B53 - dis_BMI*($C53-21.75)) - 0.19*0.5)*AF53</f>
        <v>2.4481124713775035E-5</v>
      </c>
      <c r="BK53">
        <f>(0.943*(0.9442 - 0.0007*$B53 - dis_BMI*($C53-21.75)))*AG53</f>
        <v>1.5845425243600632E-5</v>
      </c>
      <c r="BL53">
        <f>(0.955*(0.9442 - 0.0007*$B53 - dis_BMI*($C53-21.75)) - 0.15*0.5)*AH53</f>
        <v>1.6536273004241832E-5</v>
      </c>
      <c r="BM53">
        <f>(0.955*(0.9442 - 0.0007*$B53 - dis_BMI*($C53-21.75)))*AI53</f>
        <v>4.4562754735295621E-5</v>
      </c>
      <c r="BN53">
        <f>(0.955*0.943*(0.9442 - 0.0007*$B53 - dis_BMI*($C53-21.75)) - 0.19*0.5)*AJ53</f>
        <v>7.0256601386933873E-7</v>
      </c>
      <c r="BO53">
        <f>(0.955*0.943*(0.9442 - 0.0007*$B53 - dis_BMI*($C53-21.75)) - 0.15*0.5)*AK53</f>
        <v>3.7122938106283682E-7</v>
      </c>
      <c r="BP53">
        <f>(0.955*0.943*(0.9442 - 0.0007*$B53 - dis_BMI*($C53-21.75)))*AL53</f>
        <v>-3.6086473596090656E-7</v>
      </c>
      <c r="BQ53">
        <f>(0.93*(0.9442 - 0.0007*$B53 - dis_BMI*($C53-21.75)))*AM53</f>
        <v>1.4022668009864992E-5</v>
      </c>
      <c r="BR53">
        <f>(0.93*(0.9442 - 0.0007*$B53 - dis_BMI*($C53-21.75)))*AN53</f>
        <v>1.1888072506654271E-4</v>
      </c>
      <c r="BS53">
        <f>(0.93*0.943*(0.9442 - 0.0007*$B53 - dis_BMI*($C53-21.75)))*AO53</f>
        <v>2.6799839956180575E-7</v>
      </c>
      <c r="BT53">
        <f>(0.93*0.943*(0.9442 - 0.0007*$B53 - dis_BMI*($C53-21.75))-0.19*0.5)*AP53</f>
        <v>1.4794448897714766E-6</v>
      </c>
      <c r="BU53">
        <f>(0.93*0.943*(0.9442 - 0.0007*$B53 - dis_BMI*($C53-21.75)))*AQ53</f>
        <v>-5.9157245752668415E-7</v>
      </c>
      <c r="BV53">
        <f>0.962*(0.9442 - 0.0007*$B53 - dis_BMI*($C53-21.75))*AR53</f>
        <v>1.075451605419285E-2</v>
      </c>
      <c r="BW53">
        <f>0.962*0.959*(0.9442 - 0.0007*$B53 - dis_BMI*($C53-21.75))*AS53</f>
        <v>3.0788843798050204E-3</v>
      </c>
      <c r="BX53">
        <f>0.962*(0.943*(0.9442 - 0.0007*$B53 - dis_BMI*($C53-21.75)) - 0.19*0.5)*AT53</f>
        <v>2.7848103100887127E-4</v>
      </c>
      <c r="BY53">
        <f>0.962*(0.943*(0.9442 - 0.0007*$B53 - dis_BMI*($C53-21.75)))*AU53</f>
        <v>9.5689288002343435E-5</v>
      </c>
      <c r="BZ53">
        <f>0.962*(0.955*(0.9442 - 0.0007*$B53 - dis_BMI*($C53-21.75)) - 0.15*0.5)*AV53</f>
        <v>1.9718287103140703E-4</v>
      </c>
      <c r="CA53">
        <f>0.962*(0.955*(0.9442 - 0.0007*$B53 - dis_BMI*($C53-21.75)))*AW53</f>
        <v>5.0083822056754077E-4</v>
      </c>
      <c r="CB53">
        <f>0.962*(0.955*0.943*(0.9442 - 0.0007*$B53 - dis_BMI*($C53-21.75)) - 0.19*0.5)*AX53</f>
        <v>1.3263230043148313E-5</v>
      </c>
      <c r="CC53">
        <f>0.962*(0.955*0.943*(0.9442 - 0.0007*$B53 - dis_BMI*($C53-21.75)) - 0.15*0.5)*AY53</f>
        <v>5.9675367267030378E-6</v>
      </c>
      <c r="CD53">
        <f>0.962*(0.955*0.943*(0.9442 - 0.0007*$B53 - dis_BMI*($C53-21.75)))*AZ53</f>
        <v>-9.0730777505470922E-6</v>
      </c>
      <c r="CE53">
        <f>0.962*(0.93*(0.9442 - 0.0007*$B53 - dis_BMI*($C53-21.75)))*BA53</f>
        <v>1.7113692226552042E-4</v>
      </c>
      <c r="CF53">
        <f>0.962*(0.93*(0.9442 - 0.0007*$B53 - dis_BMI*($C53-21.75)))*BB53</f>
        <v>1.3492064065528358E-3</v>
      </c>
      <c r="CG53">
        <f>0.962*(0.93*0.943*(0.9442 - 0.0007*$B53 - dis_BMI*($C53-21.75)))*BC53</f>
        <v>4.3276129697461359E-6</v>
      </c>
      <c r="CH53">
        <f>0.962*(0.93*0.943*(0.9442 - 0.0007*$B53 - dis_BMI*($C53-21.75))-0.19*0.5)*BD53</f>
        <v>2.8263018056883127E-5</v>
      </c>
      <c r="CI53">
        <f>0.962*(0.93*0.943*(0.9442 - 0.0007*$B53 - dis_BMI*($C53-21.75)))*BE53</f>
        <v>-1.5996298152124281E-5</v>
      </c>
      <c r="CJ53">
        <f t="shared" si="61"/>
        <v>0</v>
      </c>
      <c r="CK53">
        <f t="shared" si="62"/>
        <v>1.8677437408782766E-2</v>
      </c>
      <c r="CL53">
        <f>CK53/(1+r_)^A53</f>
        <v>4.2604557052733465E-3</v>
      </c>
      <c r="CM53">
        <f t="shared" si="63"/>
        <v>0</v>
      </c>
      <c r="CN53">
        <f>AE53*c_Other</f>
        <v>5.9664332983650299</v>
      </c>
      <c r="CO53">
        <f>AF53*(c_Stroke1+c_Stroke2)</f>
        <v>0.85477222830808397</v>
      </c>
      <c r="CP53">
        <f>AG53*c_Stroke2</f>
        <v>0.1325375150156681</v>
      </c>
      <c r="CQ53">
        <f>AH53*(c_MI1+c_MI2)</f>
        <v>0.67704292778254749</v>
      </c>
      <c r="CR53">
        <f>AI53*c_MI2</f>
        <v>0.17649756629864577</v>
      </c>
      <c r="CS53">
        <f>AJ53*(c_Stroke1+c_Stroke2+c_MI2)</f>
        <v>2.924005955204232E-2</v>
      </c>
      <c r="CT53">
        <f>AK53*(c_Stroke2+c_MI1+c_MI2)</f>
        <v>1.9838168151386202E-2</v>
      </c>
      <c r="CU53">
        <f>AL53*(c_Stroke2+c_MI2)</f>
        <v>-4.676298839965269E-3</v>
      </c>
      <c r="CV53">
        <f>AM53*(c_HF1)</f>
        <v>0.49456913575194694</v>
      </c>
      <c r="CW53">
        <f>AN53*(c_HF2)</f>
        <v>2.4206139430536471</v>
      </c>
      <c r="CX53">
        <f>AO53*(c_Stroke2+c_HF1)</f>
        <v>1.2433814204332485E-2</v>
      </c>
      <c r="CY53">
        <f>AP53*(c_Stroke1+c_Stroke2+c_HF2)</f>
        <v>9.2911713880880709E-2</v>
      </c>
      <c r="CZ53">
        <f>AQ53*(c_Stroke2+c_HF2)</f>
        <v>-1.8094104104513231E-2</v>
      </c>
      <c r="DA53">
        <f>AR53*c_DM</f>
        <v>154.99056797841479</v>
      </c>
      <c r="DB53">
        <f>AS53*(c_Other+c_DM)</f>
        <v>104.09591201351283</v>
      </c>
      <c r="DC53">
        <f>AT53*(c_Stroke1+c_Stroke2+c_DM)</f>
        <v>14.956121515185748</v>
      </c>
      <c r="DD53">
        <f>AU53*(c_Stroke2+c_DM)</f>
        <v>2.294399205304344</v>
      </c>
      <c r="DE53">
        <f>AV53*(c_MI1+c_MI2+c_DM)</f>
        <v>11.681226914456241</v>
      </c>
      <c r="DF53">
        <f>AW53*(c_MI2+c_DM)</f>
        <v>9.6200298901708337</v>
      </c>
      <c r="DG53">
        <f>AX53*(c_Stroke1+c_Stroke2+c_MI2+c_DM)</f>
        <v>0.81721545155420516</v>
      </c>
      <c r="DH53">
        <f>AY53*(c_Stroke2+c_MI1+c_MI2+c_DM)</f>
        <v>0.4377307862699914</v>
      </c>
      <c r="DI53">
        <f>AZ53*(c_Stroke2+c_MI2+c_DM)</f>
        <v>-0.26741438978943322</v>
      </c>
      <c r="DJ53">
        <f>BA53*(c_HF1+c_DM)</f>
        <v>8.9263060543359511</v>
      </c>
      <c r="DK53">
        <f>BB53*(c_HF2+c_DM)</f>
        <v>49.465189899679679</v>
      </c>
      <c r="DL53">
        <f>BC53*(c_Stroke2+c_HF1+c_DM)</f>
        <v>0.27982722343362287</v>
      </c>
      <c r="DM53">
        <f>BD53*(c_Stroke1+c_Stroke2+c_HF2+c_DM)</f>
        <v>2.3798210376920315</v>
      </c>
      <c r="DN53">
        <f>BE53*(c_Stroke2+c_HF2+c_DM)</f>
        <v>-0.7714656458317104</v>
      </c>
      <c r="DO53">
        <f t="shared" si="64"/>
        <v>0</v>
      </c>
      <c r="DP53">
        <f t="shared" si="65"/>
        <v>369.75958790180886</v>
      </c>
      <c r="DQ53">
        <f>DP53/(1+r_)^A53</f>
        <v>84.34477982054446</v>
      </c>
    </row>
    <row r="54" spans="1:121" x14ac:dyDescent="0.3">
      <c r="A54">
        <v>51</v>
      </c>
      <c r="B54">
        <v>96</v>
      </c>
      <c r="C54">
        <f t="shared" si="0"/>
        <v>38</v>
      </c>
      <c r="D54">
        <f t="shared" si="1"/>
        <v>125</v>
      </c>
      <c r="E54">
        <f t="shared" si="2"/>
        <v>5.7</v>
      </c>
      <c r="F54">
        <v>0.23330999999999999</v>
      </c>
      <c r="G54">
        <v>0.27490999999999999</v>
      </c>
      <c r="H54">
        <f t="shared" si="52"/>
        <v>0.24162999999999998</v>
      </c>
      <c r="I54">
        <f t="shared" si="53"/>
        <v>5.6857293942168513E-2</v>
      </c>
      <c r="J54">
        <f t="shared" si="23"/>
        <v>0.48676642353768651</v>
      </c>
      <c r="K54">
        <f t="shared" si="24"/>
        <v>0.60708488363239388</v>
      </c>
      <c r="L54">
        <f t="shared" si="25"/>
        <v>0.27077175042576651</v>
      </c>
      <c r="M54">
        <f t="shared" si="26"/>
        <v>0.35739886097648232</v>
      </c>
      <c r="N54">
        <f t="shared" si="27"/>
        <v>0.86340290216886395</v>
      </c>
      <c r="O54">
        <f t="shared" si="28"/>
        <v>0.93996723066081522</v>
      </c>
      <c r="P54">
        <f t="shared" si="29"/>
        <v>0.62439424680933819</v>
      </c>
      <c r="Q54">
        <f t="shared" si="30"/>
        <v>0.74933057761704647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4.0013219832516503E-2</v>
      </c>
      <c r="U54">
        <f t="shared" si="31"/>
        <v>0.7658165158956004</v>
      </c>
      <c r="V54">
        <f t="shared" si="32"/>
        <v>0.86906101325926388</v>
      </c>
      <c r="W54">
        <f t="shared" si="33"/>
        <v>0.4970223780322961</v>
      </c>
      <c r="X54">
        <f t="shared" si="34"/>
        <v>0.61803684389203239</v>
      </c>
      <c r="Y54">
        <f t="shared" si="35"/>
        <v>0.96620740205007483</v>
      </c>
      <c r="Z54">
        <f t="shared" si="36"/>
        <v>0.99165855689089155</v>
      </c>
      <c r="AA54">
        <f t="shared" si="37"/>
        <v>0.81105216135940261</v>
      </c>
      <c r="AB54">
        <f t="shared" si="38"/>
        <v>0.90505345593912356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6.1689034985394242E-2</v>
      </c>
      <c r="AD54">
        <f t="shared" si="54"/>
        <v>1.4030476766909792E-3</v>
      </c>
      <c r="AE54">
        <f t="shared" si="55"/>
        <v>2.6220467784723872E-4</v>
      </c>
      <c r="AF54">
        <f t="shared" si="56"/>
        <v>2.4883696382552811E-5</v>
      </c>
      <c r="AG54">
        <f t="shared" si="57"/>
        <v>9.4477936335602772E-6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1.6534178943590951E-5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3.6665508795044876E-5</v>
      </c>
      <c r="AJ54">
        <f t="shared" si="58"/>
        <v>7.4541098753213451E-7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3.5132036776271172E-7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-4.0296487435974305E-7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1.2821019620916914E-5</v>
      </c>
      <c r="AN54">
        <f t="shared" si="59"/>
        <v>9.6137202923207986E-5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2.316190757244391E-7</v>
      </c>
      <c r="AP54">
        <f>AM53*T53*p_Stroke*p_Stroke_rec*(1-I53) + AN53*T53*p_Stroke*p_Stroke_rec*(1-I53) + AO53*(p_recur_Stroke*p_Stroke_rec)*(1-I53) + AP53*(p_recur_Stroke*p_Stroke_rec)*(1-I53) + AQ53*(p_recur_Stroke*p_Stroke_rec)*(1-I53)</f>
        <v>1.5562751367909992E-6</v>
      </c>
      <c r="AQ54">
        <f>AO53*(1-p_recur_Stroke-H53*rr_Stroke*rr_HF)*(1-I53) + AP53*(1-p_recur_Stroke-H53*rr_Stroke*rr_HF)*(1-I53) + AQ53*(1-p_recur_Stroke-H53*rr_Stroke*rr_HF)*(1-I53)</f>
        <v>-6.8776297143890266E-7</v>
      </c>
      <c r="AR54">
        <f>AR53*(1-AC53-H53*rr_DM) + AD53*(1-T53-H53)*I53</f>
        <v>9.3698695186709025E-3</v>
      </c>
      <c r="AS54">
        <f>AR53*AC53*p_Other + AD53*T53*p_Other*I53 + AE53*(1-T53*p_Stroke-T53*p_MI-H53*rr_Other)*I53 + AS53*(1-AC53*p_Stroke-AC53*p_MI-H53*rr_Other*rr_DM)</f>
        <v>2.4481050592235062E-3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2.8906209447050318E-4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3.8815830186359999E-5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2.0045925286109971E-4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4.098938004492847E-4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1.4232178115220144E-5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5.7021189236127463E-6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-9.5796582547909165E-6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1.5871410768206534E-4</v>
      </c>
      <c r="BB54">
        <f>AM53*(1-T53*p_Stroke - H53*rr_HF)*I53 + AN53*(1-T53*p_Stroke - H53*rr_HF)*I53 + BA53*(1-AC53*p_Stroke - H53*rr_HF*rr_DM) + BB53*(1-AC53*p_Stroke - H53*rr_HF*rr_DM)</f>
        <v>1.0829744839731881E-3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3.7806523715940884E-6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2.9931795507870879E-5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-1.719088271151688E-5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0.98411169399597143</v>
      </c>
      <c r="BG54">
        <f t="shared" si="60"/>
        <v>0.99999999999999944</v>
      </c>
      <c r="BH54">
        <f>(0.9442 - 0.0007*$B54 - dis_BMI*($C54-21.75))*AD54</f>
        <v>1.1552343807954349E-3</v>
      </c>
      <c r="BI54">
        <f>0.959*(0.9442 - 0.0007*$B54 - dis_BMI*($C54-21.75))*AE54</f>
        <v>2.070411727809489E-4</v>
      </c>
      <c r="BJ54">
        <f>(0.943*(0.9442 - 0.0007*$B54 - dis_BMI*($C54-21.75)) - 0.19*0.5)*AF54</f>
        <v>1.695681138262979E-5</v>
      </c>
      <c r="BK54">
        <f>(0.943*(0.9442 - 0.0007*$B54 - dis_BMI*($C54-21.75)))*AG54</f>
        <v>7.3356696892998289E-6</v>
      </c>
      <c r="BL54">
        <f>(0.955*(0.9442 - 0.0007*$B54 - dis_BMI*($C54-21.75)) - 0.15*0.5)*AH54</f>
        <v>1.1761143835464313E-5</v>
      </c>
      <c r="BM54">
        <f>(0.955*(0.9442 - 0.0007*$B54 - dis_BMI*($C54-21.75)))*AI54</f>
        <v>2.8830937455434667E-5</v>
      </c>
      <c r="BN54">
        <f>(0.955*0.943*(0.9442 - 0.0007*$B54 - dis_BMI*($C54-21.75)) - 0.19*0.5)*AJ54</f>
        <v>4.8191022117389185E-7</v>
      </c>
      <c r="BO54">
        <f>(0.955*0.943*(0.9442 - 0.0007*$B54 - dis_BMI*($C54-21.75)) - 0.15*0.5)*AK54</f>
        <v>2.3415597609416787E-7</v>
      </c>
      <c r="BP54">
        <f>(0.955*0.943*(0.9442 - 0.0007*$B54 - dis_BMI*($C54-21.75)))*AL54</f>
        <v>-2.9879954511329372E-7</v>
      </c>
      <c r="BQ54">
        <f>(0.93*(0.9442 - 0.0007*$B54 - dis_BMI*($C54-21.75)))*AM54</f>
        <v>9.8175515382463917E-6</v>
      </c>
      <c r="BR54">
        <f>(0.93*(0.9442 - 0.0007*$B54 - dis_BMI*($C54-21.75)))*AN54</f>
        <v>7.3615981594913634E-5</v>
      </c>
      <c r="BS54">
        <f>(0.93*0.943*(0.9442 - 0.0007*$B54 - dis_BMI*($C54-21.75)))*AO54</f>
        <v>1.6725019853466826E-7</v>
      </c>
      <c r="BT54">
        <f>(0.93*0.943*(0.9442 - 0.0007*$B54 - dis_BMI*($C54-21.75))-0.19*0.5)*AP54</f>
        <v>9.7592712976683597E-7</v>
      </c>
      <c r="BU54">
        <f>(0.93*0.943*(0.9442 - 0.0007*$B54 - dis_BMI*($C54-21.75)))*AQ54</f>
        <v>-4.9662789283729408E-7</v>
      </c>
      <c r="BV54">
        <f>0.962*(0.9442 - 0.0007*$B54 - dis_BMI*($C54-21.75))*AR54</f>
        <v>7.4217494949680987E-3</v>
      </c>
      <c r="BW54">
        <f>0.962*0.959*(0.9442 - 0.0007*$B54 - dis_BMI*($C54-21.75))*AS54</f>
        <v>1.8596080052381289E-3</v>
      </c>
      <c r="BX54">
        <f>0.962*(0.943*(0.9442 - 0.0007*$B54 - dis_BMI*($C54-21.75)) - 0.19*0.5)*AT54</f>
        <v>1.894940216111065E-4</v>
      </c>
      <c r="BY54">
        <f>0.962*(0.943*(0.9442 - 0.0007*$B54 - dis_BMI*($C54-21.75)))*AU54</f>
        <v>2.8993011008356429E-5</v>
      </c>
      <c r="BZ54">
        <f>0.962*(0.955*(0.9442 - 0.0007*$B54 - dis_BMI*($C54-21.75)) - 0.15*0.5)*AV54</f>
        <v>1.3717283269747038E-4</v>
      </c>
      <c r="CA54">
        <f>0.962*(0.955*(0.9442 - 0.0007*$B54 - dis_BMI*($C54-21.75)))*AW54</f>
        <v>3.1006123307208641E-4</v>
      </c>
      <c r="CB54">
        <f>0.962*(0.955*0.943*(0.9442 - 0.0007*$B54 - dis_BMI*($C54-21.75)) - 0.19*0.5)*AX54</f>
        <v>8.8514982925207152E-6</v>
      </c>
      <c r="CC54">
        <f>0.962*(0.955*0.943*(0.9442 - 0.0007*$B54 - dis_BMI*($C54-21.75)) - 0.15*0.5)*AY54</f>
        <v>3.6560595450056363E-6</v>
      </c>
      <c r="CD54">
        <f>0.962*(0.955*0.943*(0.9442 - 0.0007*$B54 - dis_BMI*($C54-21.75)))*AZ54</f>
        <v>-6.8334155108440364E-6</v>
      </c>
      <c r="CE54">
        <f>0.962*(0.93*(0.9442 - 0.0007*$B54 - dis_BMI*($C54-21.75)))*BA54</f>
        <v>1.1691526781172457E-4</v>
      </c>
      <c r="CF54">
        <f>0.962*(0.93*(0.9442 - 0.0007*$B54 - dis_BMI*($C54-21.75)))*BB54</f>
        <v>7.9776305758922218E-4</v>
      </c>
      <c r="CG54">
        <f>0.962*(0.93*0.943*(0.9442 - 0.0007*$B54 - dis_BMI*($C54-21.75)))*BC54</f>
        <v>2.6262383319120772E-6</v>
      </c>
      <c r="CH54">
        <f>0.962*(0.93*0.943*(0.9442 - 0.0007*$B54 - dis_BMI*($C54-21.75))-0.19*0.5)*BD54</f>
        <v>1.8056719577307704E-5</v>
      </c>
      <c r="CI54">
        <f>0.962*(0.93*0.943*(0.9442 - 0.0007*$B54 - dis_BMI*($C54-21.75)))*BE54</f>
        <v>-1.1941683788651047E-5</v>
      </c>
      <c r="CJ54">
        <f t="shared" si="61"/>
        <v>0</v>
      </c>
      <c r="CK54">
        <f t="shared" si="62"/>
        <v>1.2387829805603436E-2</v>
      </c>
      <c r="CL54">
        <f>CK54/(1+r_)^A54</f>
        <v>2.7434482348433742E-3</v>
      </c>
      <c r="CM54">
        <f t="shared" si="63"/>
        <v>0</v>
      </c>
      <c r="CN54">
        <f>AE54*c_Other</f>
        <v>3.7440205949807215</v>
      </c>
      <c r="CO54">
        <f>AF54*(c_Stroke1+c_Stroke2)</f>
        <v>0.59263011304687774</v>
      </c>
      <c r="CP54">
        <f>AG54*c_Stroke2</f>
        <v>6.1410658618141802E-2</v>
      </c>
      <c r="CQ54">
        <f>AH54*(c_MI1+c_MI2)</f>
        <v>0.48198785038461983</v>
      </c>
      <c r="CR54">
        <f>AI54*c_MI2</f>
        <v>0.11428639091415488</v>
      </c>
      <c r="CS54">
        <f>AJ54*(c_Stroke1+c_Stroke2+c_MI2)</f>
        <v>2.007615412720298E-2</v>
      </c>
      <c r="CT54">
        <f>AK54*(c_Stroke2+c_MI1+c_MI2)</f>
        <v>1.2524922431108436E-2</v>
      </c>
      <c r="CU54">
        <f>AL54*(c_Stroke2+c_MI2)</f>
        <v>-3.8753131967176487E-3</v>
      </c>
      <c r="CV54">
        <f>AM54*(c_HF1)</f>
        <v>0.34655216035338421</v>
      </c>
      <c r="CW54">
        <f>AN54*(c_HF2)</f>
        <v>1.5002210516166605</v>
      </c>
      <c r="CX54">
        <f>AO54*(c_Stroke2+c_HF1)</f>
        <v>7.766187609040443E-3</v>
      </c>
      <c r="CY54">
        <f>AP54*(c_Stroke1+c_Stroke2+c_HF2)</f>
        <v>6.1349922167437981E-2</v>
      </c>
      <c r="CZ54">
        <f>AQ54*(c_Stroke2+c_HF2)</f>
        <v>-1.5203000483656944E-2</v>
      </c>
      <c r="DA54">
        <f>AR54*c_DM</f>
        <v>107.05075925081506</v>
      </c>
      <c r="DB54">
        <f>AS54*(c_Other+c_DM)</f>
        <v>62.926092442281004</v>
      </c>
      <c r="DC54">
        <f>AT54*(c_Stroke1+c_Stroke2+c_DM)</f>
        <v>10.186837271235003</v>
      </c>
      <c r="DD54">
        <f>AU54*(c_Stroke2+c_DM)</f>
        <v>0.69577375609050296</v>
      </c>
      <c r="DE54">
        <f>AV54*(c_MI1+c_MI2+c_DM)</f>
        <v>8.1338346440919818</v>
      </c>
      <c r="DF54">
        <f>AW54*(c_MI2+c_DM)</f>
        <v>5.960675646133498</v>
      </c>
      <c r="DG54">
        <f>AX54*(c_Stroke1+c_Stroke2+c_MI2+c_DM)</f>
        <v>0.5459178881436143</v>
      </c>
      <c r="DH54">
        <f>AY54*(c_Stroke2+c_MI1+c_MI2+c_DM)</f>
        <v>0.26843295044799365</v>
      </c>
      <c r="DI54">
        <f>AZ54*(c_Stroke2+c_MI2+c_DM)</f>
        <v>-0.20157516899731046</v>
      </c>
      <c r="DJ54">
        <f>BA54*(c_HF1+c_DM)</f>
        <v>6.1033510109138227</v>
      </c>
      <c r="DK54">
        <f>BB54*(c_HF2+c_DM)</f>
        <v>29.272800301795275</v>
      </c>
      <c r="DL54">
        <f>BC54*(c_Stroke2+c_HF1+c_DM)</f>
        <v>0.16995922736501223</v>
      </c>
      <c r="DM54">
        <f>BD54*(c_Stroke1+c_Stroke2+c_HF2+c_DM)</f>
        <v>1.5219120743932026</v>
      </c>
      <c r="DN54">
        <f>BE54*(c_Stroke2+c_HF2+c_DM)</f>
        <v>-0.57641029731716098</v>
      </c>
      <c r="DO54">
        <f t="shared" si="64"/>
        <v>0</v>
      </c>
      <c r="DP54">
        <f t="shared" si="65"/>
        <v>238.98210868996046</v>
      </c>
      <c r="DQ54">
        <f>DP54/(1+r_)^A54</f>
        <v>52.925738772101425</v>
      </c>
    </row>
    <row r="55" spans="1:121" x14ac:dyDescent="0.3">
      <c r="A55">
        <v>52</v>
      </c>
      <c r="B55">
        <v>97</v>
      </c>
      <c r="C55">
        <f t="shared" si="0"/>
        <v>38</v>
      </c>
      <c r="D55">
        <f t="shared" si="1"/>
        <v>125</v>
      </c>
      <c r="E55">
        <f t="shared" si="2"/>
        <v>5.7</v>
      </c>
      <c r="F55">
        <v>0.25402999999999998</v>
      </c>
      <c r="G55">
        <v>0.29626000000000002</v>
      </c>
      <c r="H55">
        <f t="shared" si="52"/>
        <v>0.26247599999999999</v>
      </c>
      <c r="I55">
        <f t="shared" si="53"/>
        <v>5.6857293942168513E-2</v>
      </c>
      <c r="J55">
        <f t="shared" si="23"/>
        <v>0.49646425513981896</v>
      </c>
      <c r="K55">
        <f t="shared" si="24"/>
        <v>0.61744312679274271</v>
      </c>
      <c r="L55">
        <f t="shared" si="25"/>
        <v>0.27732756297775207</v>
      </c>
      <c r="M55">
        <f t="shared" si="26"/>
        <v>0.36547494879873155</v>
      </c>
      <c r="N55">
        <f t="shared" si="27"/>
        <v>0.87203339857683781</v>
      </c>
      <c r="O55">
        <f t="shared" si="28"/>
        <v>0.94525588513351766</v>
      </c>
      <c r="P55">
        <f t="shared" si="29"/>
        <v>0.63626114788464549</v>
      </c>
      <c r="Q55">
        <f t="shared" si="30"/>
        <v>0.76044750402560646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4.080081042393259E-2</v>
      </c>
      <c r="U55">
        <f t="shared" si="31"/>
        <v>0.77533983088768532</v>
      </c>
      <c r="V55">
        <f t="shared" si="32"/>
        <v>0.87645708000328126</v>
      </c>
      <c r="W55">
        <f t="shared" si="33"/>
        <v>0.50681121062551937</v>
      </c>
      <c r="X55">
        <f t="shared" si="34"/>
        <v>0.62840691377215119</v>
      </c>
      <c r="Y55">
        <f t="shared" si="35"/>
        <v>0.96975953173477825</v>
      </c>
      <c r="Z55">
        <f t="shared" si="36"/>
        <v>0.99287001856105794</v>
      </c>
      <c r="AA55">
        <f t="shared" si="37"/>
        <v>0.82109743801050383</v>
      </c>
      <c r="AB55">
        <f t="shared" si="38"/>
        <v>0.91210675905999694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6.2579606748101813E-2</v>
      </c>
      <c r="AD55">
        <f t="shared" si="54"/>
        <v>9.5058298103561012E-4</v>
      </c>
      <c r="AE55">
        <f t="shared" si="55"/>
        <v>1.5843222709797664E-4</v>
      </c>
      <c r="AF55">
        <f t="shared" si="56"/>
        <v>1.6872399223949818E-5</v>
      </c>
      <c r="AG55">
        <f t="shared" si="57"/>
        <v>3.7202482138238766E-6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1.1438393997618056E-5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2.2825642595009595E-5</v>
      </c>
      <c r="AJ55">
        <f t="shared" si="58"/>
        <v>4.9705770303342631E-7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2.1745431824822311E-7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-3.0691375101245915E-7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8.7156629488150415E-6</v>
      </c>
      <c r="AN55">
        <f t="shared" si="59"/>
        <v>5.6625617056113495E-5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1.4172872702513237E-7</v>
      </c>
      <c r="AP55">
        <f>AM54*T54*p_Stroke*p_Stroke_rec*(1-I54) + AN54*T54*p_Stroke*p_Stroke_rec*(1-I54) + AO54*(p_recur_Stroke*p_Stroke_rec)*(1-I54) + AP54*(p_recur_Stroke*p_Stroke_rec)*(1-I54) + AQ54*(p_recur_Stroke*p_Stroke_rec)*(1-I54)</f>
        <v>9.846237022876603E-7</v>
      </c>
      <c r="AQ55">
        <f>AO54*(1-p_recur_Stroke-H54*rr_Stroke*rr_HF)*(1-I54) + AP54*(1-p_recur_Stroke-H54*rr_Stroke*rr_HF)*(1-I54) + AQ54*(1-p_recur_Stroke-H54*rr_Stroke*rr_HF)*(1-I54)</f>
        <v>-5.1512715542735394E-7</v>
      </c>
      <c r="AR55">
        <f>AR54*(1-AC54-H54*rr_DM) + AD54*(1-T54-H54)*I54</f>
        <v>6.2455093329727065E-3</v>
      </c>
      <c r="AS55">
        <f>AR54*AC54*p_Other + AD54*T54*p_Other*I54 + AE54*(1-T54*p_Stroke-T54*p_MI-H54*rr_Other)*I54 + AS54*(1-AC54*p_Stroke-AC54*p_MI-H54*rr_Other*rr_DM)</f>
        <v>1.4151012509465153E-3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1.9147962134862247E-4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-8.638773934743367E-7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1.3475109024528343E-4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2.4104326098124034E-4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9.1402996373943191E-6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3.4146602067246972E-6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-6.7314203171844596E-6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1.0445871243494952E-4</v>
      </c>
      <c r="BB55">
        <f>AM54*(1-T54*p_Stroke - H54*rr_HF)*I54 + AN54*(1-T54*p_Stroke - H54*rr_HF)*I54 + BA54*(1-AC54*p_Stroke - H54*rr_HF*rr_DM) + BB54*(1-AC54*p_Stroke - H54*rr_HF*rr_DM)</f>
        <v>5.995234460652747E-4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2.2350987443152768E-6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1.8091596385110018E-5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-1.1644721387607221E-5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0.98982425965341647</v>
      </c>
      <c r="BG55">
        <f t="shared" si="60"/>
        <v>0.99999999999999944</v>
      </c>
      <c r="BH55">
        <f>(0.9442 - 0.0007*$B55 - dis_BMI*($C55-21.75))*AD55</f>
        <v>7.8202085392347059E-4</v>
      </c>
      <c r="BI55">
        <f>0.959*(0.9442 - 0.0007*$B55 - dis_BMI*($C55-21.75))*AE55</f>
        <v>1.24994364898287E-4</v>
      </c>
      <c r="BJ55">
        <f>(0.943*(0.9442 - 0.0007*$B55 - dis_BMI*($C55-21.75)) - 0.19*0.5)*AF55</f>
        <v>1.1486434546488599E-5</v>
      </c>
      <c r="BK55">
        <f>(0.943*(0.9442 - 0.0007*$B55 - dis_BMI*($C55-21.75)))*AG55</f>
        <v>2.8861035529470268E-6</v>
      </c>
      <c r="BL55">
        <f>(0.955*(0.9442 - 0.0007*$B55 - dis_BMI*($C55-21.75)) - 0.15*0.5)*AH55</f>
        <v>8.1287475969795115E-6</v>
      </c>
      <c r="BM55">
        <f>(0.955*(0.9442 - 0.0007*$B55 - dis_BMI*($C55-21.75)))*AI55</f>
        <v>1.793307167336629E-5</v>
      </c>
      <c r="BN55">
        <f>(0.955*0.943*(0.9442 - 0.0007*$B55 - dis_BMI*($C55-21.75)) - 0.19*0.5)*AJ55</f>
        <v>3.2103580754494739E-7</v>
      </c>
      <c r="BO55">
        <f>(0.955*0.943*(0.9442 - 0.0007*$B55 - dis_BMI*($C55-21.75)) - 0.15*0.5)*AK55</f>
        <v>1.4479680951041916E-7</v>
      </c>
      <c r="BP55">
        <f>(0.955*0.943*(0.9442 - 0.0007*$B55 - dis_BMI*($C55-21.75)))*AL55</f>
        <v>-2.2738390010537185E-7</v>
      </c>
      <c r="BQ55">
        <f>(0.93*(0.9442 - 0.0007*$B55 - dis_BMI*($C55-21.75)))*AM55</f>
        <v>6.6682469552672661E-6</v>
      </c>
      <c r="BR55">
        <f>(0.93*(0.9442 - 0.0007*$B55 - dis_BMI*($C55-21.75)))*AN55</f>
        <v>4.3323565945823502E-5</v>
      </c>
      <c r="BS55">
        <f>(0.93*0.943*(0.9442 - 0.0007*$B55 - dis_BMI*($C55-21.75)))*AO55</f>
        <v>1.0225412283643143E-7</v>
      </c>
      <c r="BT55">
        <f>(0.93*0.943*(0.9442 - 0.0007*$B55 - dis_BMI*($C55-21.75))-0.19*0.5)*AP55</f>
        <v>6.1684483988275189E-7</v>
      </c>
      <c r="BU55">
        <f>(0.93*0.943*(0.9442 - 0.0007*$B55 - dis_BMI*($C55-21.75)))*AQ55</f>
        <v>-3.7165278016015513E-7</v>
      </c>
      <c r="BV55">
        <f>0.962*(0.9442 - 0.0007*$B55 - dis_BMI*($C55-21.75))*AR55</f>
        <v>4.9427794636641952E-3</v>
      </c>
      <c r="BW55">
        <f>0.962*0.959*(0.9442 - 0.0007*$B55 - dis_BMI*($C55-21.75))*AS55</f>
        <v>1.0740128907151406E-3</v>
      </c>
      <c r="BX55">
        <f>0.962*(0.943*(0.9442 - 0.0007*$B55 - dis_BMI*($C55-21.75)) - 0.19*0.5)*AT55</f>
        <v>1.2540245286366428E-4</v>
      </c>
      <c r="BY55">
        <f>0.962*(0.943*(0.9442 - 0.0007*$B55 - dis_BMI*($C55-21.75)))*AU55</f>
        <v>-6.4471410814714178E-7</v>
      </c>
      <c r="BZ55">
        <f>0.962*(0.955*(0.9442 - 0.0007*$B55 - dis_BMI*($C55-21.75)) - 0.15*0.5)*AV55</f>
        <v>9.2122549057352152E-5</v>
      </c>
      <c r="CA55">
        <f>0.962*(0.955*(0.9442 - 0.0007*$B55 - dis_BMI*($C55-21.75)))*AW55</f>
        <v>1.8218043620802377E-4</v>
      </c>
      <c r="CB55">
        <f>0.962*(0.955*0.943*(0.9442 - 0.0007*$B55 - dis_BMI*($C55-21.75)) - 0.19*0.5)*AX55</f>
        <v>5.6791347282323133E-6</v>
      </c>
      <c r="CC55">
        <f>0.962*(0.955*0.943*(0.9442 - 0.0007*$B55 - dis_BMI*($C55-21.75)) - 0.15*0.5)*AY55</f>
        <v>2.187326032404353E-6</v>
      </c>
      <c r="CD55">
        <f>0.962*(0.955*0.943*(0.9442 - 0.0007*$B55 - dis_BMI*($C55-21.75)))*AZ55</f>
        <v>-4.7976122579183806E-6</v>
      </c>
      <c r="CE55">
        <f>0.962*(0.93*(0.9442 - 0.0007*$B55 - dis_BMI*($C55-21.75)))*BA55</f>
        <v>7.6883118176691959E-5</v>
      </c>
      <c r="CF55">
        <f>0.962*(0.93*(0.9442 - 0.0007*$B55 - dis_BMI*($C55-21.75)))*BB55</f>
        <v>4.4125789873427897E-4</v>
      </c>
      <c r="CG55">
        <f>0.962*(0.93*0.943*(0.9442 - 0.0007*$B55 - dis_BMI*($C55-21.75)))*BC55</f>
        <v>1.5512961968167192E-6</v>
      </c>
      <c r="CH55">
        <f>0.962*(0.93*0.943*(0.9442 - 0.0007*$B55 - dis_BMI*($C55-21.75))-0.19*0.5)*BD55</f>
        <v>1.0903291228099088E-5</v>
      </c>
      <c r="CI55">
        <f>0.962*(0.93*0.943*(0.9442 - 0.0007*$B55 - dis_BMI*($C55-21.75)))*BE55</f>
        <v>-8.0821538858317556E-6</v>
      </c>
      <c r="CJ55">
        <f t="shared" si="61"/>
        <v>0</v>
      </c>
      <c r="CK55">
        <f t="shared" si="62"/>
        <v>7.9394626613451397E-3</v>
      </c>
      <c r="CL55">
        <f>CK55/(1+r_)^A55</f>
        <v>1.7070860993300295E-3</v>
      </c>
      <c r="CM55">
        <f t="shared" si="63"/>
        <v>0</v>
      </c>
      <c r="CN55">
        <f>AE55*c_Other</f>
        <v>2.2622537707320087</v>
      </c>
      <c r="CO55">
        <f>AF55*(c_Stroke1+c_Stroke2)</f>
        <v>0.40183305991758883</v>
      </c>
      <c r="CP55">
        <f>AG55*c_Stroke2</f>
        <v>2.4181613389855198E-2</v>
      </c>
      <c r="CQ55">
        <f>AH55*(c_MI1+c_MI2)</f>
        <v>0.33344062342456393</v>
      </c>
      <c r="CR55">
        <f>AI55*c_MI2</f>
        <v>7.1147527968644902E-2</v>
      </c>
      <c r="CS55">
        <f>AJ55*(c_Stroke1+c_Stroke2+c_MI2)</f>
        <v>1.338725511579927E-2</v>
      </c>
      <c r="CT55">
        <f>AK55*(c_Stroke2+c_MI1+c_MI2)</f>
        <v>7.7524638998674022E-3</v>
      </c>
      <c r="CU55">
        <f>AL55*(c_Stroke2+c_MI2)</f>
        <v>-2.9515895434868195E-3</v>
      </c>
      <c r="CV55">
        <f>AM55*(c_HF1)</f>
        <v>0.23558436950647058</v>
      </c>
      <c r="CW55">
        <f>AN55*(c_HF2)</f>
        <v>0.88364275416065108</v>
      </c>
      <c r="CX55">
        <f>AO55*(c_Stroke2+c_HF1)</f>
        <v>4.7521642171526879E-3</v>
      </c>
      <c r="CY55">
        <f>AP55*(c_Stroke1+c_Stroke2+c_HF2)</f>
        <v>3.8814850967881856E-2</v>
      </c>
      <c r="CZ55">
        <f>AQ55*(c_Stroke2+c_HF2)</f>
        <v>-1.1386885770721659E-2</v>
      </c>
      <c r="DA55">
        <f>AR55*c_DM</f>
        <v>71.354944129213166</v>
      </c>
      <c r="DB55">
        <f>AS55*(c_Other+c_DM)</f>
        <v>36.373762554329232</v>
      </c>
      <c r="DC55">
        <f>AT55*(c_Stroke1+c_Stroke2+c_DM)</f>
        <v>6.7479333359468043</v>
      </c>
      <c r="DD55">
        <f>AU55*(c_Stroke2+c_DM)</f>
        <v>-1.5485002278027486E-2</v>
      </c>
      <c r="DE55">
        <f>AV55*(c_MI1+c_MI2+c_DM)</f>
        <v>5.4676602377926207</v>
      </c>
      <c r="DF55">
        <f>AW55*(c_MI2+c_DM)</f>
        <v>3.5052511011891969</v>
      </c>
      <c r="DG55">
        <f>AX55*(c_Stroke1+c_Stroke2+c_MI2+c_DM)</f>
        <v>0.35060361349117131</v>
      </c>
      <c r="DH55">
        <f>AY55*(c_Stroke2+c_MI1+c_MI2+c_DM)</f>
        <v>0.16074854389177184</v>
      </c>
      <c r="DI55">
        <f>AZ55*(c_Stroke2+c_MI2+c_DM)</f>
        <v>-0.1416425463141954</v>
      </c>
      <c r="DJ55">
        <f>BA55*(c_HF1+c_DM)</f>
        <v>4.0169597866859839</v>
      </c>
      <c r="DK55">
        <f>BB55*(c_HF2+c_DM)</f>
        <v>16.205118747144375</v>
      </c>
      <c r="DL55">
        <f>BC55*(c_Stroke2+c_HF1+c_DM)</f>
        <v>0.10047886405069327</v>
      </c>
      <c r="DM55">
        <f>BD55*(c_Stroke1+c_Stroke2+c_HF2+c_DM)</f>
        <v>0.91988530979730398</v>
      </c>
      <c r="DN55">
        <f>BE55*(c_Stroke2+c_HF2+c_DM)</f>
        <v>-0.39044750812647011</v>
      </c>
      <c r="DO55">
        <f t="shared" si="64"/>
        <v>0</v>
      </c>
      <c r="DP55">
        <f t="shared" si="65"/>
        <v>148.91822314479992</v>
      </c>
      <c r="DQ55">
        <f>DP55/(1+r_)^A55</f>
        <v>32.019324167253522</v>
      </c>
    </row>
    <row r="56" spans="1:121" x14ac:dyDescent="0.3">
      <c r="A56">
        <v>53</v>
      </c>
      <c r="B56">
        <v>98</v>
      </c>
      <c r="C56">
        <f t="shared" si="0"/>
        <v>38</v>
      </c>
      <c r="D56">
        <f t="shared" si="1"/>
        <v>125</v>
      </c>
      <c r="E56">
        <f t="shared" si="2"/>
        <v>5.7</v>
      </c>
      <c r="F56">
        <v>0.27543000000000001</v>
      </c>
      <c r="G56">
        <v>0.31792999999999999</v>
      </c>
      <c r="H56">
        <f t="shared" si="52"/>
        <v>0.28393000000000002</v>
      </c>
      <c r="I56">
        <f t="shared" si="53"/>
        <v>5.6857293942168513E-2</v>
      </c>
      <c r="J56">
        <f t="shared" si="23"/>
        <v>0.50614751682247694</v>
      </c>
      <c r="K56">
        <f t="shared" si="24"/>
        <v>0.62770639525755079</v>
      </c>
      <c r="L56">
        <f t="shared" si="25"/>
        <v>0.28394020761224059</v>
      </c>
      <c r="M56">
        <f t="shared" si="26"/>
        <v>0.37359137711375301</v>
      </c>
      <c r="N56">
        <f t="shared" si="27"/>
        <v>0.88029078686308548</v>
      </c>
      <c r="O56">
        <f t="shared" si="28"/>
        <v>0.95017991345652397</v>
      </c>
      <c r="P56">
        <f t="shared" si="29"/>
        <v>0.64800207874504534</v>
      </c>
      <c r="Q56">
        <f t="shared" si="30"/>
        <v>0.77129999033805663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4.1586786710511657E-2</v>
      </c>
      <c r="U56">
        <f t="shared" si="31"/>
        <v>0.78463598710779603</v>
      </c>
      <c r="V56">
        <f t="shared" si="32"/>
        <v>0.88355664278614932</v>
      </c>
      <c r="W56">
        <f t="shared" si="33"/>
        <v>0.5165796456020364</v>
      </c>
      <c r="X56">
        <f t="shared" si="34"/>
        <v>0.63867352310273184</v>
      </c>
      <c r="Y56">
        <f t="shared" si="35"/>
        <v>0.9730043846931512</v>
      </c>
      <c r="Z56">
        <f t="shared" si="36"/>
        <v>0.99392656045046712</v>
      </c>
      <c r="AA56">
        <f t="shared" si="37"/>
        <v>0.83081233363765561</v>
      </c>
      <c r="AB56">
        <f t="shared" si="38"/>
        <v>0.91877428901895553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6.3457086069901483E-2</v>
      </c>
      <c r="AD56">
        <f t="shared" si="54"/>
        <v>6.2463700698576563E-4</v>
      </c>
      <c r="AE56">
        <f t="shared" si="55"/>
        <v>9.228086499949978E-5</v>
      </c>
      <c r="AF56">
        <f t="shared" si="56"/>
        <v>1.117440879841887E-5</v>
      </c>
      <c r="AG56">
        <f t="shared" si="57"/>
        <v>9.6087325975675519E-7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7.6827287626163275E-6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1.3630957232605249E-5</v>
      </c>
      <c r="AJ56">
        <f t="shared" si="58"/>
        <v>3.2143788557633414E-7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1.3223821990609425E-7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-2.1994735415707315E-7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5.7432015499671879E-6</v>
      </c>
      <c r="AN56">
        <f t="shared" si="59"/>
        <v>3.1608638230922979E-5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8.5109454171857933E-8</v>
      </c>
      <c r="AP56">
        <f>AM55*T55*p_Stroke*p_Stroke_rec*(1-I55) + AN55*T55*p_Stroke*p_Stroke_rec*(1-I55) + AO55*(p_recur_Stroke*p_Stroke_rec)*(1-I55) + AP55*(p_recur_Stroke*p_Stroke_rec)*(1-I55) + AQ55*(p_recur_Stroke*p_Stroke_rec)*(1-I55)</f>
        <v>5.956889719784359E-7</v>
      </c>
      <c r="AQ56">
        <f>AO55*(1-p_recur_Stroke-H55*rr_Stroke*rr_HF)*(1-I55) + AP55*(1-p_recur_Stroke-H55*rr_Stroke*rr_HF)*(1-I55) + AQ55*(1-p_recur_Stroke-H55*rr_Stroke*rr_HF)*(1-I55)</f>
        <v>-3.5465795973227114E-7</v>
      </c>
      <c r="AR56">
        <f>AR55*(1-AC55-H55*rr_DM) + AD55*(1-T55-H55)*I55</f>
        <v>4.0071332606582202E-3</v>
      </c>
      <c r="AS56">
        <f>AR55*AC55*p_Other + AD55*T55*p_Other*I55 + AE55*(1-T55*p_Stroke-T55*p_MI-H55*rr_Other)*I55 + AS55*(1-AC55*p_Stroke-AC55*p_MI-H55*rr_Other*rr_DM)</f>
        <v>7.8420201227815572E-4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1.2315824294047874E-4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-1.4914916773910892E-5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8.7383829234327607E-5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1.3407383300104134E-4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5.6385070959723848E-6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2.0003725480533956E-6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-4.4790765072397421E-6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6.6137907425229E-5</v>
      </c>
      <c r="BB56">
        <f>AM55*(1-T55*p_Stroke - H55*rr_HF)*I55 + AN55*(1-T55*p_Stroke - H55*rr_HF)*I55 + BA55*(1-AC55*p_Stroke - H55*rr_HF*rr_DM) + BB55*(1-AC55*p_Stroke - H55*rr_HF*rr_DM)</f>
        <v>3.0901381475632585E-4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1.2899761797472995E-6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1.0316423446601211E-5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-7.3099313368839791E-6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0.99370807719601595</v>
      </c>
      <c r="BG56">
        <f t="shared" si="60"/>
        <v>0.99999999999999933</v>
      </c>
      <c r="BH56">
        <f>(0.9442 - 0.0007*$B56 - dis_BMI*($C56-21.75))*AD56</f>
        <v>5.1343600381712471E-4</v>
      </c>
      <c r="BI56">
        <f>0.959*(0.9442 - 0.0007*$B56 - dis_BMI*($C56-21.75))*AE56</f>
        <v>7.2742608883637319E-5</v>
      </c>
      <c r="BJ56">
        <f>(0.943*(0.9442 - 0.0007*$B56 - dis_BMI*($C56-21.75)) - 0.19*0.5)*AF56</f>
        <v>7.5999660099219775E-6</v>
      </c>
      <c r="BK56">
        <f>(0.943*(0.9442 - 0.0007*$B56 - dis_BMI*($C56-21.75)))*AG56</f>
        <v>7.4479441122031094E-7</v>
      </c>
      <c r="BL56">
        <f>(0.955*(0.9442 - 0.0007*$B56 - dis_BMI*($C56-21.75)) - 0.15*0.5)*AH56</f>
        <v>5.4546308235960113E-6</v>
      </c>
      <c r="BM56">
        <f>(0.955*(0.9442 - 0.0007*$B56 - dis_BMI*($C56-21.75)))*AI56</f>
        <v>1.0700112298063517E-5</v>
      </c>
      <c r="BN56">
        <f>(0.955*0.943*(0.9442 - 0.0007*$B56 - dis_BMI*($C56-21.75)) - 0.19*0.5)*AJ56</f>
        <v>2.0740519712408289E-7</v>
      </c>
      <c r="BO56">
        <f>(0.955*0.943*(0.9442 - 0.0007*$B56 - dis_BMI*($C56-21.75)) - 0.15*0.5)*AK56</f>
        <v>8.7970406762229706E-8</v>
      </c>
      <c r="BP56">
        <f>(0.955*0.943*(0.9442 - 0.0007*$B56 - dis_BMI*($C56-21.75)))*AL56</f>
        <v>-1.6281425083286897E-7</v>
      </c>
      <c r="BQ56">
        <f>(0.93*(0.9442 - 0.0007*$B56 - dis_BMI*($C56-21.75)))*AM56</f>
        <v>4.3903143274518795E-6</v>
      </c>
      <c r="BR56">
        <f>(0.93*(0.9442 - 0.0007*$B56 - dis_BMI*($C56-21.75)))*AN56</f>
        <v>2.4162804681172511E-5</v>
      </c>
      <c r="BS56">
        <f>(0.93*0.943*(0.9442 - 0.0007*$B56 - dis_BMI*($C56-21.75)))*AO56</f>
        <v>6.1352329252548718E-8</v>
      </c>
      <c r="BT56">
        <f>(0.93*0.943*(0.9442 - 0.0007*$B56 - dis_BMI*($C56-21.75))-0.19*0.5)*AP56</f>
        <v>3.7282019653233315E-7</v>
      </c>
      <c r="BU56">
        <f>(0.93*0.943*(0.9442 - 0.0007*$B56 - dis_BMI*($C56-21.75)))*AQ56</f>
        <v>-2.5566010414770424E-7</v>
      </c>
      <c r="BV56">
        <f>0.962*(0.9442 - 0.0007*$B56 - dis_BMI*($C56-21.75))*AR56</f>
        <v>3.168600354176218E-3</v>
      </c>
      <c r="BW56">
        <f>0.962*0.959*(0.9442 - 0.0007*$B56 - dis_BMI*($C56-21.75))*AS56</f>
        <v>5.9467576571960027E-4</v>
      </c>
      <c r="BX56">
        <f>0.962*(0.943*(0.9442 - 0.0007*$B56 - dis_BMI*($C56-21.75)) - 0.19*0.5)*AT56</f>
        <v>8.0579700899215663E-5</v>
      </c>
      <c r="BY56">
        <f>0.962*(0.943*(0.9442 - 0.0007*$B56 - dis_BMI*($C56-21.75)))*AU56</f>
        <v>-1.1121572773045241E-5</v>
      </c>
      <c r="BZ56">
        <f>0.962*(0.955*(0.9442 - 0.0007*$B56 - dis_BMI*($C56-21.75)) - 0.15*0.5)*AV56</f>
        <v>5.9683736666123784E-5</v>
      </c>
      <c r="CA56">
        <f>0.962*(0.955*(0.9442 - 0.0007*$B56 - dis_BMI*($C56-21.75)))*AW56</f>
        <v>1.0124674688339194E-4</v>
      </c>
      <c r="CB56">
        <f>0.962*(0.955*0.943*(0.9442 - 0.0007*$B56 - dis_BMI*($C56-21.75)) - 0.19*0.5)*AX56</f>
        <v>3.4999494786713641E-6</v>
      </c>
      <c r="CC56">
        <f>0.962*(0.955*0.943*(0.9442 - 0.0007*$B56 - dis_BMI*($C56-21.75)) - 0.15*0.5)*AY56</f>
        <v>1.2801638630102262E-6</v>
      </c>
      <c r="CD56">
        <f>0.962*(0.955*0.943*(0.9442 - 0.0007*$B56 - dis_BMI*($C56-21.75)))*AZ56</f>
        <v>-3.1896073684171959E-6</v>
      </c>
      <c r="CE56">
        <f>0.962*(0.93*(0.9442 - 0.0007*$B56 - dis_BMI*($C56-21.75)))*BA56</f>
        <v>4.8637033617793095E-5</v>
      </c>
      <c r="CF56">
        <f>0.962*(0.93*(0.9442 - 0.0007*$B56 - dis_BMI*($C56-21.75)))*BB56</f>
        <v>2.2724509863964552E-4</v>
      </c>
      <c r="CG56">
        <f>0.962*(0.93*0.943*(0.9442 - 0.0007*$B56 - dis_BMI*($C56-21.75)))*BC56</f>
        <v>8.9456110843299978E-7</v>
      </c>
      <c r="CH56">
        <f>0.962*(0.93*0.943*(0.9442 - 0.0007*$B56 - dis_BMI*($C56-21.75))-0.19*0.5)*BD56</f>
        <v>6.2113228417554368E-6</v>
      </c>
      <c r="CI56">
        <f>0.962*(0.93*0.943*(0.9442 - 0.0007*$B56 - dis_BMI*($C56-21.75)))*BE56</f>
        <v>-5.0692256042844513E-6</v>
      </c>
      <c r="CJ56">
        <f t="shared" si="61"/>
        <v>0</v>
      </c>
      <c r="CK56">
        <f t="shared" si="62"/>
        <v>4.9127163371749894E-3</v>
      </c>
      <c r="CL56">
        <f>CK56/(1+r_)^A56</f>
        <v>1.0255309674863011E-3</v>
      </c>
      <c r="CM56">
        <f t="shared" si="63"/>
        <v>0</v>
      </c>
      <c r="CN56">
        <f>AE56*c_Other</f>
        <v>1.3176784713278573</v>
      </c>
      <c r="CO56">
        <f>AF56*(c_Stroke1+c_Stroke2)</f>
        <v>0.26612971994314383</v>
      </c>
      <c r="CP56">
        <f>AG56*c_Stroke2</f>
        <v>6.2456761884189084E-3</v>
      </c>
      <c r="CQ56">
        <f>AH56*(c_MI1+c_MI2)</f>
        <v>0.22395922615902855</v>
      </c>
      <c r="CR56">
        <f>AI56*c_MI2</f>
        <v>4.2487693694030562E-2</v>
      </c>
      <c r="CS56">
        <f>AJ56*(c_Stroke1+c_Stroke2+c_MI2)</f>
        <v>8.657286572227408E-3</v>
      </c>
      <c r="CT56">
        <f>AK56*(c_Stroke2+c_MI1+c_MI2)</f>
        <v>4.714424777872166E-3</v>
      </c>
      <c r="CU56">
        <f>AL56*(c_Stroke2+c_MI2)</f>
        <v>-2.1152337049285723E-3</v>
      </c>
      <c r="CV56">
        <f>AM56*(c_HF1)</f>
        <v>0.1552387378956131</v>
      </c>
      <c r="CW56">
        <f>AN56*(c_HF2)</f>
        <v>0.49325279959355306</v>
      </c>
      <c r="CX56">
        <f>AO56*(c_Stroke2+c_HF1)</f>
        <v>2.8537199983823965E-3</v>
      </c>
      <c r="CY56">
        <f>AP56*(c_Stroke1+c_Stroke2+c_HF2)</f>
        <v>2.3482654964361922E-2</v>
      </c>
      <c r="CZ56">
        <f>AQ56*(c_Stroke2+c_HF2)</f>
        <v>-7.8397141998818535E-3</v>
      </c>
      <c r="DA56">
        <f>AR56*c_DM</f>
        <v>45.781497503020169</v>
      </c>
      <c r="DB56">
        <f>AS56*(c_Other+c_DM)</f>
        <v>20.157128523597713</v>
      </c>
      <c r="DC56">
        <f>AT56*(c_Stroke1+c_Stroke2+c_DM)</f>
        <v>4.3402196394654116</v>
      </c>
      <c r="DD56">
        <f>AU56*(c_Stroke2+c_DM)</f>
        <v>-0.26734988317235275</v>
      </c>
      <c r="DE56">
        <f>AV56*(c_MI1+c_MI2+c_DM)</f>
        <v>3.5456862550120771</v>
      </c>
      <c r="DF56">
        <f>AW56*(c_MI2+c_DM)</f>
        <v>1.9497016795011433</v>
      </c>
      <c r="DG56">
        <f>AX56*(c_Stroke1+c_Stroke2+c_MI2+c_DM)</f>
        <v>0.21628185518730875</v>
      </c>
      <c r="DH56">
        <f>AY56*(c_Stroke2+c_MI1+c_MI2+c_DM)</f>
        <v>9.4169538072161649E-2</v>
      </c>
      <c r="DI56">
        <f>AZ56*(c_Stroke2+c_MI2+c_DM)</f>
        <v>-9.4248727865338652E-2</v>
      </c>
      <c r="DJ56">
        <f>BA56*(c_HF1+c_DM)</f>
        <v>2.5433332300371814</v>
      </c>
      <c r="DK56">
        <f>BB56*(c_HF2+c_DM)</f>
        <v>8.3526434128634879</v>
      </c>
      <c r="DL56">
        <f>BC56*(c_Stroke2+c_HF1+c_DM)</f>
        <v>5.7990879160539847E-2</v>
      </c>
      <c r="DM56">
        <f>BD56*(c_Stroke1+c_Stroke2+c_HF2+c_DM)</f>
        <v>0.52454886656588517</v>
      </c>
      <c r="DN56">
        <f>BE56*(c_Stroke2+c_HF2+c_DM)</f>
        <v>-0.24510199772571981</v>
      </c>
      <c r="DO56">
        <f t="shared" si="64"/>
        <v>0</v>
      </c>
      <c r="DP56">
        <f t="shared" si="65"/>
        <v>89.491246236929342</v>
      </c>
      <c r="DQ56">
        <f>DP56/(1+r_)^A56</f>
        <v>18.681323739462616</v>
      </c>
    </row>
    <row r="57" spans="1:121" x14ac:dyDescent="0.3">
      <c r="A57">
        <v>54</v>
      </c>
      <c r="B57">
        <v>99</v>
      </c>
      <c r="C57">
        <f t="shared" si="0"/>
        <v>38</v>
      </c>
      <c r="D57">
        <f t="shared" si="1"/>
        <v>125</v>
      </c>
      <c r="E57">
        <f t="shared" si="2"/>
        <v>5.7</v>
      </c>
      <c r="F57">
        <v>0.29732999999999998</v>
      </c>
      <c r="G57">
        <v>0.33972999999999998</v>
      </c>
      <c r="H57">
        <f t="shared" si="52"/>
        <v>0.30580999999999997</v>
      </c>
      <c r="I57">
        <f t="shared" si="53"/>
        <v>5.6857293942168513E-2</v>
      </c>
      <c r="J57">
        <f t="shared" si="23"/>
        <v>0.51581116734080812</v>
      </c>
      <c r="K57">
        <f t="shared" si="24"/>
        <v>0.63786883966266772</v>
      </c>
      <c r="L57">
        <f t="shared" si="25"/>
        <v>0.2906078875199295</v>
      </c>
      <c r="M57">
        <f t="shared" si="26"/>
        <v>0.3817450176684678</v>
      </c>
      <c r="N57">
        <f t="shared" si="27"/>
        <v>0.88817803331272371</v>
      </c>
      <c r="O57">
        <f t="shared" si="28"/>
        <v>0.95475408557357488</v>
      </c>
      <c r="P57">
        <f t="shared" si="29"/>
        <v>0.65960754037930425</v>
      </c>
      <c r="Q57">
        <f t="shared" si="30"/>
        <v>0.78188133682795302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4.2370828184510739E-2</v>
      </c>
      <c r="U57">
        <f t="shared" si="31"/>
        <v>0.79370199542199604</v>
      </c>
      <c r="V57">
        <f t="shared" si="32"/>
        <v>0.8903632408385479</v>
      </c>
      <c r="W57">
        <f t="shared" si="33"/>
        <v>0.5263225197193242</v>
      </c>
      <c r="X57">
        <f t="shared" si="34"/>
        <v>0.6488308396637299</v>
      </c>
      <c r="Y57">
        <f t="shared" si="35"/>
        <v>0.97596060448155708</v>
      </c>
      <c r="Z57">
        <f t="shared" si="36"/>
        <v>0.99484459364740274</v>
      </c>
      <c r="AA57">
        <f t="shared" si="37"/>
        <v>0.84019426889156934</v>
      </c>
      <c r="AB57">
        <f t="shared" si="38"/>
        <v>0.92506498239561941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6.4321221177686072E-2</v>
      </c>
      <c r="AD57">
        <f t="shared" si="54"/>
        <v>3.9735278968761197E-4</v>
      </c>
      <c r="AE57">
        <f t="shared" si="55"/>
        <v>5.1928107373607985E-5</v>
      </c>
      <c r="AF57">
        <f t="shared" si="56"/>
        <v>7.2135734816522532E-6</v>
      </c>
      <c r="AG57">
        <f t="shared" si="57"/>
        <v>-2.0429857500664401E-7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5.0045953977075957E-6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7.7940016625722831E-6</v>
      </c>
      <c r="AJ57">
        <f t="shared" si="58"/>
        <v>2.012280434008202E-7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7.892376031861981E-8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-1.4951256803032054E-7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3.6652514285805846E-6</v>
      </c>
      <c r="AN57">
        <f t="shared" si="59"/>
        <v>1.6686939553654065E-5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5.0076220215573897E-8</v>
      </c>
      <c r="AP57">
        <f>AM56*T56*p_Stroke*p_Stroke_rec*(1-I56) + AN56*T56*p_Stroke*p_Stroke_rec*(1-I56) + AO56*(p_recur_Stroke*p_Stroke_rec)*(1-I56) + AP56*(p_recur_Stroke*p_Stroke_rec)*(1-I56) + AQ56*(p_recur_Stroke*p_Stroke_rec)*(1-I56)</f>
        <v>3.4395781176018975E-7</v>
      </c>
      <c r="AQ57">
        <f>AO56*(1-p_recur_Stroke-H56*rr_Stroke*rr_HF)*(1-I56) + AP56*(1-p_recur_Stroke-H56*rr_Stroke*rr_HF)*(1-I56) + AQ56*(1-p_recur_Stroke-H56*rr_Stroke*rr_HF)*(1-I56)</f>
        <v>-2.2683299145544117E-7</v>
      </c>
      <c r="AR57">
        <f>AR56*(1-AC56-H56*rr_DM) + AD56*(1-T56-H56)*I56</f>
        <v>2.4683994976632505E-3</v>
      </c>
      <c r="AS57">
        <f>AR56*AC56*p_Other + AD56*T56*p_Other*I56 + AE56*(1-T56*p_Stroke-T56*p_MI-H56*rr_Other)*I56 + AS56*(1-AC56*p_Stroke-AC56*p_MI-H56*rr_Other*rr_DM)</f>
        <v>4.1828484325415909E-4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7.6720680384550089E-5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-1.6894659024146684E-5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5.4613126454521042E-5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7.0318506692880605E-5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3.3346003439110554E-6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1.1426796564055659E-6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-2.8176661008378693E-6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4.0261900381396217E-5</v>
      </c>
      <c r="BB57">
        <f>AM56*(1-T56*p_Stroke - H56*rr_HF)*I56 + AN56*(1-T56*p_Stroke - H56*rr_HF)*I56 + BA56*(1-AC56*p_Stroke - H56*rr_HF*rr_DM) + BB56*(1-AC56*p_Stroke - H56*rr_HF*rr_DM)</f>
        <v>1.4774258311353624E-4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7.2353779660340153E-7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5.5324226046495345E-6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-4.2244325850007213E-6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0.99624712357907685</v>
      </c>
      <c r="BG57">
        <f t="shared" si="60"/>
        <v>0.99999999999999933</v>
      </c>
      <c r="BH57">
        <f>(0.9442 - 0.0007*$B57 - dis_BMI*($C57-21.75))*AD57</f>
        <v>3.263359123506935E-4</v>
      </c>
      <c r="BI57">
        <f>0.959*(0.9442 - 0.0007*$B57 - dis_BMI*($C57-21.75))*AE57</f>
        <v>4.0898718871546241E-5</v>
      </c>
      <c r="BJ57">
        <f>(0.943*(0.9442 - 0.0007*$B57 - dis_BMI*($C57-21.75)) - 0.19*0.5)*AF57</f>
        <v>4.9013514094017846E-6</v>
      </c>
      <c r="BK57">
        <f>(0.943*(0.9442 - 0.0007*$B57 - dis_BMI*($C57-21.75)))*AG57</f>
        <v>-1.5822154939383239E-7</v>
      </c>
      <c r="BL57">
        <f>(0.955*(0.9442 - 0.0007*$B57 - dis_BMI*($C57-21.75)) - 0.15*0.5)*AH57</f>
        <v>3.549847721587882E-6</v>
      </c>
      <c r="BM57">
        <f>(0.955*(0.9442 - 0.0007*$B57 - dis_BMI*($C57-21.75)))*AI57</f>
        <v>6.1129728732347441E-6</v>
      </c>
      <c r="BN57">
        <f>(0.955*0.943*(0.9442 - 0.0007*$B57 - dis_BMI*($C57-21.75)) - 0.19*0.5)*AJ57</f>
        <v>1.2971391499868919E-7</v>
      </c>
      <c r="BO57">
        <f>(0.955*0.943*(0.9442 - 0.0007*$B57 - dis_BMI*($C57-21.75)) - 0.15*0.5)*AK57</f>
        <v>5.2453640339070001E-8</v>
      </c>
      <c r="BP57">
        <f>(0.955*0.943*(0.9442 - 0.0007*$B57 - dis_BMI*($C57-21.75)))*AL57</f>
        <v>-1.1058121775607598E-7</v>
      </c>
      <c r="BQ57">
        <f>(0.93*(0.9442 - 0.0007*$B57 - dis_BMI*($C57-21.75)))*AM57</f>
        <v>2.7994668113169932E-6</v>
      </c>
      <c r="BR57">
        <f>(0.93*(0.9442 - 0.0007*$B57 - dis_BMI*($C57-21.75)))*AN57</f>
        <v>1.2745246642192336E-5</v>
      </c>
      <c r="BS57">
        <f>(0.93*0.943*(0.9442 - 0.0007*$B57 - dis_BMI*($C57-21.75)))*AO57</f>
        <v>3.6067395719889786E-8</v>
      </c>
      <c r="BT57">
        <f>(0.93*0.943*(0.9442 - 0.0007*$B57 - dis_BMI*($C57-21.75))-0.19*0.5)*AP57</f>
        <v>2.1505960881865126E-7</v>
      </c>
      <c r="BU57">
        <f>(0.93*0.943*(0.9442 - 0.0007*$B57 - dis_BMI*($C57-21.75)))*AQ57</f>
        <v>-1.6337645353283608E-7</v>
      </c>
      <c r="BV57">
        <f>0.962*(0.9442 - 0.0007*$B57 - dis_BMI*($C57-21.75))*AR57</f>
        <v>1.9501998751405372E-3</v>
      </c>
      <c r="BW57">
        <f>0.962*0.959*(0.9442 - 0.0007*$B57 - dis_BMI*($C57-21.75))*AS57</f>
        <v>3.1692347564299292E-4</v>
      </c>
      <c r="BX57">
        <f>0.962*(0.943*(0.9442 - 0.0007*$B57 - dis_BMI*($C57-21.75)) - 0.19*0.5)*AT57</f>
        <v>5.0147917018620896E-5</v>
      </c>
      <c r="BY57">
        <f>0.962*(0.943*(0.9442 - 0.0007*$B57 - dis_BMI*($C57-21.75)))*AU57</f>
        <v>-1.2587074385421801E-5</v>
      </c>
      <c r="BZ57">
        <f>0.962*(0.955*(0.9442 - 0.0007*$B57 - dis_BMI*($C57-21.75)) - 0.15*0.5)*AV57</f>
        <v>3.7266007130824799E-5</v>
      </c>
      <c r="CA57">
        <f>0.962*(0.955*(0.9442 - 0.0007*$B57 - dis_BMI*($C57-21.75)))*AW57</f>
        <v>5.3056266484716253E-5</v>
      </c>
      <c r="CB57">
        <f>0.962*(0.955*0.943*(0.9442 - 0.0007*$B57 - dis_BMI*($C57-21.75)) - 0.19*0.5)*AX57</f>
        <v>2.0678399692253061E-6</v>
      </c>
      <c r="CC57">
        <f>0.962*(0.955*0.943*(0.9442 - 0.0007*$B57 - dis_BMI*($C57-21.75)) - 0.15*0.5)*AY57</f>
        <v>7.305794173229649E-7</v>
      </c>
      <c r="CD57">
        <f>0.962*(0.955*0.943*(0.9442 - 0.0007*$B57 - dis_BMI*($C57-21.75)))*AZ57</f>
        <v>-2.004787133017302E-6</v>
      </c>
      <c r="CE57">
        <f>0.962*(0.93*(0.9442 - 0.0007*$B57 - dis_BMI*($C57-21.75)))*BA57</f>
        <v>2.9582910079619259E-5</v>
      </c>
      <c r="CF57">
        <f>0.962*(0.93*(0.9442 - 0.0007*$B57 - dis_BMI*($C57-21.75)))*BB57</f>
        <v>1.0855561982359785E-4</v>
      </c>
      <c r="CG57">
        <f>0.962*(0.93*0.943*(0.9442 - 0.0007*$B57 - dis_BMI*($C57-21.75)))*BC57</f>
        <v>5.0132520400382639E-7</v>
      </c>
      <c r="CH57">
        <f>0.962*(0.93*0.943*(0.9442 - 0.0007*$B57 - dis_BMI*($C57-21.75))-0.19*0.5)*BD57</f>
        <v>3.3276994377692583E-6</v>
      </c>
      <c r="CI57">
        <f>0.962*(0.93*0.943*(0.9442 - 0.0007*$B57 - dis_BMI*($C57-21.75)))*BE57</f>
        <v>-2.9270268082992109E-6</v>
      </c>
      <c r="CJ57">
        <f t="shared" si="61"/>
        <v>0</v>
      </c>
      <c r="CK57">
        <f t="shared" si="62"/>
        <v>2.9321852590416591E-3</v>
      </c>
      <c r="CL57">
        <f>CK57/(1+r_)^A57</f>
        <v>5.9426653163430698E-4</v>
      </c>
      <c r="CM57">
        <f t="shared" si="63"/>
        <v>0</v>
      </c>
      <c r="CN57">
        <f>AE57*c_Other</f>
        <v>0.74148144518774839</v>
      </c>
      <c r="CO57">
        <f>AF57*(c_Stroke1+c_Stroke2)</f>
        <v>0.17179846603903007</v>
      </c>
      <c r="CP57">
        <f>AG57*c_Stroke2</f>
        <v>-1.3279407375431861E-3</v>
      </c>
      <c r="CQ57">
        <f>AH57*(c_MI1+c_MI2)</f>
        <v>0.14588896043857413</v>
      </c>
      <c r="CR57">
        <f>AI57*c_MI2</f>
        <v>2.4293903182237807E-2</v>
      </c>
      <c r="CS57">
        <f>AJ57*(c_Stroke1+c_Stroke2+c_MI2)</f>
        <v>5.4196748929142904E-3</v>
      </c>
      <c r="CT57">
        <f>AK57*(c_Stroke2+c_MI1+c_MI2)</f>
        <v>2.8137109791191149E-3</v>
      </c>
      <c r="CU57">
        <f>AL57*(c_Stroke2+c_MI2)</f>
        <v>-1.4378623667475926E-3</v>
      </c>
      <c r="CV57">
        <f>AM57*(c_HF1)</f>
        <v>9.9071746114533205E-2</v>
      </c>
      <c r="CW57">
        <f>AN57*(c_HF2)</f>
        <v>0.26039969173477168</v>
      </c>
      <c r="CX57">
        <f>AO57*(c_Stroke2+c_HF1)</f>
        <v>1.6790556638281928E-3</v>
      </c>
      <c r="CY57">
        <f>AP57*(c_Stroke1+c_Stroke2+c_HF2)</f>
        <v>1.3559160897398439E-2</v>
      </c>
      <c r="CZ57">
        <f>AQ57*(c_Stroke2+c_HF2)</f>
        <v>-5.0141432761225272E-3</v>
      </c>
      <c r="DA57">
        <f>AR57*c_DM</f>
        <v>28.201464260802638</v>
      </c>
      <c r="DB57">
        <f>AS57*(c_Other+c_DM)</f>
        <v>10.751593611004905</v>
      </c>
      <c r="DC57">
        <f>AT57*(c_Stroke1+c_Stroke2+c_DM)</f>
        <v>2.7037134974319299</v>
      </c>
      <c r="DD57">
        <f>AU57*(c_Stroke2+c_DM)</f>
        <v>-0.3028367630078293</v>
      </c>
      <c r="DE57">
        <f>AV57*(c_MI1+c_MI2+c_DM)</f>
        <v>2.2159822190186458</v>
      </c>
      <c r="DF57">
        <f>AW57*(c_MI2+c_DM)</f>
        <v>1.0225717243278698</v>
      </c>
      <c r="DG57">
        <f>AX57*(c_Stroke1+c_Stroke2+c_MI2+c_DM)</f>
        <v>0.12790859999174026</v>
      </c>
      <c r="DH57">
        <f>AY57*(c_Stroke2+c_MI1+c_MI2+c_DM)</f>
        <v>5.3792787504948418E-2</v>
      </c>
      <c r="DI57">
        <f>AZ57*(c_Stroke2+c_MI2+c_DM)</f>
        <v>-5.9289330093830445E-2</v>
      </c>
      <c r="DJ57">
        <f>BA57*(c_HF1+c_DM)</f>
        <v>1.5482713791665914</v>
      </c>
      <c r="DK57">
        <f>BB57*(c_HF2+c_DM)</f>
        <v>3.9934820215588847</v>
      </c>
      <c r="DL57">
        <f>BC57*(c_Stroke2+c_HF1+c_DM)</f>
        <v>3.2526641646305914E-2</v>
      </c>
      <c r="DM57">
        <f>BD57*(c_Stroke1+c_Stroke2+c_HF2+c_DM)</f>
        <v>0.28130155975601023</v>
      </c>
      <c r="DN57">
        <f>BE57*(c_Stroke2+c_HF2+c_DM)</f>
        <v>-0.1416452245750742</v>
      </c>
      <c r="DO57">
        <f t="shared" si="64"/>
        <v>0</v>
      </c>
      <c r="DP57">
        <f t="shared" si="65"/>
        <v>51.887462853283473</v>
      </c>
      <c r="DQ57">
        <f>DP57/(1+r_)^A57</f>
        <v>10.516041743966294</v>
      </c>
    </row>
    <row r="58" spans="1:121" x14ac:dyDescent="0.3">
      <c r="A58">
        <v>55</v>
      </c>
      <c r="B58">
        <v>100</v>
      </c>
      <c r="C58">
        <f t="shared" si="0"/>
        <v>38</v>
      </c>
      <c r="D58">
        <f t="shared" si="1"/>
        <v>125</v>
      </c>
      <c r="E58">
        <f t="shared" si="2"/>
        <v>5.7</v>
      </c>
      <c r="F58">
        <v>0.31955</v>
      </c>
      <c r="G58">
        <v>0.36148000000000002</v>
      </c>
      <c r="H58">
        <f t="shared" si="52"/>
        <v>0.32793600000000001</v>
      </c>
      <c r="I58">
        <f t="shared" si="53"/>
        <v>5.6857293942168513E-2</v>
      </c>
      <c r="J58">
        <f t="shared" si="23"/>
        <v>0.52545020703678325</v>
      </c>
      <c r="K58">
        <f t="shared" si="24"/>
        <v>0.64792480184500223</v>
      </c>
      <c r="L58">
        <f t="shared" si="25"/>
        <v>0.29732876952698795</v>
      </c>
      <c r="M58">
        <f t="shared" si="26"/>
        <v>0.38993271362431803</v>
      </c>
      <c r="N58">
        <f t="shared" si="27"/>
        <v>0.89569908669948672</v>
      </c>
      <c r="O58">
        <f t="shared" si="28"/>
        <v>0.95899356856116125</v>
      </c>
      <c r="P58">
        <f t="shared" si="29"/>
        <v>0.67106835306328327</v>
      </c>
      <c r="Q58">
        <f t="shared" si="30"/>
        <v>0.79218559580389514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4.3152623836190049E-2</v>
      </c>
      <c r="U58">
        <f t="shared" si="31"/>
        <v>0.80253534554381978</v>
      </c>
      <c r="V58">
        <f t="shared" si="32"/>
        <v>0.89688094379128946</v>
      </c>
      <c r="W58">
        <f t="shared" si="33"/>
        <v>0.5360347207072107</v>
      </c>
      <c r="X58">
        <f t="shared" si="34"/>
        <v>0.65887324021586391</v>
      </c>
      <c r="Y58">
        <f t="shared" si="35"/>
        <v>0.97864658998195386</v>
      </c>
      <c r="Z58">
        <f t="shared" si="36"/>
        <v>0.99563930496583575</v>
      </c>
      <c r="AA58">
        <f t="shared" si="37"/>
        <v>0.84924160509225188</v>
      </c>
      <c r="AB58">
        <f t="shared" si="38"/>
        <v>0.93098859495872022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6.5171785700366705E-2</v>
      </c>
      <c r="AD58">
        <f t="shared" si="54"/>
        <v>2.4427600399218801E-4</v>
      </c>
      <c r="AE58">
        <f t="shared" si="55"/>
        <v>2.8318460447030065E-5</v>
      </c>
      <c r="AF58">
        <f t="shared" si="56"/>
        <v>4.5289023984374539E-6</v>
      </c>
      <c r="AG58">
        <f t="shared" si="57"/>
        <v>-5.7187506898927758E-7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3.1585122304688819E-6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4.2607260584157915E-6</v>
      </c>
      <c r="AJ58">
        <f t="shared" si="58"/>
        <v>1.2182624702738864E-7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4.6130685293799347E-8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-9.6899980557978224E-8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2.263956445566334E-6</v>
      </c>
      <c r="AN58">
        <f t="shared" si="59"/>
        <v>8.3245062607480588E-6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2.8818608109339154E-8</v>
      </c>
      <c r="AP58">
        <f>AM57*T57*p_Stroke*p_Stroke_rec*(1-I57) + AN57*T57*p_Stroke*p_Stroke_rec*(1-I57) + AO57*(p_recur_Stroke*p_Stroke_rec)*(1-I57) + AP57*(p_recur_Stroke*p_Stroke_rec)*(1-I57) + AQ57*(p_recur_Stroke*p_Stroke_rec)*(1-I57)</f>
        <v>1.8950563271328035E-7</v>
      </c>
      <c r="AQ58">
        <f>AO57*(1-p_recur_Stroke-H57*rr_Stroke*rr_HF)*(1-I57) + AP57*(1-p_recur_Stroke-H57*rr_Stroke*rr_HF)*(1-I57) + AQ57*(1-p_recur_Stroke-H57*rr_Stroke*rr_HF)*(1-I57)</f>
        <v>-1.3594479010681519E-7</v>
      </c>
      <c r="AR58">
        <f>AR57*(1-AC57-H57*rr_DM) + AD57*(1-T57-H57)*I57</f>
        <v>1.4562647519822706E-3</v>
      </c>
      <c r="AS58">
        <f>AR57*AC57*p_Other + AD57*T57*p_Other*I57 + AE57*(1-T57*p_Stroke-T57*p_MI-H57*rr_Other)*I57 + AS57*(1-AC57*p_Stroke-AC57*p_MI-H57*rr_Other*rr_DM)</f>
        <v>2.1571293378334992E-4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4.6166660442735845E-5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-1.4088431292193004E-5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3.2859488561623901E-5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3.4669194616979558E-5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1.8909314634884035E-6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6.3493123343808391E-7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-1.687537816453838E-6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2.3559407081908411E-5</v>
      </c>
      <c r="BB58">
        <f>AM57*(1-T57*p_Stroke - H57*rr_HF)*I57 + AN57*(1-T57*p_Stroke - H57*rr_HF)*I57 + BA57*(1-AC57*p_Stroke - H57*rr_HF*rr_DM) + BB57*(1-AC57*p_Stroke - H57*rr_HF*rr_DM)</f>
        <v>6.5390798109899589E-5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3.9434733936075415E-7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2.7945156625562715E-6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-2.2903910849367401E-6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0.99784301577074896</v>
      </c>
      <c r="BG58">
        <f t="shared" si="60"/>
        <v>0.99999999999999933</v>
      </c>
      <c r="BH58">
        <f>(0.9442 - 0.0007*$B58 - dis_BMI*($C58-21.75))*AD58</f>
        <v>2.0044678197588968E-4</v>
      </c>
      <c r="BI58">
        <f>0.959*(0.9442 - 0.0007*$B58 - dis_BMI*($C58-21.75))*AE58</f>
        <v>2.2284686433387506E-5</v>
      </c>
      <c r="BJ58">
        <f>(0.943*(0.9442 - 0.0007*$B58 - dis_BMI*($C58-21.75)) - 0.19*0.5)*AF58</f>
        <v>3.07422902486718E-6</v>
      </c>
      <c r="BK58">
        <f>(0.943*(0.9442 - 0.0007*$B58 - dis_BMI*($C58-21.75)))*AG58</f>
        <v>-4.4251820080593147E-7</v>
      </c>
      <c r="BL58">
        <f>(0.955*(0.9442 - 0.0007*$B58 - dis_BMI*($C58-21.75)) - 0.15*0.5)*AH58</f>
        <v>2.2382769284235719E-6</v>
      </c>
      <c r="BM58">
        <f>(0.955*(0.9442 - 0.0007*$B58 - dis_BMI*($C58-21.75)))*AI58</f>
        <v>3.3389142475422341E-6</v>
      </c>
      <c r="BN58">
        <f>(0.955*0.943*(0.9442 - 0.0007*$B58 - dis_BMI*($C58-21.75)) - 0.19*0.5)*AJ58</f>
        <v>7.8453803599997372E-8</v>
      </c>
      <c r="BO58">
        <f>(0.955*0.943*(0.9442 - 0.0007*$B58 - dis_BMI*($C58-21.75)) - 0.15*0.5)*AK58</f>
        <v>3.0629904312631516E-8</v>
      </c>
      <c r="BP58">
        <f>(0.955*0.943*(0.9442 - 0.0007*$B58 - dis_BMI*($C58-21.75)))*AL58</f>
        <v>-7.160725663310038E-8</v>
      </c>
      <c r="BQ58">
        <f>(0.93*(0.9442 - 0.0007*$B58 - dis_BMI*($C58-21.75)))*AM58</f>
        <v>1.7277038360981531E-6</v>
      </c>
      <c r="BR58">
        <f>(0.93*(0.9442 - 0.0007*$B58 - dis_BMI*($C58-21.75)))*AN58</f>
        <v>6.3527200041694052E-6</v>
      </c>
      <c r="BS58">
        <f>(0.93*0.943*(0.9442 - 0.0007*$B58 - dis_BMI*($C58-21.75)))*AO58</f>
        <v>2.0738909861061006E-8</v>
      </c>
      <c r="BT58">
        <f>(0.93*0.943*(0.9442 - 0.0007*$B58 - dis_BMI*($C58-21.75))-0.19*0.5)*AP58</f>
        <v>1.1837205351875768E-7</v>
      </c>
      <c r="BU58">
        <f>(0.93*0.943*(0.9442 - 0.0007*$B58 - dis_BMI*($C58-21.75)))*AQ58</f>
        <v>-9.7830774387484789E-8</v>
      </c>
      <c r="BV58">
        <f>0.962*(0.9442 - 0.0007*$B58 - dis_BMI*($C58-21.75))*AR58</f>
        <v>1.1495654198012534E-3</v>
      </c>
      <c r="BW58">
        <f>0.962*0.959*(0.9442 - 0.0007*$B58 - dis_BMI*($C58-21.75))*AS58</f>
        <v>1.6330073749088581E-4</v>
      </c>
      <c r="BX58">
        <f>0.962*(0.943*(0.9442 - 0.0007*$B58 - dis_BMI*($C58-21.75)) - 0.19*0.5)*AT58</f>
        <v>3.014718661983333E-5</v>
      </c>
      <c r="BY58">
        <f>0.962*(0.943*(0.9442 - 0.0007*$B58 - dis_BMI*($C58-21.75)))*AU58</f>
        <v>-1.0487396420393546E-5</v>
      </c>
      <c r="BZ58">
        <f>0.962*(0.955*(0.9442 - 0.0007*$B58 - dis_BMI*($C58-21.75)) - 0.15*0.5)*AV58</f>
        <v>2.240098560009088E-5</v>
      </c>
      <c r="CA58">
        <f>0.962*(0.955*(0.9442 - 0.0007*$B58 - dis_BMI*($C58-21.75)))*AW58</f>
        <v>2.6136081633060814E-5</v>
      </c>
      <c r="CB58">
        <f>0.962*(0.955*0.943*(0.9442 - 0.0007*$B58 - dis_BMI*($C58-21.75)) - 0.19*0.5)*AX58</f>
        <v>1.171450652423878E-6</v>
      </c>
      <c r="CC58">
        <f>0.962*(0.955*0.943*(0.9442 - 0.0007*$B58 - dis_BMI*($C58-21.75)) - 0.15*0.5)*AY58</f>
        <v>4.0556222512182357E-7</v>
      </c>
      <c r="CD58">
        <f>0.962*(0.955*0.943*(0.9442 - 0.0007*$B58 - dis_BMI*($C58-21.75)))*AZ58</f>
        <v>-1.1996703673050165E-6</v>
      </c>
      <c r="CE58">
        <f>0.962*(0.93*(0.9442 - 0.0007*$B58 - dis_BMI*($C58-21.75)))*BA58</f>
        <v>1.7295800148723591E-5</v>
      </c>
      <c r="CF58">
        <f>0.962*(0.93*(0.9442 - 0.0007*$B58 - dis_BMI*($C58-21.75)))*BB58</f>
        <v>4.8005714733918553E-5</v>
      </c>
      <c r="CG58">
        <f>0.962*(0.93*0.943*(0.9442 - 0.0007*$B58 - dis_BMI*($C58-21.75)))*BC58</f>
        <v>2.7300267958653172E-7</v>
      </c>
      <c r="CH58">
        <f>0.962*(0.93*0.943*(0.9442 - 0.0007*$B58 - dis_BMI*($C58-21.75))-0.19*0.5)*BD58</f>
        <v>1.6792241783178743E-6</v>
      </c>
      <c r="CI58">
        <f>0.962*(0.93*0.943*(0.9442 - 0.0007*$B58 - dis_BMI*($C58-21.75)))*BE58</f>
        <v>-1.5856146119875723E-6</v>
      </c>
      <c r="CJ58">
        <f t="shared" si="61"/>
        <v>0</v>
      </c>
      <c r="CK58">
        <f t="shared" si="62"/>
        <v>1.6862080352533742E-3</v>
      </c>
      <c r="CL58">
        <f>CK58/(1+r_)^A58</f>
        <v>3.3179038448860246E-4</v>
      </c>
      <c r="CM58">
        <f t="shared" si="63"/>
        <v>0</v>
      </c>
      <c r="CN58">
        <f>AE58*c_Other</f>
        <v>0.4043592967231423</v>
      </c>
      <c r="CO58">
        <f>AF58*(c_Stroke1+c_Stroke2)</f>
        <v>0.1078603395211864</v>
      </c>
      <c r="CP58">
        <f>AG58*c_Stroke2</f>
        <v>-3.7171879484303042E-3</v>
      </c>
      <c r="CQ58">
        <f>AH58*(c_MI1+c_MI2)</f>
        <v>9.2073790030398381E-2</v>
      </c>
      <c r="CR58">
        <f>AI58*c_MI2</f>
        <v>1.3280683124082022E-2</v>
      </c>
      <c r="CS58">
        <f>AJ58*(c_Stroke1+c_Stroke2+c_MI2)</f>
        <v>3.2811463111886582E-3</v>
      </c>
      <c r="CT58">
        <f>AK58*(c_Stroke2+c_MI1+c_MI2)</f>
        <v>1.6446050614092405E-3</v>
      </c>
      <c r="CU58">
        <f>AL58*(c_Stroke2+c_MI2)</f>
        <v>-9.3188711302607662E-4</v>
      </c>
      <c r="CV58">
        <f>AM58*(c_HF1)</f>
        <v>6.1194742723658005E-2</v>
      </c>
      <c r="CW58">
        <f>AN58*(c_HF2)</f>
        <v>0.12990392019897345</v>
      </c>
      <c r="CX58">
        <f>AO58*(c_Stroke2+c_HF1)</f>
        <v>9.6628792990614181E-4</v>
      </c>
      <c r="CY58">
        <f>AP58*(c_Stroke1+c_Stroke2+c_HF2)</f>
        <v>7.4705015471902246E-3</v>
      </c>
      <c r="CZ58">
        <f>AQ58*(c_Stroke2+c_HF2)</f>
        <v>-3.0050595853111498E-3</v>
      </c>
      <c r="DA58">
        <f>AR58*c_DM</f>
        <v>16.637824791397442</v>
      </c>
      <c r="DB58">
        <f>AS58*(c_Other+c_DM)</f>
        <v>5.5446852499672259</v>
      </c>
      <c r="DC58">
        <f>AT58*(c_Stroke1+c_Stroke2+c_DM)</f>
        <v>1.626959280662454</v>
      </c>
      <c r="DD58">
        <f>AU58*(c_Stroke2+c_DM)</f>
        <v>-0.25253513091255958</v>
      </c>
      <c r="DE58">
        <f>AV58*(c_MI1+c_MI2+c_DM)</f>
        <v>1.3333066078764515</v>
      </c>
      <c r="DF58">
        <f>AW58*(c_MI2+c_DM)</f>
        <v>0.50415942812011671</v>
      </c>
      <c r="DG58">
        <f>AX58*(c_Stroke1+c_Stroke2+c_MI2+c_DM)</f>
        <v>7.2532349076488187E-2</v>
      </c>
      <c r="DH58">
        <f>AY58*(c_Stroke2+c_MI1+c_MI2+c_DM)</f>
        <v>2.989002274533124E-2</v>
      </c>
      <c r="DI58">
        <f>AZ58*(c_Stroke2+c_MI2+c_DM)</f>
        <v>-3.5509170733821663E-2</v>
      </c>
      <c r="DJ58">
        <f>BA58*(c_HF1+c_DM)</f>
        <v>0.90597699933478792</v>
      </c>
      <c r="DK58">
        <f>BB58*(c_HF2+c_DM)</f>
        <v>1.7675132729105858</v>
      </c>
      <c r="DL58">
        <f>BC58*(c_Stroke2+c_HF1+c_DM)</f>
        <v>1.7727884640962702E-2</v>
      </c>
      <c r="DM58">
        <f>BD58*(c_Stroke1+c_Stroke2+c_HF2+c_DM)</f>
        <v>0.14208994337833619</v>
      </c>
      <c r="DN58">
        <f>BE58*(c_Stroke2+c_HF2+c_DM)</f>
        <v>-7.6796813077928891E-2</v>
      </c>
      <c r="DO58">
        <f t="shared" si="64"/>
        <v>0</v>
      </c>
      <c r="DP58">
        <f t="shared" si="65"/>
        <v>29.032205893910241</v>
      </c>
      <c r="DQ58">
        <f>DP58/(1+r_)^A58</f>
        <v>5.7125850160269982</v>
      </c>
    </row>
    <row r="59" spans="1:121" x14ac:dyDescent="0.3">
      <c r="A59">
        <v>56</v>
      </c>
      <c r="B59">
        <v>101</v>
      </c>
      <c r="C59">
        <f t="shared" si="0"/>
        <v>38</v>
      </c>
      <c r="D59">
        <f t="shared" si="1"/>
        <v>125</v>
      </c>
      <c r="E59">
        <f t="shared" si="2"/>
        <v>5.7</v>
      </c>
      <c r="F59">
        <v>0.34189000000000003</v>
      </c>
      <c r="G59">
        <v>0.38297999999999999</v>
      </c>
      <c r="H59">
        <f t="shared" si="52"/>
        <v>0.35010800000000003</v>
      </c>
      <c r="I59">
        <f t="shared" si="53"/>
        <v>5.6857293942168513E-2</v>
      </c>
      <c r="J59">
        <f t="shared" si="23"/>
        <v>0.53505968451210539</v>
      </c>
      <c r="K59">
        <f t="shared" si="24"/>
        <v>0.65786882303347805</v>
      </c>
      <c r="L59">
        <f t="shared" si="25"/>
        <v>0.30410098536105523</v>
      </c>
      <c r="M59">
        <f t="shared" si="26"/>
        <v>0.39815128263672495</v>
      </c>
      <c r="N59">
        <f t="shared" si="27"/>
        <v>0.90285882589548927</v>
      </c>
      <c r="O59">
        <f t="shared" si="28"/>
        <v>0.96291381599687831</v>
      </c>
      <c r="P59">
        <f t="shared" si="29"/>
        <v>0.68237567804734556</v>
      </c>
      <c r="Q59">
        <f t="shared" si="30"/>
        <v>0.80220757826942546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4.3931872370003046E-2</v>
      </c>
      <c r="U59">
        <f t="shared" si="31"/>
        <v>0.81113400132478763</v>
      </c>
      <c r="V59">
        <f t="shared" si="32"/>
        <v>0.90311431770861395</v>
      </c>
      <c r="W59">
        <f t="shared" si="33"/>
        <v>0.54571119420421654</v>
      </c>
      <c r="X59">
        <f t="shared" si="34"/>
        <v>0.66879531854798802</v>
      </c>
      <c r="Y59">
        <f t="shared" si="35"/>
        <v>0.98108039362668353</v>
      </c>
      <c r="Z59">
        <f t="shared" si="36"/>
        <v>0.99632467388159696</v>
      </c>
      <c r="AA59">
        <f t="shared" si="37"/>
        <v>0.85795362614857162</v>
      </c>
      <c r="AB59">
        <f t="shared" si="38"/>
        <v>0.9365556147550631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6.6008578017348579E-2</v>
      </c>
      <c r="AD59">
        <f t="shared" si="54"/>
        <v>1.4489308787819072E-4</v>
      </c>
      <c r="AE59">
        <f t="shared" si="55"/>
        <v>1.5016307956322328E-5</v>
      </c>
      <c r="AF59">
        <f t="shared" si="56"/>
        <v>2.7595806896339283E-6</v>
      </c>
      <c r="AG59">
        <f t="shared" si="57"/>
        <v>-5.8194938156380649E-7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1.9294395945473493E-6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2.2240258934825903E-6</v>
      </c>
      <c r="AJ59">
        <f t="shared" si="58"/>
        <v>7.1292589704150036E-8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2.6338434662932004E-8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-6.003869622400699E-8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1.3528745708613767E-6</v>
      </c>
      <c r="AN59">
        <f t="shared" si="59"/>
        <v>3.9269781540558974E-6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1.618757540650012E-8</v>
      </c>
      <c r="AP59">
        <f>AM58*T58*p_Stroke*p_Stroke_rec*(1-I58) + AN58*T58*p_Stroke*p_Stroke_rec*(1-I58) + AO58*(p_recur_Stroke*p_Stroke_rec)*(1-I58) + AP58*(p_recur_Stroke*p_Stroke_rec)*(1-I58) + AQ58*(p_recur_Stroke*p_Stroke_rec)*(1-I58)</f>
        <v>9.9764647402584526E-8</v>
      </c>
      <c r="AQ59">
        <f>AO58*(1-p_recur_Stroke-H58*rr_Stroke*rr_HF)*(1-I58) + AP58*(1-p_recur_Stroke-H58*rr_Stroke*rr_HF)*(1-I58) + AQ58*(1-p_recur_Stroke-H58*rr_Stroke*rr_HF)*(1-I58)</f>
        <v>-7.677257151072786E-8</v>
      </c>
      <c r="AR59">
        <f>AR58*(1-AC58-H58*rr_DM) + AD58*(1-T58-H58)*I58</f>
        <v>8.2089636423745042E-4</v>
      </c>
      <c r="AS59">
        <f>AR58*AC58*p_Other + AD58*T58*p_Other*I58 + AE58*(1-T58*p_Stroke-T58*p_MI-H58*rr_Other)*I58 + AS58*(1-AC58*p_Stroke-AC58*p_MI-H58*rr_Other*rr_DM)</f>
        <v>1.0792398799540829E-4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2.6764954867683061E-5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-1.0131494485016276E-5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1.9008893165263671E-5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1.6006744720279594E-5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1.0280931019559216E-6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3.4196498341445491E-7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-9.5858958634867279E-7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1.3249513103024412E-5</v>
      </c>
      <c r="BB59">
        <f>AM58*(1-T58*p_Stroke - H58*rr_HF)*I58 + AN58*(1-T58*p_Stroke - H58*rr_HF)*I58 + BA58*(1-AC58*p_Stroke - H58*rr_HF*rr_DM) + BB58*(1-AC58*p_Stroke - H58*rr_HF*rr_DM)</f>
        <v>2.6800866142375328E-5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2.079514927133804E-7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1.3318600538213437E-6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-1.1441945283288953E-6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0.9988070759674007</v>
      </c>
      <c r="BG59">
        <f t="shared" si="60"/>
        <v>0.99999999999999933</v>
      </c>
      <c r="BH59">
        <f>(0.9442 - 0.0007*$B59 - dis_BMI*($C59-21.75))*AD59</f>
        <v>1.1879422042413163E-4</v>
      </c>
      <c r="BI59">
        <f>0.959*(0.9442 - 0.0007*$B59 - dis_BMI*($C59-21.75))*AE59</f>
        <v>1.1806724170776488E-5</v>
      </c>
      <c r="BJ59">
        <f>(0.943*(0.9442 - 0.0007*$B59 - dis_BMI*($C59-21.75)) - 0.19*0.5)*AF59</f>
        <v>1.8713879129773178E-6</v>
      </c>
      <c r="BK59">
        <f>(0.943*(0.9442 - 0.0007*$B59 - dis_BMI*($C59-21.75)))*AG59</f>
        <v>-4.4992958150467718E-7</v>
      </c>
      <c r="BL59">
        <f>(0.955*(0.9442 - 0.0007*$B59 - dis_BMI*($C59-21.75)) - 0.15*0.5)*AH59</f>
        <v>1.366005850047379E-6</v>
      </c>
      <c r="BM59">
        <f>(0.955*(0.9442 - 0.0007*$B59 - dis_BMI*($C59-21.75)))*AI59</f>
        <v>1.7413691840951819E-6</v>
      </c>
      <c r="BN59">
        <f>(0.955*0.943*(0.9442 - 0.0007*$B59 - dis_BMI*($C59-21.75)) - 0.19*0.5)*AJ59</f>
        <v>4.5866139585197543E-8</v>
      </c>
      <c r="BO59">
        <f>(0.955*0.943*(0.9442 - 0.0007*$B59 - dis_BMI*($C59-21.75)) - 0.15*0.5)*AK59</f>
        <v>1.7471619844251728E-8</v>
      </c>
      <c r="BP59">
        <f>(0.955*0.943*(0.9442 - 0.0007*$B59 - dis_BMI*($C59-21.75)))*AL59</f>
        <v>-4.4329615147719621E-8</v>
      </c>
      <c r="BQ59">
        <f>(0.93*(0.9442 - 0.0007*$B59 - dis_BMI*($C59-21.75)))*AM59</f>
        <v>1.0315448760700233E-6</v>
      </c>
      <c r="BR59">
        <f>(0.93*(0.9442 - 0.0007*$B59 - dis_BMI*($C59-21.75)))*AN59</f>
        <v>2.9942570290726184E-6</v>
      </c>
      <c r="BS59">
        <f>(0.93*0.943*(0.9442 - 0.0007*$B59 - dis_BMI*($C59-21.75)))*AO59</f>
        <v>1.1639225696992696E-8</v>
      </c>
      <c r="BT59">
        <f>(0.93*0.943*(0.9442 - 0.0007*$B59 - dis_BMI*($C59-21.75))-0.19*0.5)*AP59</f>
        <v>6.2255352384974718E-8</v>
      </c>
      <c r="BU59">
        <f>(0.93*0.943*(0.9442 - 0.0007*$B59 - dis_BMI*($C59-21.75)))*AQ59</f>
        <v>-5.5201181443952302E-8</v>
      </c>
      <c r="BV59">
        <f>0.962*(0.9442 - 0.0007*$B59 - dis_BMI*($C59-21.75))*AR59</f>
        <v>6.4745717517727074E-4</v>
      </c>
      <c r="BW59">
        <f>0.962*0.959*(0.9442 - 0.0007*$B59 - dis_BMI*($C59-21.75))*AS59</f>
        <v>8.1631787816681024E-5</v>
      </c>
      <c r="BX59">
        <f>0.962*(0.943*(0.9442 - 0.0007*$B59 - dis_BMI*($C59-21.75)) - 0.19*0.5)*AT59</f>
        <v>1.7460726521458698E-5</v>
      </c>
      <c r="BY59">
        <f>0.962*(0.943*(0.9442 - 0.0007*$B59 - dis_BMI*($C59-21.75)))*AU59</f>
        <v>-7.5354279388995568E-6</v>
      </c>
      <c r="BZ59">
        <f>0.962*(0.955*(0.9442 - 0.0007*$B59 - dis_BMI*($C59-21.75)) - 0.15*0.5)*AV59</f>
        <v>1.2946526797280941E-5</v>
      </c>
      <c r="CA59">
        <f>0.962*(0.955*(0.9442 - 0.0007*$B59 - dis_BMI*($C59-21.75)))*AW59</f>
        <v>1.2056718087858567E-5</v>
      </c>
      <c r="CB59">
        <f>0.962*(0.955*0.943*(0.9442 - 0.0007*$B59 - dis_BMI*($C59-21.75)) - 0.19*0.5)*AX59</f>
        <v>6.3629031802241596E-7</v>
      </c>
      <c r="CC59">
        <f>0.962*(0.955*0.943*(0.9442 - 0.0007*$B59 - dis_BMI*($C59-21.75)) - 0.15*0.5)*AY59</f>
        <v>2.182226977642783E-7</v>
      </c>
      <c r="CD59">
        <f>0.962*(0.955*0.943*(0.9442 - 0.0007*$B59 - dis_BMI*($C59-21.75)))*AZ59</f>
        <v>-6.8087985808225284E-7</v>
      </c>
      <c r="CE59">
        <f>0.962*(0.93*(0.9442 - 0.0007*$B59 - dis_BMI*($C59-21.75)))*BA59</f>
        <v>9.718641975882399E-6</v>
      </c>
      <c r="CF59">
        <f>0.962*(0.93*(0.9442 - 0.0007*$B59 - dis_BMI*($C59-21.75)))*BB59</f>
        <v>1.965868637254589E-5</v>
      </c>
      <c r="CG59">
        <f>0.962*(0.93*0.943*(0.9442 - 0.0007*$B59 - dis_BMI*($C59-21.75)))*BC59</f>
        <v>1.4383990892109278E-7</v>
      </c>
      <c r="CH59">
        <f>0.962*(0.93*0.943*(0.9442 - 0.0007*$B59 - dis_BMI*($C59-21.75))-0.19*0.5)*BD59</f>
        <v>7.9952802129468767E-7</v>
      </c>
      <c r="CI59">
        <f>0.962*(0.93*0.943*(0.9442 - 0.0007*$B59 - dis_BMI*($C59-21.75)))*BE59</f>
        <v>-7.9143859269951398E-7</v>
      </c>
      <c r="CJ59">
        <f t="shared" si="61"/>
        <v>0</v>
      </c>
      <c r="CK59">
        <f t="shared" si="62"/>
        <v>9.3291367871188525E-4</v>
      </c>
      <c r="CL59">
        <f>CK59/(1+r_)^A59</f>
        <v>1.7822017977394056E-4</v>
      </c>
      <c r="CM59">
        <f t="shared" si="63"/>
        <v>0</v>
      </c>
      <c r="CN59">
        <f>AE59*c_Other</f>
        <v>0.21441786130832652</v>
      </c>
      <c r="CO59">
        <f>AF59*(c_Stroke1+c_Stroke2)</f>
        <v>6.5722173704321638E-2</v>
      </c>
      <c r="CP59">
        <f>AG59*c_Stroke2</f>
        <v>-3.782670980164742E-3</v>
      </c>
      <c r="CQ59">
        <f>AH59*(c_MI1+c_MI2)</f>
        <v>5.6245093620649778E-2</v>
      </c>
      <c r="CR59">
        <f>AI59*c_MI2</f>
        <v>6.9322887099852338E-3</v>
      </c>
      <c r="CS59">
        <f>AJ59*(c_Stroke1+c_Stroke2+c_MI2)</f>
        <v>1.920123318501873E-3</v>
      </c>
      <c r="CT59">
        <f>AK59*(c_Stroke2+c_MI1+c_MI2)</f>
        <v>9.3899153416818887E-4</v>
      </c>
      <c r="CU59">
        <f>AL59*(c_Stroke2+c_MI2)</f>
        <v>-5.7739214158627518E-4</v>
      </c>
      <c r="CV59">
        <f>AM59*(c_HF1)</f>
        <v>3.6568199650383014E-2</v>
      </c>
      <c r="CW59">
        <f>AN59*(c_HF2)</f>
        <v>6.1280494094042279E-2</v>
      </c>
      <c r="CX59">
        <f>AO59*(c_Stroke2+c_HF1)</f>
        <v>5.4276940337994904E-4</v>
      </c>
      <c r="CY59">
        <f>AP59*(c_Stroke1+c_Stroke2+c_HF2)</f>
        <v>3.9328221652572843E-3</v>
      </c>
      <c r="CZ59">
        <f>AQ59*(c_Stroke2+c_HF2)</f>
        <v>-1.6970576932446393E-3</v>
      </c>
      <c r="DA59">
        <f>AR59*c_DM</f>
        <v>9.3787409614128716</v>
      </c>
      <c r="DB59">
        <f>AS59*(c_Other+c_DM)</f>
        <v>2.7740781874339748</v>
      </c>
      <c r="DC59">
        <f>AT59*(c_Stroke1+c_Stroke2+c_DM)</f>
        <v>0.94322377449201877</v>
      </c>
      <c r="DD59">
        <f>AU59*(c_Stroke2+c_DM)</f>
        <v>-0.18160703864391675</v>
      </c>
      <c r="DE59">
        <f>AV59*(c_MI1+c_MI2+c_DM)</f>
        <v>0.77130484907373875</v>
      </c>
      <c r="DF59">
        <f>AW59*(c_MI2+c_DM)</f>
        <v>0.23277008172230584</v>
      </c>
      <c r="DG59">
        <f>AX59*(c_Stroke1+c_Stroke2+c_MI2+c_DM)</f>
        <v>3.9435595204825237E-2</v>
      </c>
      <c r="DH59">
        <f>AY59*(c_Stroke2+c_MI1+c_MI2+c_DM)</f>
        <v>1.6098343559218881E-2</v>
      </c>
      <c r="DI59">
        <f>AZ59*(c_Stroke2+c_MI2+c_DM)</f>
        <v>-2.0170642075948774E-2</v>
      </c>
      <c r="DJ59">
        <f>BA59*(c_HF1+c_DM)</f>
        <v>0.50951002637680376</v>
      </c>
      <c r="DK59">
        <f>BB59*(c_HF2+c_DM)</f>
        <v>0.72442741182840509</v>
      </c>
      <c r="DL59">
        <f>BC59*(c_Stroke2+c_HF1+c_DM)</f>
        <v>9.3484593549300159E-3</v>
      </c>
      <c r="DM59">
        <f>BD59*(c_Stroke1+c_Stroke2+c_HF2+c_DM)</f>
        <v>6.7719756296600042E-2</v>
      </c>
      <c r="DN59">
        <f>BE59*(c_Stroke2+c_HF2+c_DM)</f>
        <v>-3.8364842534867862E-2</v>
      </c>
      <c r="DO59">
        <f t="shared" si="64"/>
        <v>0</v>
      </c>
      <c r="DP59">
        <f t="shared" si="65"/>
        <v>15.668958620194982</v>
      </c>
      <c r="DQ59">
        <f>DP59/(1+r_)^A59</f>
        <v>2.9933365603743169</v>
      </c>
    </row>
    <row r="60" spans="1:121" x14ac:dyDescent="0.3">
      <c r="A60">
        <v>57</v>
      </c>
      <c r="B60">
        <v>102</v>
      </c>
      <c r="C60">
        <f t="shared" si="0"/>
        <v>38</v>
      </c>
      <c r="D60">
        <f t="shared" si="1"/>
        <v>125</v>
      </c>
      <c r="E60">
        <f t="shared" si="2"/>
        <v>5.7</v>
      </c>
      <c r="F60">
        <v>0.36415999999999998</v>
      </c>
      <c r="G60">
        <v>0.40406999999999998</v>
      </c>
      <c r="H60">
        <f t="shared" si="52"/>
        <v>0.37214199999999997</v>
      </c>
      <c r="I60">
        <f t="shared" si="53"/>
        <v>5.6857293942168513E-2</v>
      </c>
      <c r="J60">
        <f t="shared" si="23"/>
        <v>0.54463470320380358</v>
      </c>
      <c r="K60">
        <f t="shared" si="24"/>
        <v>0.66769565151324561</v>
      </c>
      <c r="L60">
        <f t="shared" si="25"/>
        <v>0.31092263295563505</v>
      </c>
      <c r="M60">
        <f t="shared" si="26"/>
        <v>0.40639751997415596</v>
      </c>
      <c r="N60">
        <f t="shared" si="27"/>
        <v>0.90966300373787501</v>
      </c>
      <c r="O60">
        <f t="shared" si="28"/>
        <v>0.96653046144481136</v>
      </c>
      <c r="P60">
        <f t="shared" si="29"/>
        <v>0.69352103804743837</v>
      </c>
      <c r="Q60">
        <f t="shared" si="30"/>
        <v>0.81194285715510595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4.4708282385208575E-2</v>
      </c>
      <c r="U60">
        <f t="shared" si="31"/>
        <v>0.81949639457346857</v>
      </c>
      <c r="V60">
        <f t="shared" si="32"/>
        <v>0.90906839018971841</v>
      </c>
      <c r="W60">
        <f t="shared" si="33"/>
        <v>0.55534695057358552</v>
      </c>
      <c r="X60">
        <f t="shared" si="34"/>
        <v>0.67859189294024636</v>
      </c>
      <c r="Y60">
        <f t="shared" si="35"/>
        <v>0.98327963021806275</v>
      </c>
      <c r="Z60">
        <f t="shared" si="36"/>
        <v>0.99691350122853506</v>
      </c>
      <c r="AA60">
        <f t="shared" si="37"/>
        <v>0.86633051619578882</v>
      </c>
      <c r="AB60">
        <f t="shared" si="38"/>
        <v>0.94177717407930517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6.683142056070332E-2</v>
      </c>
      <c r="AD60">
        <f t="shared" si="54"/>
        <v>8.2807395795149864E-5</v>
      </c>
      <c r="AE60">
        <f t="shared" si="55"/>
        <v>7.7634818606871954E-6</v>
      </c>
      <c r="AF60">
        <f t="shared" si="56"/>
        <v>1.6287373896287959E-6</v>
      </c>
      <c r="AG60">
        <f t="shared" si="57"/>
        <v>-4.6314202068579845E-7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1.1396467740292829E-6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1.1071300458985368E-6</v>
      </c>
      <c r="AJ60">
        <f t="shared" si="58"/>
        <v>4.0329482443478027E-8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1.4655249756865835E-8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-3.5650786784650086E-8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7.8182862040390621E-7</v>
      </c>
      <c r="AN60">
        <f t="shared" si="59"/>
        <v>1.7563197375766178E-6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8.8603314239757351E-9</v>
      </c>
      <c r="AP60">
        <f>AM59*T59*p_Stroke*p_Stroke_rec*(1-I59) + AN59*T59*p_Stroke*p_Stroke_rec*(1-I59) + AO59*(p_recur_Stroke*p_Stroke_rec)*(1-I59) + AP59*(p_recur_Stroke*p_Stroke_rec)*(1-I59) + AQ59*(p_recur_Stroke*p_Stroke_rec)*(1-I59)</f>
        <v>5.0370291384976075E-8</v>
      </c>
      <c r="AQ60">
        <f>AO59*(1-p_recur_Stroke-H59*rr_Stroke*rr_HF)*(1-I59) + AP59*(1-p_recur_Stroke-H59*rr_Stroke*rr_HF)*(1-I59) + AQ59*(1-p_recur_Stroke-H59*rr_Stroke*rr_HF)*(1-I59)</f>
        <v>-4.118024381902302E-8</v>
      </c>
      <c r="AR60">
        <f>AR59*(1-AC59-H59*rr_DM) + AD59*(1-T59-H59)*I59</f>
        <v>4.4118945882873573E-4</v>
      </c>
      <c r="AS60">
        <f>AR59*AC59*p_Other + AD59*T59*p_Other*I59 + AE59*(1-T59*p_Stroke-T59*p_MI-H59*rr_Other)*I59 + AS59*(1-AC59*p_Stroke-AC59*p_MI-H59*rr_Other*rr_DM)</f>
        <v>5.2428323144543168E-5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1.4907741769929703E-5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-6.5937400011008399E-6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1.0554743321197453E-5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6.8797986379393127E-6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5.3693533203574219E-7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1.7825295172583909E-7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-5.2275467026951952E-7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7.1585961916917132E-6</v>
      </c>
      <c r="BB60">
        <f>AM59*(1-T59*p_Stroke - H59*rr_HF)*I59 + AN59*(1-T59*p_Stroke - H59*rr_HF)*I59 + BA59*(1-AC59*p_Stroke - H59*rr_HF*rr_DM) + BB59*(1-AC59*p_Stroke - H59*rr_HF*rr_DM)</f>
        <v>1.0200256623182554E-5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1.0635808995988898E-7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6.0611296057527429E-7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-5.617224203590639E-7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0.99936637285671248</v>
      </c>
      <c r="BG60">
        <f t="shared" si="60"/>
        <v>0.99999999999999933</v>
      </c>
      <c r="BH60">
        <f>(0.9442 - 0.0007*$B60 - dis_BMI*($C60-21.75))*AD60</f>
        <v>6.783374845049189E-5</v>
      </c>
      <c r="BI60">
        <f>0.959*(0.9442 - 0.0007*$B60 - dis_BMI*($C60-21.75))*AE60</f>
        <v>6.0989045928460672E-6</v>
      </c>
      <c r="BJ60">
        <f>(0.943*(0.9442 - 0.0007*$B60 - dis_BMI*($C60-21.75)) - 0.19*0.5)*AF60</f>
        <v>1.1034403049189306E-6</v>
      </c>
      <c r="BK60">
        <f>(0.943*(0.9442 - 0.0007*$B60 - dis_BMI*($C60-21.75)))*AG60</f>
        <v>-3.5776888600195748E-7</v>
      </c>
      <c r="BL60">
        <f>(0.955*(0.9442 - 0.0007*$B60 - dis_BMI*($C60-21.75)) - 0.15*0.5)*AH60</f>
        <v>8.060859814880468E-7</v>
      </c>
      <c r="BM60">
        <f>(0.955*(0.9442 - 0.0007*$B60 - dis_BMI*($C60-21.75)))*AI60</f>
        <v>8.6612125885823177E-7</v>
      </c>
      <c r="BN60">
        <f>(0.955*0.943*(0.9442 - 0.0007*$B60 - dis_BMI*($C60-21.75)) - 0.19*0.5)*AJ60</f>
        <v>2.5920578421078146E-8</v>
      </c>
      <c r="BO60">
        <f>(0.955*0.943*(0.9442 - 0.0007*$B60 - dis_BMI*($C60-21.75)) - 0.15*0.5)*AK60</f>
        <v>9.7123320118916373E-9</v>
      </c>
      <c r="BP60">
        <f>(0.955*0.943*(0.9442 - 0.0007*$B60 - dis_BMI*($C60-21.75)))*AL60</f>
        <v>-2.6300310329678498E-8</v>
      </c>
      <c r="BQ60">
        <f>(0.93*(0.9442 - 0.0007*$B60 - dis_BMI*($C60-21.75)))*AM60</f>
        <v>5.9562264791101406E-7</v>
      </c>
      <c r="BR60">
        <f>(0.93*(0.9442 - 0.0007*$B60 - dis_BMI*($C60-21.75)))*AN60</f>
        <v>1.3380218955572732E-6</v>
      </c>
      <c r="BS60">
        <f>(0.93*0.943*(0.9442 - 0.0007*$B60 - dis_BMI*($C60-21.75)))*AO60</f>
        <v>6.3653354873244362E-9</v>
      </c>
      <c r="BT60">
        <f>(0.93*0.943*(0.9442 - 0.0007*$B60 - dis_BMI*($C60-21.75))-0.19*0.5)*AP60</f>
        <v>3.1401256879110204E-8</v>
      </c>
      <c r="BU60">
        <f>(0.93*0.943*(0.9442 - 0.0007*$B60 - dis_BMI*($C60-21.75)))*AQ60</f>
        <v>-2.9584228265840753E-8</v>
      </c>
      <c r="BV60">
        <f>0.962*(0.9442 - 0.0007*$B60 - dis_BMI*($C60-21.75))*AR60</f>
        <v>3.4767774268846049E-4</v>
      </c>
      <c r="BW60">
        <f>0.962*0.959*(0.9442 - 0.0007*$B60 - dis_BMI*($C60-21.75))*AS60</f>
        <v>3.9621994794359971E-5</v>
      </c>
      <c r="BX60">
        <f>0.962*(0.943*(0.9442 - 0.0007*$B60 - dis_BMI*($C60-21.75)) - 0.19*0.5)*AT60</f>
        <v>9.7159374533352343E-6</v>
      </c>
      <c r="BY60">
        <f>0.962*(0.943*(0.9442 - 0.0007*$B60 - dis_BMI*($C60-21.75)))*AU60</f>
        <v>-4.8999908944956717E-6</v>
      </c>
      <c r="BZ60">
        <f>0.962*(0.955*(0.9442 - 0.0007*$B60 - dis_BMI*($C60-21.75)) - 0.15*0.5)*AV60</f>
        <v>7.1818090061065901E-6</v>
      </c>
      <c r="CA60">
        <f>0.962*(0.955*(0.9442 - 0.0007*$B60 - dis_BMI*($C60-21.75)))*AW60</f>
        <v>5.1776281961217089E-6</v>
      </c>
      <c r="CB60">
        <f>0.962*(0.955*0.943*(0.9442 - 0.0007*$B60 - dis_BMI*($C60-21.75)) - 0.19*0.5)*AX60</f>
        <v>3.3198548415203492E-7</v>
      </c>
      <c r="CC60">
        <f>0.962*(0.955*0.943*(0.9442 - 0.0007*$B60 - dis_BMI*($C60-21.75)) - 0.15*0.5)*AY60</f>
        <v>1.1364284516603814E-7</v>
      </c>
      <c r="CD60">
        <f>0.962*(0.955*0.943*(0.9442 - 0.0007*$B60 - dis_BMI*($C60-21.75)))*AZ60</f>
        <v>-3.7099217339027949E-7</v>
      </c>
      <c r="CE60">
        <f>0.962*(0.93*(0.9442 - 0.0007*$B60 - dis_BMI*($C60-21.75)))*BA60</f>
        <v>5.2464142079874963E-6</v>
      </c>
      <c r="CF60">
        <f>0.962*(0.93*(0.9442 - 0.0007*$B60 - dis_BMI*($C60-21.75)))*BB60</f>
        <v>7.4755957508949734E-6</v>
      </c>
      <c r="CG60">
        <f>0.962*(0.93*0.943*(0.9442 - 0.0007*$B60 - dis_BMI*($C60-21.75)))*BC60</f>
        <v>7.3505008570755256E-8</v>
      </c>
      <c r="CH60">
        <f>0.962*(0.93*0.943*(0.9442 - 0.0007*$B60 - dis_BMI*($C60-21.75))-0.19*0.5)*BD60</f>
        <v>3.6349731827991009E-7</v>
      </c>
      <c r="CI60">
        <f>0.962*(0.93*0.943*(0.9442 - 0.0007*$B60 - dis_BMI*($C60-21.75)))*BE60</f>
        <v>-3.8821129016560873E-7</v>
      </c>
      <c r="CJ60">
        <f t="shared" si="61"/>
        <v>0</v>
      </c>
      <c r="CK60">
        <f t="shared" si="62"/>
        <v>4.9562224960565703E-4</v>
      </c>
      <c r="CL60">
        <f>CK60/(1+r_)^A60</f>
        <v>9.1924015311374411E-5</v>
      </c>
      <c r="CM60">
        <f t="shared" si="63"/>
        <v>0</v>
      </c>
      <c r="CN60">
        <f>AE60*c_Other</f>
        <v>0.11085475748875247</v>
      </c>
      <c r="CO60">
        <f>AF60*(c_Stroke1+c_Stroke2)</f>
        <v>3.8790009671399402E-2</v>
      </c>
      <c r="CP60">
        <f>AG60*c_Stroke2</f>
        <v>-3.0104231344576901E-3</v>
      </c>
      <c r="CQ60">
        <f>AH60*(c_MI1+c_MI2)</f>
        <v>3.3221843109727624E-2</v>
      </c>
      <c r="CR60">
        <f>AI60*c_MI2</f>
        <v>3.4509243530657392E-3</v>
      </c>
      <c r="CS60">
        <f>AJ60*(c_Stroke1+c_Stroke2+c_MI2)</f>
        <v>1.0861939506501938E-3</v>
      </c>
      <c r="CT60">
        <f>AK60*(c_Stroke2+c_MI1+c_MI2)</f>
        <v>5.2247430908202385E-4</v>
      </c>
      <c r="CU60">
        <f>AL60*(c_Stroke2+c_MI2)</f>
        <v>-3.4285361650797987E-4</v>
      </c>
      <c r="CV60">
        <f>AM60*(c_HF1)</f>
        <v>2.1132827609517586E-2</v>
      </c>
      <c r="CW60">
        <f>AN60*(c_HF2)</f>
        <v>2.7407369504883122E-2</v>
      </c>
      <c r="CX60">
        <f>AO60*(c_Stroke2+c_HF1)</f>
        <v>2.9708691264590639E-4</v>
      </c>
      <c r="CY60">
        <f>AP60*(c_Stroke1+c_Stroke2+c_HF2)</f>
        <v>1.9856472566871417E-3</v>
      </c>
      <c r="CZ60">
        <f>AQ60*(c_Stroke2+c_HF2)</f>
        <v>-9.1028928961950383E-4</v>
      </c>
      <c r="DA60">
        <f>AR60*c_DM</f>
        <v>5.0405895671183059</v>
      </c>
      <c r="DB60">
        <f>AS60*(c_Other+c_DM)</f>
        <v>1.3476176181073376</v>
      </c>
      <c r="DC60">
        <f>AT60*(c_Stroke1+c_Stroke2+c_DM)</f>
        <v>0.52536372771409268</v>
      </c>
      <c r="DD60">
        <f>AU60*(c_Stroke2+c_DM)</f>
        <v>-0.11819278951973256</v>
      </c>
      <c r="DE60">
        <f>AV60*(c_MI1+c_MI2+c_DM)</f>
        <v>0.42826926500090789</v>
      </c>
      <c r="DF60">
        <f>AW60*(c_MI2+c_DM)</f>
        <v>0.10004603179291349</v>
      </c>
      <c r="DG60">
        <f>AX60*(c_Stroke1+c_Stroke2+c_MI2+c_DM)</f>
        <v>2.0595765466227E-2</v>
      </c>
      <c r="DH60">
        <f>AY60*(c_Stroke2+c_MI1+c_MI2+c_DM)</f>
        <v>8.3914359554456003E-3</v>
      </c>
      <c r="DI60">
        <f>AZ60*(c_Stroke2+c_MI2+c_DM)</f>
        <v>-1.099980377181123E-2</v>
      </c>
      <c r="DJ60">
        <f>BA60*(c_HF1+c_DM)</f>
        <v>0.27528381655150486</v>
      </c>
      <c r="DK60">
        <f>BB60*(c_HF2+c_DM)</f>
        <v>0.27571293652462442</v>
      </c>
      <c r="DL60">
        <f>BC60*(c_Stroke2+c_HF1+c_DM)</f>
        <v>4.7813279341468095E-3</v>
      </c>
      <c r="DM60">
        <f>BD60*(c_Stroke1+c_Stroke2+c_HF2+c_DM)</f>
        <v>3.0818419593410397E-2</v>
      </c>
      <c r="DN60">
        <f>BE60*(c_Stroke2+c_HF2+c_DM)</f>
        <v>-1.8834552754639414E-2</v>
      </c>
      <c r="DO60">
        <f t="shared" si="64"/>
        <v>0</v>
      </c>
      <c r="DP60">
        <f t="shared" si="65"/>
        <v>8.1439283338385575</v>
      </c>
      <c r="DQ60">
        <f>DP60/(1+r_)^A60</f>
        <v>1.5104701079302931</v>
      </c>
    </row>
    <row r="61" spans="1:121" x14ac:dyDescent="0.3">
      <c r="A61">
        <v>58</v>
      </c>
      <c r="B61">
        <v>103</v>
      </c>
      <c r="C61">
        <f t="shared" si="0"/>
        <v>38</v>
      </c>
      <c r="D61">
        <f t="shared" si="1"/>
        <v>125</v>
      </c>
      <c r="E61">
        <f t="shared" si="2"/>
        <v>5.7</v>
      </c>
      <c r="F61">
        <v>0.38614999999999999</v>
      </c>
      <c r="G61">
        <v>0.42459000000000002</v>
      </c>
      <c r="H61">
        <f t="shared" si="52"/>
        <v>0.39383800000000002</v>
      </c>
      <c r="I61">
        <f t="shared" si="53"/>
        <v>5.6857293942168513E-2</v>
      </c>
      <c r="J61">
        <f t="shared" si="23"/>
        <v>0.5541704278484163</v>
      </c>
      <c r="K61">
        <f t="shared" si="24"/>
        <v>0.67740024974442581</v>
      </c>
      <c r="L61">
        <f t="shared" si="25"/>
        <v>0.31779177779175305</v>
      </c>
      <c r="M61">
        <f t="shared" si="26"/>
        <v>0.41466820167235707</v>
      </c>
      <c r="N61">
        <f t="shared" si="27"/>
        <v>0.9161181876659118</v>
      </c>
      <c r="O61">
        <f t="shared" si="28"/>
        <v>0.96985921685476228</v>
      </c>
      <c r="P61">
        <f t="shared" si="29"/>
        <v>0.70449633645147536</v>
      </c>
      <c r="Q61">
        <f t="shared" si="30"/>
        <v>0.82138776713817929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4.548157252169626E-2</v>
      </c>
      <c r="U61">
        <f t="shared" si="31"/>
        <v>0.82762141745595774</v>
      </c>
      <c r="V61">
        <f t="shared" si="32"/>
        <v>0.91474861475882085</v>
      </c>
      <c r="W61">
        <f t="shared" si="33"/>
        <v>0.56493707158406847</v>
      </c>
      <c r="X61">
        <f t="shared" si="34"/>
        <v>0.68825801302507061</v>
      </c>
      <c r="Y61">
        <f t="shared" si="35"/>
        <v>0.9852613965981929</v>
      </c>
      <c r="Z61">
        <f t="shared" si="36"/>
        <v>0.99741744792204645</v>
      </c>
      <c r="AA61">
        <f t="shared" si="37"/>
        <v>0.87437333317043164</v>
      </c>
      <c r="AB61">
        <f t="shared" si="38"/>
        <v>0.946664961099139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6.7640159076878675E-2</v>
      </c>
      <c r="AD61">
        <f t="shared" si="54"/>
        <v>4.5543521382768794E-5</v>
      </c>
      <c r="AE61">
        <f t="shared" si="55"/>
        <v>3.9179694391985473E-6</v>
      </c>
      <c r="AF61">
        <f t="shared" si="56"/>
        <v>9.2947366024919647E-7</v>
      </c>
      <c r="AG61">
        <f t="shared" si="57"/>
        <v>-3.2390477122664672E-7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6.5017997766940689E-7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5.2474148425029967E-7</v>
      </c>
      <c r="AJ61">
        <f t="shared" si="58"/>
        <v>2.2059719938147732E-8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7.9308838236663927E-9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-2.0322376008474077E-8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4.3677438625003665E-7</v>
      </c>
      <c r="AN61">
        <f t="shared" si="59"/>
        <v>7.4787905812524432E-7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4.7187074094802907E-9</v>
      </c>
      <c r="AP61">
        <f>AM60*T60*p_Stroke*p_Stroke_rec*(1-I60) + AN60*T60*p_Stroke*p_Stroke_rec*(1-I60) + AO60*(p_recur_Stroke*p_Stroke_rec)*(1-I60) + AP60*(p_recur_Stroke*p_Stroke_rec)*(1-I60) + AQ60*(p_recur_Stroke*p_Stroke_rec)*(1-I60)</f>
        <v>2.4525800848716418E-8</v>
      </c>
      <c r="AQ61">
        <f>AO60*(1-p_recur_Stroke-H60*rr_Stroke*rr_HF)*(1-I60) + AP60*(1-p_recur_Stroke-H60*rr_Stroke*rr_HF)*(1-I60) + AQ60*(1-p_recur_Stroke-H60*rr_Stroke*rr_HF)*(1-I60)</f>
        <v>-2.1108911921112823E-8</v>
      </c>
      <c r="AR61">
        <f>AR60*(1-AC60-H60*rr_DM) + AD60*(1-T60-H60)*I60</f>
        <v>2.2563683192483263E-4</v>
      </c>
      <c r="AS61">
        <f>AR60*AC60*p_Other + AD60*T60*p_Other*I60 + AE60*(1-T60*p_Stroke-T60*p_MI-H60*rr_Other)*I60 + AS60*(1-AC60*p_Stroke-AC60*p_MI-H60*rr_Other*rr_DM)</f>
        <v>2.4673649469213103E-5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7.9544090283490078E-6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-3.9622593531754311E-6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5.6134822008983449E-6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2.7225990554862177E-6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2.6912561322682637E-7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8.947570300114251E-8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-2.6881363730303545E-7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3.7123652630937768E-6</v>
      </c>
      <c r="BB61">
        <f>AM60*(1-T60*p_Stroke - H60*rr_HF)*I60 + AN60*(1-T60*p_Stroke - H60*rr_HF)*I60 + BA60*(1-AC60*p_Stroke - H60*rr_HF*rr_DM) + BB60*(1-AC60*p_Stroke - H60*rr_HF*rr_DM)</f>
        <v>3.6164192692385737E-6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5.2260987593092291E-8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2.6360189839126237E-7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-2.3612922724115958E-7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0.99967741854336234</v>
      </c>
      <c r="BG61">
        <f t="shared" si="60"/>
        <v>0.99999999999999933</v>
      </c>
      <c r="BH61">
        <f>(0.9442 - 0.0007*$B61 - dis_BMI*($C61-21.75))*AD61</f>
        <v>3.7276233663761693E-5</v>
      </c>
      <c r="BI61">
        <f>0.959*(0.9442 - 0.0007*$B61 - dis_BMI*($C61-21.75))*AE61</f>
        <v>3.0752828752413619E-6</v>
      </c>
      <c r="BJ61">
        <f>(0.943*(0.9442 - 0.0007*$B61 - dis_BMI*($C61-21.75)) - 0.19*0.5)*AF61</f>
        <v>6.2908815196665713E-7</v>
      </c>
      <c r="BK61">
        <f>(0.943*(0.9442 - 0.0007*$B61 - dis_BMI*($C61-21.75)))*AG61</f>
        <v>-2.4999680404483508E-7</v>
      </c>
      <c r="BL61">
        <f>(0.955*(0.9442 - 0.0007*$B61 - dis_BMI*($C61-21.75)) - 0.15*0.5)*AH61</f>
        <v>4.5944553632272883E-7</v>
      </c>
      <c r="BM61">
        <f>(0.955*(0.9442 - 0.0007*$B61 - dis_BMI*($C61-21.75)))*AI61</f>
        <v>4.101608359372847E-7</v>
      </c>
      <c r="BN61">
        <f>(0.955*0.943*(0.9442 - 0.0007*$B61 - dis_BMI*($C61-21.75)) - 0.19*0.5)*AJ61</f>
        <v>1.4164324215655038E-8</v>
      </c>
      <c r="BO61">
        <f>(0.955*0.943*(0.9442 - 0.0007*$B61 - dis_BMI*($C61-21.75)) - 0.15*0.5)*AK61</f>
        <v>5.2509583820705667E-9</v>
      </c>
      <c r="BP61">
        <f>(0.955*0.943*(0.9442 - 0.0007*$B61 - dis_BMI*($C61-21.75)))*AL61</f>
        <v>-1.4979418879719736E-8</v>
      </c>
      <c r="BQ61">
        <f>(0.93*(0.9442 - 0.0007*$B61 - dis_BMI*($C61-21.75)))*AM61</f>
        <v>3.3246469168097888E-7</v>
      </c>
      <c r="BR61">
        <f>(0.93*(0.9442 - 0.0007*$B61 - dis_BMI*($C61-21.75)))*AN61</f>
        <v>5.6927189025212527E-7</v>
      </c>
      <c r="BS61">
        <f>(0.93*0.943*(0.9442 - 0.0007*$B61 - dis_BMI*($C61-21.75)))*AO61</f>
        <v>3.387061707756063E-9</v>
      </c>
      <c r="BT61">
        <f>(0.93*0.943*(0.9442 - 0.0007*$B61 - dis_BMI*($C61-21.75))-0.19*0.5)*AP61</f>
        <v>1.5274531184969277E-8</v>
      </c>
      <c r="BU61">
        <f>(0.93*0.943*(0.9442 - 0.0007*$B61 - dis_BMI*($C61-21.75)))*AQ61</f>
        <v>-1.5151858561256137E-8</v>
      </c>
      <c r="BV61">
        <f>0.962*(0.9442 - 0.0007*$B61 - dis_BMI*($C61-21.75))*AR61</f>
        <v>1.7766033798130966E-4</v>
      </c>
      <c r="BW61">
        <f>0.962*0.959*(0.9442 - 0.0007*$B61 - dis_BMI*($C61-21.75))*AS61</f>
        <v>1.8630842238876802E-5</v>
      </c>
      <c r="BX61">
        <f>0.962*(0.943*(0.9442 - 0.0007*$B61 - dis_BMI*($C61-21.75)) - 0.19*0.5)*AT61</f>
        <v>5.1791371304339823E-6</v>
      </c>
      <c r="BY61">
        <f>0.962*(0.943*(0.9442 - 0.0007*$B61 - dis_BMI*($C61-21.75)))*AU61</f>
        <v>-2.9419486129470657E-6</v>
      </c>
      <c r="BZ61">
        <f>0.962*(0.955*(0.9442 - 0.0007*$B61 - dis_BMI*($C61-21.75)) - 0.15*0.5)*AV61</f>
        <v>3.815995617685785E-6</v>
      </c>
      <c r="CA61">
        <f>0.962*(0.955*(0.9442 - 0.0007*$B61 - dis_BMI*($C61-21.75)))*AW61</f>
        <v>2.0472343117360544E-6</v>
      </c>
      <c r="CB61">
        <f>0.962*(0.955*0.943*(0.9442 - 0.0007*$B61 - dis_BMI*($C61-21.75)) - 0.19*0.5)*AX61</f>
        <v>1.6623634017229304E-7</v>
      </c>
      <c r="CC61">
        <f>0.962*(0.955*0.943*(0.9442 - 0.0007*$B61 - dis_BMI*($C61-21.75)) - 0.15*0.5)*AY61</f>
        <v>5.6989806104014971E-8</v>
      </c>
      <c r="CD61">
        <f>0.962*(0.955*0.943*(0.9442 - 0.0007*$B61 - dis_BMI*($C61-21.75)))*AZ61</f>
        <v>-1.9061051391459994E-7</v>
      </c>
      <c r="CE61">
        <f>0.962*(0.93*(0.9442 - 0.0007*$B61 - dis_BMI*($C61-21.75)))*BA61</f>
        <v>2.7184048694720962E-6</v>
      </c>
      <c r="CF61">
        <f>0.962*(0.93*(0.9442 - 0.0007*$B61 - dis_BMI*($C61-21.75)))*BB61</f>
        <v>2.6481477588652149E-6</v>
      </c>
      <c r="CG61">
        <f>0.962*(0.93*0.943*(0.9442 - 0.0007*$B61 - dis_BMI*($C61-21.75)))*BC61</f>
        <v>3.6087163261763131E-8</v>
      </c>
      <c r="CH61">
        <f>0.962*(0.93*0.943*(0.9442 - 0.0007*$B61 - dis_BMI*($C61-21.75))-0.19*0.5)*BD61</f>
        <v>1.5793133180139023E-7</v>
      </c>
      <c r="CI61">
        <f>0.962*(0.93*0.943*(0.9442 - 0.0007*$B61 - dis_BMI*($C61-21.75)))*BE61</f>
        <v>-1.6305152976963651E-7</v>
      </c>
      <c r="CJ61">
        <f t="shared" si="61"/>
        <v>0</v>
      </c>
      <c r="CK61">
        <f t="shared" si="62"/>
        <v>2.523316303322552E-4</v>
      </c>
      <c r="CL61">
        <f>CK61/(1+r_)^A61</f>
        <v>4.5437315089277205E-5</v>
      </c>
      <c r="CM61">
        <f t="shared" si="63"/>
        <v>0</v>
      </c>
      <c r="CN61">
        <f>AE61*c_Other</f>
        <v>5.5944685622316054E-2</v>
      </c>
      <c r="CO61">
        <f>AF61*(c_Stroke1+c_Stroke2)</f>
        <v>2.2136344692494862E-2</v>
      </c>
      <c r="CP61">
        <f>AG61*c_Stroke2</f>
        <v>-2.1053810129732036E-3</v>
      </c>
      <c r="CQ61">
        <f>AH61*(c_MI1+c_MI2)</f>
        <v>1.8953396529040881E-2</v>
      </c>
      <c r="CR61">
        <f>AI61*c_MI2</f>
        <v>1.635619206408184E-3</v>
      </c>
      <c r="CS61">
        <f>AJ61*(c_Stroke1+c_Stroke2+c_MI2)</f>
        <v>5.9413443709413287E-4</v>
      </c>
      <c r="CT61">
        <f>AK61*(c_Stroke2+c_MI1+c_MI2)</f>
        <v>2.8274393919753058E-4</v>
      </c>
      <c r="CU61">
        <f>AL61*(c_Stroke2+c_MI2)</f>
        <v>-1.9544029007349521E-4</v>
      </c>
      <c r="CV61">
        <f>AM61*(c_HF1)</f>
        <v>1.180601166033849E-2</v>
      </c>
      <c r="CW61">
        <f>AN61*(c_HF2)</f>
        <v>1.1670652702044438E-2</v>
      </c>
      <c r="CX61">
        <f>AO61*(c_Stroke2+c_HF1)</f>
        <v>1.5821825943987413E-4</v>
      </c>
      <c r="CY61">
        <f>AP61*(c_Stroke1+c_Stroke2+c_HF2)</f>
        <v>9.6683159525724999E-4</v>
      </c>
      <c r="CZ61">
        <f>AQ61*(c_Stroke2+c_HF2)</f>
        <v>-4.6661249801619896E-4</v>
      </c>
      <c r="DA61">
        <f>AR61*c_DM</f>
        <v>2.5779008047412129</v>
      </c>
      <c r="DB61">
        <f>AS61*(c_Other+c_DM)</f>
        <v>0.63421148595665355</v>
      </c>
      <c r="DC61">
        <f>AT61*(c_Stroke1+c_Stroke2+c_DM)</f>
        <v>0.28032132856804737</v>
      </c>
      <c r="DD61">
        <f>AU61*(c_Stroke2+c_DM)</f>
        <v>-7.1023498905669599E-2</v>
      </c>
      <c r="DE61">
        <f>AV61*(c_MI1+c_MI2+c_DM)</f>
        <v>0.22777265378365125</v>
      </c>
      <c r="DF61">
        <f>AW61*(c_MI2+c_DM)</f>
        <v>3.9592035464880576E-2</v>
      </c>
      <c r="DG61">
        <f>AX61*(c_Stroke1+c_Stroke2+c_MI2+c_DM)</f>
        <v>1.0323120272154606E-2</v>
      </c>
      <c r="DH61">
        <f>AY61*(c_Stroke2+c_MI1+c_MI2+c_DM)</f>
        <v>4.2121581944817845E-3</v>
      </c>
      <c r="DI61">
        <f>AZ61*(c_Stroke2+c_MI2+c_DM)</f>
        <v>-5.6563765561304718E-3</v>
      </c>
      <c r="DJ61">
        <f>BA61*(c_HF1+c_DM)</f>
        <v>0.14275900619227119</v>
      </c>
      <c r="DK61">
        <f>BB61*(c_HF2+c_DM)</f>
        <v>9.7751812847518646E-2</v>
      </c>
      <c r="DL61">
        <f>BC61*(c_Stroke2+c_HF1+c_DM)</f>
        <v>2.3493926972474638E-3</v>
      </c>
      <c r="DM61">
        <f>BD61*(c_Stroke1+c_Stroke2+c_HF2+c_DM)</f>
        <v>1.3403102125602126E-2</v>
      </c>
      <c r="DN61">
        <f>BE61*(c_Stroke2+c_HF2+c_DM)</f>
        <v>-7.9174129893960811E-3</v>
      </c>
      <c r="DO61">
        <f t="shared" si="64"/>
        <v>0</v>
      </c>
      <c r="DP61">
        <f t="shared" si="65"/>
        <v>4.0673808172350938</v>
      </c>
      <c r="DQ61">
        <f>DP61/(1+r_)^A61</f>
        <v>0.73241259344872811</v>
      </c>
    </row>
    <row r="62" spans="1:121" x14ac:dyDescent="0.3">
      <c r="A62">
        <v>59</v>
      </c>
      <c r="B62">
        <v>104</v>
      </c>
      <c r="C62">
        <f t="shared" si="0"/>
        <v>38</v>
      </c>
      <c r="D62">
        <f t="shared" si="1"/>
        <v>125</v>
      </c>
      <c r="E62">
        <f t="shared" si="2"/>
        <v>5.7</v>
      </c>
      <c r="F62">
        <v>0.40767999999999999</v>
      </c>
      <c r="G62">
        <v>0.44438</v>
      </c>
      <c r="H62">
        <f t="shared" si="52"/>
        <v>0.41501999999999994</v>
      </c>
      <c r="I62">
        <f t="shared" si="53"/>
        <v>5.6857293942168513E-2</v>
      </c>
      <c r="J62">
        <f t="shared" si="23"/>
        <v>0.56366209082092433</v>
      </c>
      <c r="K62">
        <f t="shared" si="24"/>
        <v>0.68697780091858962</v>
      </c>
      <c r="L62">
        <f t="shared" si="25"/>
        <v>0.32470645427567513</v>
      </c>
      <c r="M62">
        <f t="shared" si="26"/>
        <v>0.42296008771918514</v>
      </c>
      <c r="N62">
        <f t="shared" si="27"/>
        <v>0.92223169765846191</v>
      </c>
      <c r="O62">
        <f t="shared" si="28"/>
        <v>0.97291577657658879</v>
      </c>
      <c r="P62">
        <f t="shared" si="29"/>
        <v>0.71529387515868681</v>
      </c>
      <c r="Q62">
        <f t="shared" si="30"/>
        <v>0.83053940108785829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4.625147157193945E-2</v>
      </c>
      <c r="U62">
        <f t="shared" si="31"/>
        <v>0.83550841353676109</v>
      </c>
      <c r="V62">
        <f t="shared" si="32"/>
        <v>0.92016083476174804</v>
      </c>
      <c r="W62">
        <f t="shared" si="33"/>
        <v>0.57447671694084723</v>
      </c>
      <c r="X62">
        <f t="shared" si="34"/>
        <v>0.69778896603022611</v>
      </c>
      <c r="Y62">
        <f t="shared" si="35"/>
        <v>0.98704220226326467</v>
      </c>
      <c r="Z62">
        <f t="shared" si="36"/>
        <v>0.9978470819929135</v>
      </c>
      <c r="AA62">
        <f t="shared" si="37"/>
        <v>0.88208397857011256</v>
      </c>
      <c r="AB62">
        <f t="shared" si="38"/>
        <v>0.95123113188700004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6.8434661853719214E-2</v>
      </c>
      <c r="AD62">
        <f t="shared" si="54"/>
        <v>2.4083489509314864E-5</v>
      </c>
      <c r="AE62">
        <f t="shared" si="55"/>
        <v>1.9289725856018983E-6</v>
      </c>
      <c r="AF62">
        <f t="shared" si="56"/>
        <v>5.1200131902403271E-7</v>
      </c>
      <c r="AG62">
        <f t="shared" si="57"/>
        <v>-2.0716249581304486E-7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3.5787067675789054E-7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2.362234038093981E-7</v>
      </c>
      <c r="AJ62">
        <f t="shared" si="58"/>
        <v>1.1671107928976064E-8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4.1665779553917589E-9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-1.114088228658419E-8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2.3574970538689301E-7</v>
      </c>
      <c r="AN62">
        <f t="shared" si="59"/>
        <v>3.0474738307032735E-7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2.4421239513471284E-9</v>
      </c>
      <c r="AP62">
        <f>AM61*T61*p_Stroke*p_Stroke_rec*(1-I61) + AN61*T61*p_Stroke*p_Stroke_rec*(1-I61) + AO61*(p_recur_Stroke*p_Stroke_rec)*(1-I61) + AP61*(p_recur_Stroke*p_Stroke_rec)*(1-I61) + AQ61*(p_recur_Stroke*p_Stroke_rec)*(1-I61)</f>
        <v>1.1599860217288988E-8</v>
      </c>
      <c r="AQ62">
        <f>AO61*(1-p_recur_Stroke-H61*rr_Stroke*rr_HF)*(1-I61) + AP61*(1-p_recur_Stroke-H61*rr_Stroke*rr_HF)*(1-I61) + AQ61*(1-p_recur_Stroke-H61*rr_Stroke*rr_HF)*(1-I61)</f>
        <v>-1.0462462276421413E-8</v>
      </c>
      <c r="AR62">
        <f>AR61*(1-AC61-H61*rr_DM) + AD61*(1-T61-H61)*I61</f>
        <v>1.0963257984492316E-4</v>
      </c>
      <c r="AS62">
        <f>AR61*AC61*p_Other + AD61*T61*p_Other*I61 + AE61*(1-T61*p_Stroke-T61*p_MI-H61*rr_Other)*I61 + AS61*(1-AC61*p_Stroke-AC61*p_MI-H61*rr_Other*rr_DM)</f>
        <v>1.1200515944554065E-5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4.0542075179326554E-6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-2.2181543308823304E-6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2.8529054598827483E-6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9.7071531788070299E-7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1.2992762895582469E-7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4.3322163389035362E-8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-1.3660473316621583E-7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1.8448973903285086E-6</v>
      </c>
      <c r="BB62">
        <f>AM61*(1-T61*p_Stroke - H61*rr_HF)*I61 + AN61*(1-T61*p_Stroke - H61*rr_HF)*I61 + BA61*(1-AC61*p_Stroke - H61*rr_HF*rr_DM) + BB61*(1-AC61*p_Stroke - H61*rr_HF*rr_DM)</f>
        <v>1.1920019800862146E-6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2.5034260669274349E-8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1.1439627679023228E-7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-1.361833852043172E-7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0.99984297027025049</v>
      </c>
      <c r="BG62">
        <f t="shared" si="60"/>
        <v>0.99999999999999922</v>
      </c>
      <c r="BH62">
        <f>(0.9442 - 0.0007*$B62 - dis_BMI*($C62-21.75))*AD62</f>
        <v>1.9694875633479965E-5</v>
      </c>
      <c r="BI62">
        <f>0.959*(0.9442 - 0.0007*$B62 - dis_BMI*($C62-21.75))*AE62</f>
        <v>1.512789468386778E-6</v>
      </c>
      <c r="BJ62">
        <f>(0.943*(0.9442 - 0.0007*$B62 - dis_BMI*($C62-21.75)) - 0.19*0.5)*AF62</f>
        <v>3.4619574627369719E-7</v>
      </c>
      <c r="BK62">
        <f>(0.943*(0.9442 - 0.0007*$B62 - dis_BMI*($C62-21.75)))*AG62</f>
        <v>-1.5975580834274252E-7</v>
      </c>
      <c r="BL62">
        <f>(0.955*(0.9442 - 0.0007*$B62 - dis_BMI*($C62-21.75)) - 0.15*0.5)*AH62</f>
        <v>2.5264779575798641E-7</v>
      </c>
      <c r="BM62">
        <f>(0.955*(0.9442 - 0.0007*$B62 - dis_BMI*($C62-21.75)))*AI62</f>
        <v>1.8448460231797015E-7</v>
      </c>
      <c r="BN62">
        <f>(0.955*0.943*(0.9442 - 0.0007*$B62 - dis_BMI*($C62-21.75)) - 0.19*0.5)*AJ62</f>
        <v>7.4865435569657744E-9</v>
      </c>
      <c r="BO62">
        <f>(0.955*0.943*(0.9442 - 0.0007*$B62 - dis_BMI*($C62-21.75)) - 0.15*0.5)*AK62</f>
        <v>2.7560227497264855E-9</v>
      </c>
      <c r="BP62">
        <f>(0.955*0.943*(0.9442 - 0.0007*$B62 - dis_BMI*($C62-21.75)))*AL62</f>
        <v>-8.2048090760019784E-9</v>
      </c>
      <c r="BQ62">
        <f>(0.93*(0.9442 - 0.0007*$B62 - dis_BMI*($C62-21.75)))*AM62</f>
        <v>1.792949002501728E-7</v>
      </c>
      <c r="BR62">
        <f>(0.93*(0.9442 - 0.0007*$B62 - dis_BMI*($C62-21.75)))*AN62</f>
        <v>2.3176975580701337E-7</v>
      </c>
      <c r="BS62">
        <f>(0.93*0.943*(0.9442 - 0.0007*$B62 - dis_BMI*($C62-21.75)))*AO62</f>
        <v>1.7514436697732687E-9</v>
      </c>
      <c r="BT62">
        <f>(0.93*0.943*(0.9442 - 0.0007*$B62 - dis_BMI*($C62-21.75))-0.19*0.5)*AP62</f>
        <v>7.2172067980233568E-9</v>
      </c>
      <c r="BU62">
        <f>(0.93*0.943*(0.9442 - 0.0007*$B62 - dis_BMI*($C62-21.75)))*AQ62</f>
        <v>-7.5034738978632766E-9</v>
      </c>
      <c r="BV62">
        <f>0.962*(0.9442 - 0.0007*$B62 - dis_BMI*($C62-21.75))*AR62</f>
        <v>8.6247901229340128E-5</v>
      </c>
      <c r="BW62">
        <f>0.962*0.959*(0.9442 - 0.0007*$B62 - dis_BMI*($C62-21.75))*AS62</f>
        <v>8.450171778361218E-6</v>
      </c>
      <c r="BX62">
        <f>0.962*(0.943*(0.9442 - 0.0007*$B62 - dis_BMI*($C62-21.75)) - 0.19*0.5)*AT62</f>
        <v>2.63713094079241E-6</v>
      </c>
      <c r="BY62">
        <f>0.962*(0.943*(0.9442 - 0.0007*$B62 - dis_BMI*($C62-21.75)))*AU62</f>
        <v>-1.6455548161413465E-6</v>
      </c>
      <c r="BZ62">
        <f>0.962*(0.955*(0.9442 - 0.0007*$B62 - dis_BMI*($C62-21.75)) - 0.15*0.5)*AV62</f>
        <v>1.9375452376850576E-6</v>
      </c>
      <c r="CA62">
        <f>0.962*(0.955*(0.9442 - 0.0007*$B62 - dis_BMI*($C62-21.75)))*AW62</f>
        <v>7.2929654508588746E-7</v>
      </c>
      <c r="CB62">
        <f>0.962*(0.955*0.943*(0.9442 - 0.0007*$B62 - dis_BMI*($C62-21.75)) - 0.19*0.5)*AX62</f>
        <v>8.0176271412716161E-8</v>
      </c>
      <c r="CC62">
        <f>0.962*(0.955*0.943*(0.9442 - 0.0007*$B62 - dis_BMI*($C62-21.75)) - 0.15*0.5)*AY62</f>
        <v>2.7566935772784031E-8</v>
      </c>
      <c r="CD62">
        <f>0.962*(0.955*0.943*(0.9442 - 0.0007*$B62 - dis_BMI*($C62-21.75)))*AZ62</f>
        <v>-9.6780912687150856E-8</v>
      </c>
      <c r="CE62">
        <f>0.962*(0.93*(0.9442 - 0.0007*$B62 - dis_BMI*($C62-21.75)))*BA62</f>
        <v>1.3497833504938792E-6</v>
      </c>
      <c r="CF62">
        <f>0.962*(0.93*(0.9442 - 0.0007*$B62 - dis_BMI*($C62-21.75)))*BB62</f>
        <v>8.7210510183962867E-7</v>
      </c>
      <c r="CG62">
        <f>0.962*(0.93*0.943*(0.9442 - 0.0007*$B62 - dis_BMI*($C62-21.75)))*BC62</f>
        <v>1.7271828341503401E-8</v>
      </c>
      <c r="CH62">
        <f>0.962*(0.93*0.943*(0.9442 - 0.0007*$B62 - dis_BMI*($C62-21.75))-0.19*0.5)*BD62</f>
        <v>6.8470477346573338E-8</v>
      </c>
      <c r="CI62">
        <f>0.962*(0.93*0.943*(0.9442 - 0.0007*$B62 - dis_BMI*($C62-21.75)))*BE62</f>
        <v>-9.3956681337135742E-8</v>
      </c>
      <c r="CJ62">
        <f t="shared" si="61"/>
        <v>0</v>
      </c>
      <c r="CK62">
        <f t="shared" si="62"/>
        <v>1.2282693231403766E-4</v>
      </c>
      <c r="CL62">
        <f>CK62/(1+r_)^A62</f>
        <v>2.1473228601665967E-5</v>
      </c>
      <c r="CM62">
        <f t="shared" si="63"/>
        <v>0</v>
      </c>
      <c r="CN62">
        <f>AE62*c_Other</f>
        <v>2.7543799549809504E-2</v>
      </c>
      <c r="CO62">
        <f>AF62*(c_Stroke1+c_Stroke2)</f>
        <v>1.2193823413876363E-2</v>
      </c>
      <c r="CP62">
        <f>AG62*c_Stroke2</f>
        <v>-1.3465562227847915E-3</v>
      </c>
      <c r="CQ62">
        <f>AH62*(c_MI1+c_MI2)</f>
        <v>1.0432288098169267E-2</v>
      </c>
      <c r="CR62">
        <f>AI62*c_MI2</f>
        <v>7.3630834967389387E-4</v>
      </c>
      <c r="CS62">
        <f>AJ62*(c_Stroke1+c_Stroke2+c_MI2)</f>
        <v>3.1433794985111235E-4</v>
      </c>
      <c r="CT62">
        <f>AK62*(c_Stroke2+c_MI1+c_MI2)</f>
        <v>1.4854267068767159E-4</v>
      </c>
      <c r="CU62">
        <f>AL62*(c_Stroke2+c_MI2)</f>
        <v>-1.0714186495008016E-4</v>
      </c>
      <c r="CV62">
        <f>AM62*(c_HF1)</f>
        <v>6.3723145366077179E-3</v>
      </c>
      <c r="CW62">
        <f>AN62*(c_HF2)</f>
        <v>4.755582912812458E-3</v>
      </c>
      <c r="CX62">
        <f>AO62*(c_Stroke2+c_HF1)</f>
        <v>8.188441608866922E-5</v>
      </c>
      <c r="CY62">
        <f>AP62*(c_Stroke1+c_Stroke2+c_HF2)</f>
        <v>4.5727808962574919E-4</v>
      </c>
      <c r="CZ62">
        <f>AQ62*(c_Stroke2+c_HF2)</f>
        <v>-2.3127272862029534E-4</v>
      </c>
      <c r="DA62">
        <f>AR62*c_DM</f>
        <v>1.252552224728247</v>
      </c>
      <c r="DB62">
        <f>AS62*(c_Other+c_DM)</f>
        <v>0.28789806183881766</v>
      </c>
      <c r="DC62">
        <f>AT62*(c_Stroke1+c_Stroke2+c_DM)</f>
        <v>0.14287432713946471</v>
      </c>
      <c r="DD62">
        <f>AU62*(c_Stroke2+c_DM)</f>
        <v>-3.9760416381065776E-2</v>
      </c>
      <c r="DE62">
        <f>AV62*(c_MI1+c_MI2+c_DM)</f>
        <v>0.11575949194020239</v>
      </c>
      <c r="DF62">
        <f>AW62*(c_MI2+c_DM)</f>
        <v>1.4116142152621183E-2</v>
      </c>
      <c r="DG62">
        <f>AX62*(c_Stroke1+c_Stroke2+c_MI2+c_DM)</f>
        <v>4.9837639914875236E-3</v>
      </c>
      <c r="DH62">
        <f>AY62*(c_Stroke2+c_MI1+c_MI2+c_DM)</f>
        <v>2.0394341637022285E-3</v>
      </c>
      <c r="DI62">
        <f>AZ62*(c_Stroke2+c_MI2+c_DM)</f>
        <v>-2.8744367952835133E-3</v>
      </c>
      <c r="DJ62">
        <f>BA62*(c_HF1+c_DM)</f>
        <v>7.09455291450828E-2</v>
      </c>
      <c r="DK62">
        <f>BB62*(c_HF2+c_DM)</f>
        <v>3.2219813521730381E-2</v>
      </c>
      <c r="DL62">
        <f>BC62*(c_Stroke2+c_HF1+c_DM)</f>
        <v>1.1254151883872284E-3</v>
      </c>
      <c r="DM62">
        <f>BD62*(c_Stroke1+c_Stroke2+c_HF2+c_DM)</f>
        <v>5.8165930896761503E-3</v>
      </c>
      <c r="DN62">
        <f>BE62*(c_Stroke2+c_HF2+c_DM)</f>
        <v>-4.5662289059007558E-3</v>
      </c>
      <c r="DO62">
        <f t="shared" si="64"/>
        <v>0</v>
      </c>
      <c r="DP62">
        <f t="shared" si="65"/>
        <v>1.9444809039880164</v>
      </c>
      <c r="DQ62">
        <f>DP62/(1+r_)^A62</f>
        <v>0.33994403488115732</v>
      </c>
    </row>
    <row r="63" spans="1:121" x14ac:dyDescent="0.3">
      <c r="A63">
        <v>60</v>
      </c>
      <c r="B63">
        <v>105</v>
      </c>
      <c r="C63">
        <f t="shared" si="0"/>
        <v>38</v>
      </c>
      <c r="D63">
        <f t="shared" si="1"/>
        <v>125</v>
      </c>
      <c r="E63">
        <f t="shared" si="2"/>
        <v>5.7</v>
      </c>
      <c r="F63">
        <v>0.42858000000000002</v>
      </c>
      <c r="G63">
        <v>0.46333000000000002</v>
      </c>
      <c r="H63">
        <f t="shared" si="52"/>
        <v>0.43553000000000003</v>
      </c>
      <c r="I63">
        <f t="shared" si="53"/>
        <v>5.6857293942168513E-2</v>
      </c>
      <c r="J63">
        <f t="shared" si="23"/>
        <v>0.57310499833488282</v>
      </c>
      <c r="K63">
        <f t="shared" si="24"/>
        <v>0.6964237149381588</v>
      </c>
      <c r="L63">
        <f t="shared" si="25"/>
        <v>0.33166466715144061</v>
      </c>
      <c r="M63">
        <f t="shared" si="26"/>
        <v>0.43126992526541685</v>
      </c>
      <c r="N63">
        <f t="shared" si="27"/>
        <v>0.92801154201227287</v>
      </c>
      <c r="O63">
        <f t="shared" si="28"/>
        <v>0.97571572759014824</v>
      </c>
      <c r="P63">
        <f t="shared" si="29"/>
        <v>0.7259063709761735</v>
      </c>
      <c r="Q63">
        <f t="shared" si="30"/>
        <v>0.83939560319661821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4.7017718560099925E-2</v>
      </c>
      <c r="U63">
        <f t="shared" si="31"/>
        <v>0.8431571675247449</v>
      </c>
      <c r="V63">
        <f t="shared" si="32"/>
        <v>0.92531124698312461</v>
      </c>
      <c r="W63">
        <f t="shared" si="33"/>
        <v>0.58396113065235666</v>
      </c>
      <c r="X63">
        <f t="shared" si="34"/>
        <v>0.70718028239037034</v>
      </c>
      <c r="Y63">
        <f t="shared" si="35"/>
        <v>0.98863791086410013</v>
      </c>
      <c r="Z63">
        <f t="shared" si="36"/>
        <v>0.99821193226322003</v>
      </c>
      <c r="AA63">
        <f t="shared" si="37"/>
        <v>0.88946516367156458</v>
      </c>
      <c r="AB63">
        <f t="shared" si="38"/>
        <v>0.95548822357778429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6.9214818918482662E-2</v>
      </c>
      <c r="AD63">
        <f t="shared" si="54"/>
        <v>1.2236770014035806E-5</v>
      </c>
      <c r="AE63">
        <f t="shared" si="55"/>
        <v>9.2465676787974991E-7</v>
      </c>
      <c r="AF63">
        <f t="shared" si="56"/>
        <v>2.7184510271170621E-7</v>
      </c>
      <c r="AG63">
        <f t="shared" si="57"/>
        <v>-1.2339432322108831E-7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1.8983326613816694E-7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1.0059375613811425E-7</v>
      </c>
      <c r="AJ63">
        <f t="shared" si="58"/>
        <v>5.9727471711040637E-9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2.1214233332379055E-9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-5.876248189709652E-9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1.2285486463557293E-7</v>
      </c>
      <c r="AN63">
        <f t="shared" si="59"/>
        <v>1.1929834982348854E-7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1.2263765784331695E-9</v>
      </c>
      <c r="AP63">
        <f>AM62*T62*p_Stroke*p_Stroke_rec*(1-I62) + AN62*T62*p_Stroke*p_Stroke_rec*(1-I62) + AO62*(p_recur_Stroke*p_Stroke_rec)*(1-I62) + AP62*(p_recur_Stroke*p_Stroke_rec)*(1-I62) + AQ62*(p_recur_Stroke*p_Stroke_rec)*(1-I62)</f>
        <v>5.3616929787084803E-9</v>
      </c>
      <c r="AQ63">
        <f>AO62*(1-p_recur_Stroke-H62*rr_Stroke*rr_HF)*(1-I62) + AP62*(1-p_recur_Stroke-H62*rr_Stroke*rr_HF)*(1-I62) + AQ62*(1-p_recur_Stroke-H62*rr_Stroke*rr_HF)*(1-I62)</f>
        <v>-5.0106690447285241E-9</v>
      </c>
      <c r="AR63">
        <f>AR62*(1-AC62-H62*rr_DM) + AD62*(1-T62-H62)*I62</f>
        <v>5.0542933883488992E-5</v>
      </c>
      <c r="AS63">
        <f>AR62*AC62*p_Other + AD62*T62*p_Other*I62 + AE62*(1-T62*p_Stroke-T62*p_MI-H62*rr_Other)*I62 + AS62*(1-AC62*p_Stroke-AC62*p_MI-H62*rr_Other*rr_DM)</f>
        <v>4.880962613646886E-6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1.9688452414045749E-6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-1.1621696010517493E-6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1.3823054799174904E-6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2.9692210286131116E-7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5.9774671249069537E-8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1.9921519890526544E-8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-6.0247149937672204E-8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8.7677886382063506E-7</v>
      </c>
      <c r="BB63">
        <f>AM62*(1-T62*p_Stroke - H62*rr_HF)*I62 + AN62*(1-T62*p_Stroke - H62*rr_HF)*I62 + BA62*(1-AC62*p_Stroke - H62*rr_HF*rr_DM) + BB62*(1-AC62*p_Stroke - H62*rr_HF*rr_DM)</f>
        <v>3.5832781832916736E-7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1.1141568738111847E-8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4.4658369710832197E-8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-6.2730397730126192E-9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0.99992693986453596</v>
      </c>
      <c r="BG63">
        <f t="shared" si="60"/>
        <v>0.99999999999999922</v>
      </c>
      <c r="BH63">
        <f>(0.9442 - 0.0007*$B63 - dis_BMI*($C63-21.75))*AD63</f>
        <v>9.9983588592183064E-6</v>
      </c>
      <c r="BI63">
        <f>0.959*(0.9442 - 0.0007*$B63 - dis_BMI*($C63-21.75))*AE63</f>
        <v>7.245378575421174E-7</v>
      </c>
      <c r="BJ63">
        <f>(0.943*(0.9442 - 0.0007*$B63 - dis_BMI*($C63-21.75)) - 0.19*0.5)*AF63</f>
        <v>1.8363183581455971E-7</v>
      </c>
      <c r="BK63">
        <f>(0.943*(0.9442 - 0.0007*$B63 - dis_BMI*($C63-21.75)))*AG63</f>
        <v>-9.5075538897056095E-8</v>
      </c>
      <c r="BL63">
        <f>(0.955*(0.9442 - 0.0007*$B63 - dis_BMI*($C63-21.75)) - 0.15*0.5)*AH63</f>
        <v>1.3389066025263729E-7</v>
      </c>
      <c r="BM63">
        <f>(0.955*(0.9442 - 0.0007*$B63 - dis_BMI*($C63-21.75)))*AI63</f>
        <v>7.8493974348204961E-8</v>
      </c>
      <c r="BN63">
        <f>(0.955*0.943*(0.9442 - 0.0007*$B63 - dis_BMI*($C63-21.75)) - 0.19*0.5)*AJ63</f>
        <v>3.82751047714506E-9</v>
      </c>
      <c r="BO63">
        <f>(0.955*0.943*(0.9442 - 0.0007*$B63 - dis_BMI*($C63-21.75)) - 0.15*0.5)*AK63</f>
        <v>1.4018983725250355E-9</v>
      </c>
      <c r="BP63">
        <f>(0.955*0.943*(0.9442 - 0.0007*$B63 - dis_BMI*($C63-21.75)))*AL63</f>
        <v>-4.3239146951979399E-9</v>
      </c>
      <c r="BQ63">
        <f>(0.93*(0.9442 - 0.0007*$B63 - dis_BMI*($C63-21.75)))*AM63</f>
        <v>9.3354923825563008E-8</v>
      </c>
      <c r="BR63">
        <f>(0.93*(0.9442 - 0.0007*$B63 - dis_BMI*($C63-21.75)))*AN63</f>
        <v>9.0652400239285026E-8</v>
      </c>
      <c r="BS63">
        <f>(0.93*0.943*(0.9442 - 0.0007*$B63 - dis_BMI*($C63-21.75)))*AO63</f>
        <v>8.787805003395901E-10</v>
      </c>
      <c r="BT63">
        <f>(0.93*0.943*(0.9442 - 0.0007*$B63 - dis_BMI*($C63-21.75))-0.19*0.5)*AP63</f>
        <v>3.332649297806898E-9</v>
      </c>
      <c r="BU63">
        <f>(0.93*0.943*(0.9442 - 0.0007*$B63 - dis_BMI*($C63-21.75)))*AQ63</f>
        <v>-3.5904781024017102E-9</v>
      </c>
      <c r="BV63">
        <f>0.962*(0.9442 - 0.0007*$B63 - dis_BMI*($C63-21.75))*AR63</f>
        <v>3.9728067730143396E-5</v>
      </c>
      <c r="BW63">
        <f>0.962*0.959*(0.9442 - 0.0007*$B63 - dis_BMI*($C63-21.75))*AS63</f>
        <v>3.6792651171873481E-6</v>
      </c>
      <c r="BX63">
        <f>0.962*(0.943*(0.9442 - 0.0007*$B63 - dis_BMI*($C63-21.75)) - 0.19*0.5)*AT63</f>
        <v>1.2794199392674119E-6</v>
      </c>
      <c r="BY63">
        <f>0.962*(0.943*(0.9442 - 0.0007*$B63 - dis_BMI*($C63-21.75)))*AU63</f>
        <v>-8.6142644242352295E-7</v>
      </c>
      <c r="BZ63">
        <f>0.962*(0.955*(0.9442 - 0.0007*$B63 - dis_BMI*($C63-21.75)) - 0.15*0.5)*AV63</f>
        <v>9.3790114267474514E-7</v>
      </c>
      <c r="CA63">
        <f>0.962*(0.955*(0.9442 - 0.0007*$B63 - dis_BMI*($C63-21.75)))*AW63</f>
        <v>2.2288605318069125E-7</v>
      </c>
      <c r="CB63">
        <f>0.962*(0.955*0.943*(0.9442 - 0.0007*$B63 - dis_BMI*($C63-21.75)) - 0.19*0.5)*AX63</f>
        <v>3.684974824993799E-8</v>
      </c>
      <c r="CC63">
        <f>0.962*(0.955*0.943*(0.9442 - 0.0007*$B63 - dis_BMI*($C63-21.75)) - 0.15*0.5)*AY63</f>
        <v>1.2664461605531269E-8</v>
      </c>
      <c r="CD63">
        <f>0.962*(0.955*0.943*(0.9442 - 0.0007*$B63 - dis_BMI*($C63-21.75)))*AZ63</f>
        <v>-4.2647007829535493E-8</v>
      </c>
      <c r="CE63">
        <f>0.962*(0.93*(0.9442 - 0.0007*$B63 - dis_BMI*($C63-21.75)))*BA63</f>
        <v>6.4092913669918652E-7</v>
      </c>
      <c r="CF63">
        <f>0.962*(0.93*(0.9442 - 0.0007*$B63 - dis_BMI*($C63-21.75)))*BB63</f>
        <v>2.6193918299563262E-7</v>
      </c>
      <c r="CG63">
        <f>0.962*(0.93*0.943*(0.9442 - 0.0007*$B63 - dis_BMI*($C63-21.75)))*BC63</f>
        <v>7.6802963857726673E-9</v>
      </c>
      <c r="CH63">
        <f>0.962*(0.93*0.943*(0.9442 - 0.0007*$B63 - dis_BMI*($C63-21.75))-0.19*0.5)*BD63</f>
        <v>2.6703341466427911E-8</v>
      </c>
      <c r="CI63">
        <f>0.962*(0.93*0.943*(0.9442 - 0.0007*$B63 - dis_BMI*($C63-21.75)))*BE63</f>
        <v>-4.3242388777508752E-9</v>
      </c>
      <c r="CJ63">
        <f t="shared" si="61"/>
        <v>0</v>
      </c>
      <c r="CK63">
        <f t="shared" si="62"/>
        <v>5.7135279878919107E-5</v>
      </c>
      <c r="CL63">
        <f>CK63/(1+r_)^A63</f>
        <v>9.6977476028017955E-6</v>
      </c>
      <c r="CM63">
        <f t="shared" si="63"/>
        <v>0</v>
      </c>
      <c r="CN63">
        <f>AE63*c_Other</f>
        <v>1.3203173988554948E-2</v>
      </c>
      <c r="CO63">
        <f>AF63*(c_Stroke1+c_Stroke2)</f>
        <v>6.4742629661819952E-3</v>
      </c>
      <c r="CP63">
        <f>AG63*c_Stroke2</f>
        <v>-8.0206310093707401E-4</v>
      </c>
      <c r="CQ63">
        <f>AH63*(c_MI1+c_MI2)</f>
        <v>5.533829541193705E-3</v>
      </c>
      <c r="CR63">
        <f>AI63*c_MI2</f>
        <v>3.1355073788250212E-4</v>
      </c>
      <c r="CS63">
        <f>AJ63*(c_Stroke1+c_Stroke2+c_MI2)</f>
        <v>1.6086399955934574E-4</v>
      </c>
      <c r="CT63">
        <f>AK63*(c_Stroke2+c_MI1+c_MI2)</f>
        <v>7.5630863253264572E-5</v>
      </c>
      <c r="CU63">
        <f>AL63*(c_Stroke2+c_MI2)</f>
        <v>-5.6511878840437722E-5</v>
      </c>
      <c r="CV63">
        <f>AM63*(c_HF1)</f>
        <v>3.3207669910995364E-3</v>
      </c>
      <c r="CW63">
        <f>AN63*(c_HF2)</f>
        <v>1.8616507489955386E-3</v>
      </c>
      <c r="CX63">
        <f>AO63*(c_Stroke2+c_HF1)</f>
        <v>4.1120406674864173E-5</v>
      </c>
      <c r="CY63">
        <f>AP63*(c_Stroke1+c_Stroke2+c_HF2)</f>
        <v>2.1136329891366701E-4</v>
      </c>
      <c r="CZ63">
        <f>AQ63*(c_Stroke2+c_HF2)</f>
        <v>-1.1076083923372402E-4</v>
      </c>
      <c r="DA63">
        <f>AR63*c_DM</f>
        <v>0.57745301961886175</v>
      </c>
      <c r="DB63">
        <f>AS63*(c_Other+c_DM)</f>
        <v>0.12546026302117955</v>
      </c>
      <c r="DC63">
        <f>AT63*(c_Stroke1+c_Stroke2+c_DM)</f>
        <v>6.9384075152338631E-2</v>
      </c>
      <c r="DD63">
        <f>AU63*(c_Stroke2+c_DM)</f>
        <v>-2.0831890098852605E-2</v>
      </c>
      <c r="DE63">
        <f>AV63*(c_MI1+c_MI2+c_DM)</f>
        <v>5.6088427153132087E-2</v>
      </c>
      <c r="DF63">
        <f>AW63*(c_MI2+c_DM)</f>
        <v>4.3178412198091867E-3</v>
      </c>
      <c r="DG63">
        <f>AX63*(c_Stroke1+c_Stroke2+c_MI2+c_DM)</f>
        <v>2.2928368397718093E-3</v>
      </c>
      <c r="DH63">
        <f>AY63*(c_Stroke2+c_MI1+c_MI2+c_DM)</f>
        <v>9.3782547036642754E-4</v>
      </c>
      <c r="DI63">
        <f>AZ63*(c_Stroke2+c_MI2+c_DM)</f>
        <v>-1.2677205289884986E-3</v>
      </c>
      <c r="DJ63">
        <f>BA63*(c_HF1+c_DM)</f>
        <v>3.3716531208222524E-2</v>
      </c>
      <c r="DK63">
        <f>BB63*(c_HF2+c_DM)</f>
        <v>9.6856009294373942E-3</v>
      </c>
      <c r="DL63">
        <f>BC63*(c_Stroke2+c_HF1+c_DM)</f>
        <v>5.0086922262181804E-4</v>
      </c>
      <c r="DM63">
        <f>BD63*(c_Stroke1+c_Stroke2+c_HF2+c_DM)</f>
        <v>2.2706994663169739E-3</v>
      </c>
      <c r="DN63">
        <f>BE63*(c_Stroke2+c_HF2+c_DM)</f>
        <v>-2.1033502358911311E-4</v>
      </c>
      <c r="DO63">
        <f t="shared" si="64"/>
        <v>0</v>
      </c>
      <c r="DP63">
        <f t="shared" si="65"/>
        <v>0.89002492137392608</v>
      </c>
      <c r="DQ63">
        <f>DP63/(1+r_)^A63</f>
        <v>0.15106668009641569</v>
      </c>
    </row>
    <row r="64" spans="1:121" x14ac:dyDescent="0.3">
      <c r="A64">
        <v>61</v>
      </c>
      <c r="B64">
        <v>106</v>
      </c>
      <c r="C64">
        <f t="shared" si="0"/>
        <v>38</v>
      </c>
      <c r="D64">
        <f t="shared" si="1"/>
        <v>125</v>
      </c>
      <c r="E64">
        <f t="shared" si="2"/>
        <v>5.7</v>
      </c>
      <c r="F64">
        <v>0.44868999999999998</v>
      </c>
      <c r="G64">
        <v>0.48133999999999999</v>
      </c>
      <c r="H64">
        <f t="shared" si="52"/>
        <v>0.45521999999999996</v>
      </c>
      <c r="I64">
        <f t="shared" si="53"/>
        <v>5.6857293942168513E-2</v>
      </c>
      <c r="J64">
        <f t="shared" si="23"/>
        <v>0.58249453649048166</v>
      </c>
      <c r="K64">
        <f t="shared" si="24"/>
        <v>0.70573363380590015</v>
      </c>
      <c r="L64">
        <f t="shared" si="25"/>
        <v>0.33866439294686601</v>
      </c>
      <c r="M64">
        <f t="shared" si="26"/>
        <v>0.43959445185677404</v>
      </c>
      <c r="N64">
        <f t="shared" si="27"/>
        <v>0.93346635150614188</v>
      </c>
      <c r="O64">
        <f t="shared" si="28"/>
        <v>0.97827446644708815</v>
      </c>
      <c r="P64">
        <f t="shared" si="29"/>
        <v>0.7363269705039529</v>
      </c>
      <c r="Q64">
        <f t="shared" si="30"/>
        <v>0.84795495887958205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4.7780062789404998E-2</v>
      </c>
      <c r="U64">
        <f t="shared" si="31"/>
        <v>0.85056789379399833</v>
      </c>
      <c r="V64">
        <f t="shared" si="32"/>
        <v>0.93020636519280675</v>
      </c>
      <c r="W64">
        <f t="shared" si="33"/>
        <v>0.59338564721912612</v>
      </c>
      <c r="X64">
        <f t="shared" si="34"/>
        <v>0.71642774071581083</v>
      </c>
      <c r="Y64">
        <f t="shared" si="35"/>
        <v>0.99006369239299841</v>
      </c>
      <c r="Z64">
        <f t="shared" si="36"/>
        <v>0.99852054707369575</v>
      </c>
      <c r="AA64">
        <f t="shared" si="37"/>
        <v>0.89652037250303829</v>
      </c>
      <c r="AB64">
        <f t="shared" si="38"/>
        <v>0.95944906933285146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6.9980541212407349E-2</v>
      </c>
      <c r="AD64">
        <f t="shared" si="54"/>
        <v>5.971927328075488E-6</v>
      </c>
      <c r="AE64">
        <f t="shared" si="55"/>
        <v>4.3042459394399408E-7</v>
      </c>
      <c r="AF64">
        <f t="shared" si="56"/>
        <v>1.3895447221658353E-7</v>
      </c>
      <c r="AG64">
        <f t="shared" si="57"/>
        <v>-6.9102460462215576E-8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9.6950389315897006E-8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4.0251276968831682E-8</v>
      </c>
      <c r="AJ64">
        <f t="shared" si="58"/>
        <v>2.956094379432827E-9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1.0453226647563883E-9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-2.9870524133849378E-9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6.1763903738642868E-8</v>
      </c>
      <c r="AN64">
        <f t="shared" si="59"/>
        <v>4.4882530209764462E-8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5.9701788666412729E-10</v>
      </c>
      <c r="AP64">
        <f>AM63*T63*p_Stroke*p_Stroke_rec*(1-I63) + AN63*T63*p_Stroke*p_Stroke_rec*(1-I63) + AO63*(p_recur_Stroke*p_Stroke_rec)*(1-I63) + AP63*(p_recur_Stroke*p_Stroke_rec)*(1-I63) + AQ63*(p_recur_Stroke*p_Stroke_rec)*(1-I63)</f>
        <v>2.4364347537402745E-9</v>
      </c>
      <c r="AQ64">
        <f>AO63*(1-p_recur_Stroke-H63*rr_Stroke*rr_HF)*(1-I63) + AP63*(1-p_recur_Stroke-H63*rr_Stroke*rr_HF)*(1-I63) + AQ63*(1-p_recur_Stroke-H63*rr_Stroke*rr_HF)*(1-I63)</f>
        <v>-2.3818895774095773E-9</v>
      </c>
      <c r="AR64">
        <f>AR63*(1-AC63-H63*rr_DM) + AD63*(1-T63-H63)*I63</f>
        <v>2.2089722506859799E-5</v>
      </c>
      <c r="AS64">
        <f>AR63*AC63*p_Other + AD63*T63*p_Other*I63 + AE63*(1-T63*p_Stroke-T63*p_MI-H63*rr_Other)*I63 + AS63*(1-AC63*p_Stroke-AC63*p_MI-H63*rr_Other*rr_DM)</f>
        <v>2.0340756765238009E-6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9.0916424110463769E-7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-5.7119225765807822E-7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6.3723157311839433E-7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6.7282649919441961E-8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2.6919106934015854E-8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9.0114784402244109E-9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-3.4236328959617776E-8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3.9758878051298785E-7</v>
      </c>
      <c r="BB64">
        <f>AM63*(1-T63*p_Stroke - H63*rr_HF)*I63 + AN63*(1-T63*p_Stroke - H63*rr_HF)*I63 + BA63*(1-AC63*p_Stroke - H63*rr_HF*rr_DM) + BB63*(1-AC63*p_Stroke - H63*rr_HF*rr_DM)</f>
        <v>9.2271109014803732E-8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5.2701163359714966E-9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2.3703844137442244E-8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-9.7869881688337639E-8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0.99996769333942293</v>
      </c>
      <c r="BG64">
        <f t="shared" si="60"/>
        <v>0.99999999999999922</v>
      </c>
      <c r="BH64">
        <f>(0.9442 - 0.0007*$B64 - dis_BMI*($C64-21.75))*AD64</f>
        <v>4.8753321724576264E-6</v>
      </c>
      <c r="BI64">
        <f>0.959*(0.9442 - 0.0007*$B64 - dis_BMI*($C64-21.75))*AE64</f>
        <v>3.3698097488790597E-7</v>
      </c>
      <c r="BJ64">
        <f>(0.943*(0.9442 - 0.0007*$B64 - dis_BMI*($C64-21.75)) - 0.19*0.5)*AF64</f>
        <v>9.3772261831656581E-8</v>
      </c>
      <c r="BK64">
        <f>(0.943*(0.9442 - 0.0007*$B64 - dis_BMI*($C64-21.75)))*AG64</f>
        <v>-5.3197950453730286E-8</v>
      </c>
      <c r="BL64">
        <f>(0.955*(0.9442 - 0.0007*$B64 - dis_BMI*($C64-21.75)) - 0.15*0.5)*AH64</f>
        <v>6.8314940545573704E-8</v>
      </c>
      <c r="BM64">
        <f>(0.955*(0.9442 - 0.0007*$B64 - dis_BMI*($C64-21.75)))*AI64</f>
        <v>3.1381430104835613E-8</v>
      </c>
      <c r="BN64">
        <f>(0.955*0.943*(0.9442 - 0.0007*$B64 - dis_BMI*($C64-21.75)) - 0.19*0.5)*AJ64</f>
        <v>1.8924879321375985E-9</v>
      </c>
      <c r="BO64">
        <f>(0.955*0.943*(0.9442 - 0.0007*$B64 - dis_BMI*($C64-21.75)) - 0.15*0.5)*AK64</f>
        <v>6.9012071857881664E-10</v>
      </c>
      <c r="BP64">
        <f>(0.955*0.943*(0.9442 - 0.0007*$B64 - dis_BMI*($C64-21.75)))*AL64</f>
        <v>-2.1960772061058127E-9</v>
      </c>
      <c r="BQ64">
        <f>(0.93*(0.9442 - 0.0007*$B64 - dis_BMI*($C64-21.75)))*AM64</f>
        <v>4.6892931430610152E-8</v>
      </c>
      <c r="BR64">
        <f>(0.93*(0.9442 - 0.0007*$B64 - dis_BMI*($C64-21.75)))*AN64</f>
        <v>3.4076107307996709E-8</v>
      </c>
      <c r="BS64">
        <f>(0.93*0.943*(0.9442 - 0.0007*$B64 - dis_BMI*($C64-21.75)))*AO64</f>
        <v>4.2743657462192719E-10</v>
      </c>
      <c r="BT64">
        <f>(0.93*0.943*(0.9442 - 0.0007*$B64 - dis_BMI*($C64-21.75))-0.19*0.5)*AP64</f>
        <v>1.5129107661187497E-9</v>
      </c>
      <c r="BU64">
        <f>(0.93*0.943*(0.9442 - 0.0007*$B64 - dis_BMI*($C64-21.75)))*AQ64</f>
        <v>-1.7053203008445038E-9</v>
      </c>
      <c r="BV64">
        <f>0.962*(0.9442 - 0.0007*$B64 - dis_BMI*($C64-21.75))*AR64</f>
        <v>1.7348224317499235E-5</v>
      </c>
      <c r="BW64">
        <f>0.962*0.959*(0.9442 - 0.0007*$B64 - dis_BMI*($C64-21.75))*AS64</f>
        <v>1.5319707822891679E-6</v>
      </c>
      <c r="BX64">
        <f>0.962*(0.943*(0.9442 - 0.0007*$B64 - dis_BMI*($C64-21.75)) - 0.19*0.5)*AT64</f>
        <v>5.9022728265230552E-7</v>
      </c>
      <c r="BY64">
        <f>0.962*(0.943*(0.9442 - 0.0007*$B64 - dis_BMI*($C64-21.75)))*AU64</f>
        <v>-4.2301792794164286E-7</v>
      </c>
      <c r="BZ64">
        <f>0.962*(0.955*(0.9442 - 0.0007*$B64 - dis_BMI*($C64-21.75)) - 0.15*0.5)*AV64</f>
        <v>4.3195498975977383E-7</v>
      </c>
      <c r="CA64">
        <f>0.962*(0.955*(0.9442 - 0.0007*$B64 - dis_BMI*($C64-21.75)))*AW64</f>
        <v>5.0462786505152574E-8</v>
      </c>
      <c r="CB64">
        <f>0.962*(0.955*0.943*(0.9442 - 0.0007*$B64 - dis_BMI*($C64-21.75)) - 0.19*0.5)*AX64</f>
        <v>1.6578702671638235E-8</v>
      </c>
      <c r="CC64">
        <f>0.962*(0.955*0.943*(0.9442 - 0.0007*$B64 - dis_BMI*($C64-21.75)) - 0.15*0.5)*AY64</f>
        <v>5.7232908796708117E-9</v>
      </c>
      <c r="CD64">
        <f>0.962*(0.955*0.943*(0.9442 - 0.0007*$B64 - dis_BMI*($C64-21.75)))*AZ64</f>
        <v>-2.4214027079736975E-8</v>
      </c>
      <c r="CE64">
        <f>0.962*(0.93*(0.9442 - 0.0007*$B64 - dis_BMI*($C64-21.75)))*BA64</f>
        <v>2.9039012119486989E-7</v>
      </c>
      <c r="CF64">
        <f>0.962*(0.93*(0.9442 - 0.0007*$B64 - dis_BMI*($C64-21.75)))*BB64</f>
        <v>6.7392793365603088E-8</v>
      </c>
      <c r="CG64">
        <f>0.962*(0.93*0.943*(0.9442 - 0.0007*$B64 - dis_BMI*($C64-21.75)))*BC64</f>
        <v>3.6297742243267243E-9</v>
      </c>
      <c r="CH64">
        <f>0.962*(0.93*0.943*(0.9442 - 0.0007*$B64 - dis_BMI*($C64-21.75))-0.19*0.5)*BD64</f>
        <v>1.4159645565392878E-8</v>
      </c>
      <c r="CI64">
        <f>0.962*(0.93*0.943*(0.9442 - 0.0007*$B64 - dis_BMI*($C64-21.75)))*BE64</f>
        <v>-6.7407539272991743E-8</v>
      </c>
      <c r="CJ64">
        <f t="shared" si="61"/>
        <v>0</v>
      </c>
      <c r="CK64">
        <f t="shared" si="62"/>
        <v>2.5270249418909751E-5</v>
      </c>
      <c r="CL64">
        <f>CK64/(1+r_)^A64</f>
        <v>4.1642694362690649E-6</v>
      </c>
      <c r="CM64">
        <f t="shared" si="63"/>
        <v>0</v>
      </c>
      <c r="CN64">
        <f>AE64*c_Other</f>
        <v>6.1460327769262916E-3</v>
      </c>
      <c r="CO64">
        <f>AF64*(c_Stroke1+c_Stroke2)</f>
        <v>3.3093397103101533E-3</v>
      </c>
      <c r="CP64">
        <f>AG64*c_Stroke2</f>
        <v>-4.4916599300440127E-4</v>
      </c>
      <c r="CQ64">
        <f>AH64*(c_MI1+c_MI2)</f>
        <v>2.8262007989477136E-3</v>
      </c>
      <c r="CR64">
        <f>AI64*c_MI2</f>
        <v>1.2546323031184834E-4</v>
      </c>
      <c r="CS64">
        <f>AJ64*(c_Stroke1+c_Stroke2+c_MI2)</f>
        <v>7.9616489921264329E-5</v>
      </c>
      <c r="CT64">
        <f>AK64*(c_Stroke2+c_MI1+c_MI2)</f>
        <v>3.7266798321230003E-5</v>
      </c>
      <c r="CU64">
        <f>AL64*(c_Stroke2+c_MI2)</f>
        <v>-2.8726483059522947E-5</v>
      </c>
      <c r="CV64">
        <f>AM64*(c_HF1)</f>
        <v>1.6694783180555167E-3</v>
      </c>
      <c r="CW64">
        <f>AN64*(c_HF2)</f>
        <v>7.0039188392337446E-4</v>
      </c>
      <c r="CX64">
        <f>AO64*(c_Stroke2+c_HF1)</f>
        <v>2.0018009739848187E-5</v>
      </c>
      <c r="CY64">
        <f>AP64*(c_Stroke1+c_Stroke2+c_HF2)</f>
        <v>9.6046694427195361E-5</v>
      </c>
      <c r="CZ64">
        <f>AQ64*(c_Stroke2+c_HF2)</f>
        <v>-5.2651669108638709E-5</v>
      </c>
      <c r="DA64">
        <f>AR64*c_DM</f>
        <v>0.25237507964087319</v>
      </c>
      <c r="DB64">
        <f>AS64*(c_Other+c_DM)</f>
        <v>5.2283881189367783E-2</v>
      </c>
      <c r="DC64">
        <f>AT64*(c_Stroke1+c_Stroke2+c_DM)</f>
        <v>3.2039857020768538E-2</v>
      </c>
      <c r="DD64">
        <f>AU64*(c_Stroke2+c_DM)</f>
        <v>-1.0238621218521052E-2</v>
      </c>
      <c r="DE64">
        <f>AV64*(c_MI1+c_MI2+c_DM)</f>
        <v>2.5856308310851967E-2</v>
      </c>
      <c r="DF64">
        <f>AW64*(c_MI2+c_DM)</f>
        <v>9.7842429512852501E-4</v>
      </c>
      <c r="DG64">
        <f>AX64*(c_Stroke1+c_Stroke2+c_MI2+c_DM)</f>
        <v>1.0325631037749802E-3</v>
      </c>
      <c r="DH64">
        <f>AY64*(c_Stroke2+c_MI1+c_MI2+c_DM)</f>
        <v>4.2422435905200439E-4</v>
      </c>
      <c r="DI64">
        <f>AZ64*(c_Stroke2+c_MI2+c_DM)</f>
        <v>-7.204008339682772E-4</v>
      </c>
      <c r="DJ64">
        <f>BA64*(c_HF1+c_DM)</f>
        <v>1.5289276554626948E-2</v>
      </c>
      <c r="DK64">
        <f>BB64*(c_HF2+c_DM)</f>
        <v>2.4940880766701448E-3</v>
      </c>
      <c r="DL64">
        <f>BC64*(c_Stroke2+c_HF1+c_DM)</f>
        <v>2.3691807988359862E-4</v>
      </c>
      <c r="DM64">
        <f>BD64*(c_Stroke1+c_Stroke2+c_HF2+c_DM)</f>
        <v>1.2052456590123883E-3</v>
      </c>
      <c r="DN64">
        <f>BE64*(c_Stroke2+c_HF2+c_DM)</f>
        <v>-3.281577133009961E-3</v>
      </c>
      <c r="DO64">
        <f t="shared" si="64"/>
        <v>0</v>
      </c>
      <c r="DP64">
        <f t="shared" si="65"/>
        <v>0.38445457767022256</v>
      </c>
      <c r="DQ64">
        <f>DP64/(1+r_)^A64</f>
        <v>6.3354042173712377E-2</v>
      </c>
    </row>
    <row r="65" spans="1:121" x14ac:dyDescent="0.3">
      <c r="A65">
        <v>62</v>
      </c>
      <c r="B65">
        <v>107</v>
      </c>
      <c r="C65">
        <f t="shared" si="0"/>
        <v>38</v>
      </c>
      <c r="D65">
        <f t="shared" si="1"/>
        <v>125</v>
      </c>
      <c r="E65">
        <f t="shared" si="2"/>
        <v>5.7</v>
      </c>
      <c r="F65">
        <v>0.46788999999999997</v>
      </c>
      <c r="G65">
        <v>0.49833</v>
      </c>
      <c r="H65">
        <f t="shared" si="52"/>
        <v>0.47397799999999995</v>
      </c>
      <c r="I65">
        <f t="shared" si="53"/>
        <v>5.6857293942168513E-2</v>
      </c>
      <c r="J65">
        <f t="shared" si="23"/>
        <v>0.59182617715766872</v>
      </c>
      <c r="K65">
        <f t="shared" si="24"/>
        <v>0.71490343641380494</v>
      </c>
      <c r="L65">
        <f t="shared" si="25"/>
        <v>0.34570358145163993</v>
      </c>
      <c r="M65">
        <f t="shared" si="26"/>
        <v>0.44793039868236773</v>
      </c>
      <c r="N65">
        <f t="shared" si="27"/>
        <v>0.93860531249483825</v>
      </c>
      <c r="O65">
        <f t="shared" si="28"/>
        <v>0.98060712331485422</v>
      </c>
      <c r="P65">
        <f t="shared" si="29"/>
        <v>0.74654926344738004</v>
      </c>
      <c r="Q65">
        <f t="shared" si="30"/>
        <v>0.85621678154516834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4.8538263859005636E-2</v>
      </c>
      <c r="U65">
        <f t="shared" si="31"/>
        <v>0.85774122375422202</v>
      </c>
      <c r="V65">
        <f t="shared" si="32"/>
        <v>0.93485298382338133</v>
      </c>
      <c r="W65">
        <f t="shared" si="33"/>
        <v>0.60274569763124086</v>
      </c>
      <c r="X65">
        <f t="shared" si="34"/>
        <v>0.7255273721095018</v>
      </c>
      <c r="Y65">
        <f t="shared" si="35"/>
        <v>0.99133398572807141</v>
      </c>
      <c r="Z65">
        <f t="shared" si="36"/>
        <v>0.99878055657330789</v>
      </c>
      <c r="AA65">
        <f t="shared" si="37"/>
        <v>0.90325382188712711</v>
      </c>
      <c r="AB65">
        <f t="shared" si="38"/>
        <v>0.96312671574465403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7.0731759747240927E-2</v>
      </c>
      <c r="AD65">
        <f t="shared" si="54"/>
        <v>2.7992923575354004E-6</v>
      </c>
      <c r="AE65">
        <f t="shared" si="55"/>
        <v>1.9412190243650155E-7</v>
      </c>
      <c r="AF65">
        <f t="shared" si="56"/>
        <v>6.8322307227473672E-8</v>
      </c>
      <c r="AG65">
        <f t="shared" si="57"/>
        <v>-3.6586702772746582E-8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4.7635905412009263E-8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1.4966877172815098E-8</v>
      </c>
      <c r="AJ65">
        <f t="shared" si="58"/>
        <v>1.4138940439313109E-9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4.9773696830008917E-10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-1.4592832160874893E-9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2.9932462903298965E-8</v>
      </c>
      <c r="AN65">
        <f t="shared" si="59"/>
        <v>1.6144564904087118E-8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2.8112651740465212E-10</v>
      </c>
      <c r="AP65">
        <f>AM64*T64*p_Stroke*p_Stroke_rec*(1-I64) + AN64*T64*p_Stroke*p_Stroke_rec*(1-I64) + AO64*(p_recur_Stroke*p_Stroke_rec)*(1-I64) + AP64*(p_recur_Stroke*p_Stroke_rec)*(1-I64) + AQ64*(p_recur_Stroke*p_Stroke_rec)*(1-I64)</f>
        <v>1.08476112397606E-9</v>
      </c>
      <c r="AQ65">
        <f>AO64*(1-p_recur_Stroke-H64*rr_Stroke*rr_HF)*(1-I64) + AP64*(1-p_recur_Stroke-H64*rr_Stroke*rr_HF)*(1-I64) + AQ64*(1-p_recur_Stroke-H64*rr_Stroke*rr_HF)*(1-I64)</f>
        <v>-1.0527942813857133E-9</v>
      </c>
      <c r="AR65">
        <f>AR64*(1-AC64-H64*rr_DM) + AD64*(1-T64-H64)*I64</f>
        <v>9.1485909186335843E-6</v>
      </c>
      <c r="AS65">
        <f>AR64*AC64*p_Other + AD64*T64*p_Other*I64 + AE64*(1-T64*p_Stroke-T64*p_MI-H64*rr_Other)*I64 + AS64*(1-AC64*p_Stroke-AC64*p_MI-H64*rr_Other*rr_DM)</f>
        <v>8.0873566875912817E-7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3.9865328206966516E-7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-2.6378246006015461E-7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2.7906396309538696E-7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2.7831438196659564E-9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1.0704646263327252E-8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3.5044267429592684E-9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-3.2444262592164036E-9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1.7169248425474887E-7</v>
      </c>
      <c r="BB65">
        <f>AM64*(1-T64*p_Stroke - H64*rr_HF)*I64 + AN64*(1-T64*p_Stroke - H64*rr_HF)*I64 + BA64*(1-AC64*p_Stroke - H64*rr_HF*rr_DM) + BB64*(1-AC64*p_Stroke - H64*rr_HF*rr_DM)</f>
        <v>1.6222130102415084E-8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1.580624323618304E-9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-2.8692725583021578E-10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1.4476865537577371E-7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0.99998614641875339</v>
      </c>
      <c r="BG65">
        <f t="shared" si="60"/>
        <v>0.99999999999999922</v>
      </c>
      <c r="BH65">
        <f>(0.9442 - 0.0007*$B65 - dis_BMI*($C65-21.75))*AD65</f>
        <v>2.2833127937326877E-6</v>
      </c>
      <c r="BI65">
        <f>0.959*(0.9442 - 0.0007*$B65 - dis_BMI*($C65-21.75))*AE65</f>
        <v>1.5184842707632779E-7</v>
      </c>
      <c r="BJ65">
        <f>(0.943*(0.9442 - 0.0007*$B65 - dis_BMI*($C65-21.75)) - 0.19*0.5)*AF65</f>
        <v>4.6061637278136727E-8</v>
      </c>
      <c r="BK65">
        <f>(0.943*(0.9442 - 0.0007*$B65 - dis_BMI*($C65-21.75)))*AG65</f>
        <v>-2.8141815833462945E-8</v>
      </c>
      <c r="BL65">
        <f>(0.955*(0.9442 - 0.0007*$B65 - dis_BMI*($C65-21.75)) - 0.15*0.5)*AH65</f>
        <v>3.3534230469427633E-8</v>
      </c>
      <c r="BM65">
        <f>(0.955*(0.9442 - 0.0007*$B65 - dis_BMI*($C65-21.75)))*AI65</f>
        <v>1.1658742698728836E-8</v>
      </c>
      <c r="BN65">
        <f>(0.955*0.943*(0.9442 - 0.0007*$B65 - dis_BMI*($C65-21.75)) - 0.19*0.5)*AJ65</f>
        <v>9.0428188976555049E-10</v>
      </c>
      <c r="BO65">
        <f>(0.955*0.943*(0.9442 - 0.0007*$B65 - dis_BMI*($C65-21.75)) - 0.15*0.5)*AK65</f>
        <v>3.2829155408876528E-10</v>
      </c>
      <c r="BP65">
        <f>(0.955*0.943*(0.9442 - 0.0007*$B65 - dis_BMI*($C65-21.75)))*AL65</f>
        <v>-1.0719432735270109E-9</v>
      </c>
      <c r="BQ65">
        <f>(0.93*(0.9442 - 0.0007*$B65 - dis_BMI*($C65-21.75)))*AM65</f>
        <v>2.2706100361142999E-8</v>
      </c>
      <c r="BR65">
        <f>(0.93*(0.9442 - 0.0007*$B65 - dis_BMI*($C65-21.75)))*AN65</f>
        <v>1.2246907719671373E-8</v>
      </c>
      <c r="BS65">
        <f>(0.93*0.943*(0.9442 - 0.0007*$B65 - dis_BMI*($C65-21.75)))*AO65</f>
        <v>2.0110071073898193E-10</v>
      </c>
      <c r="BT65">
        <f>(0.93*0.943*(0.9442 - 0.0007*$B65 - dis_BMI*($C65-21.75))-0.19*0.5)*AP65</f>
        <v>6.7291943373085095E-10</v>
      </c>
      <c r="BU65">
        <f>(0.93*0.943*(0.9442 - 0.0007*$B65 - dis_BMI*($C65-21.75)))*AQ65</f>
        <v>-7.5310461710681423E-10</v>
      </c>
      <c r="BV65">
        <f>0.962*(0.9442 - 0.0007*$B65 - dis_BMI*($C65-21.75))*AR65</f>
        <v>7.178710375449304E-6</v>
      </c>
      <c r="BW65">
        <f>0.962*0.959*(0.9442 - 0.0007*$B65 - dis_BMI*($C65-21.75))*AS65</f>
        <v>6.0857965354949513E-7</v>
      </c>
      <c r="BX65">
        <f>0.962*(0.943*(0.9442 - 0.0007*$B65 - dis_BMI*($C65-21.75)) - 0.19*0.5)*AT65</f>
        <v>2.5855161990120668E-7</v>
      </c>
      <c r="BY65">
        <f>0.962*(0.943*(0.9442 - 0.0007*$B65 - dis_BMI*($C65-21.75)))*AU65</f>
        <v>-1.9518652429122309E-7</v>
      </c>
      <c r="BZ65">
        <f>0.962*(0.955*(0.9442 - 0.0007*$B65 - dis_BMI*($C65-21.75)) - 0.15*0.5)*AV65</f>
        <v>1.8898735642012502E-7</v>
      </c>
      <c r="CA65">
        <f>0.962*(0.955*(0.9442 - 0.0007*$B65 - dis_BMI*($C65-21.75)))*AW65</f>
        <v>2.08560108662026E-9</v>
      </c>
      <c r="CB65">
        <f>0.962*(0.955*0.943*(0.9442 - 0.0007*$B65 - dis_BMI*($C65-21.75)) - 0.19*0.5)*AX65</f>
        <v>6.58619160159594E-9</v>
      </c>
      <c r="CC65">
        <f>0.962*(0.955*0.943*(0.9442 - 0.0007*$B65 - dis_BMI*($C65-21.75)) - 0.15*0.5)*AY65</f>
        <v>2.2235754453884099E-9</v>
      </c>
      <c r="CD65">
        <f>0.962*(0.955*0.943*(0.9442 - 0.0007*$B65 - dis_BMI*($C65-21.75)))*AZ65</f>
        <v>-2.2926892557572089E-9</v>
      </c>
      <c r="CE65">
        <f>0.962*(0.93*(0.9442 - 0.0007*$B65 - dis_BMI*($C65-21.75)))*BA65</f>
        <v>1.2529289865875847E-7</v>
      </c>
      <c r="CF65">
        <f>0.962*(0.93*(0.9442 - 0.0007*$B65 - dis_BMI*($C65-21.75)))*BB65</f>
        <v>1.1838128569072008E-8</v>
      </c>
      <c r="CG65">
        <f>0.962*(0.93*0.943*(0.9442 - 0.0007*$B65 - dis_BMI*($C65-21.75)))*BC65</f>
        <v>1.087716022195659E-9</v>
      </c>
      <c r="CH65">
        <f>0.962*(0.93*0.943*(0.9442 - 0.0007*$B65 - dis_BMI*($C65-21.75))-0.19*0.5)*BD65</f>
        <v>-1.7122841444282511E-10</v>
      </c>
      <c r="CI65">
        <f>0.962*(0.93*0.943*(0.9442 - 0.0007*$B65 - dis_BMI*($C65-21.75)))*BE65</f>
        <v>9.9623410579613882E-8</v>
      </c>
      <c r="CJ65">
        <f t="shared" si="61"/>
        <v>0</v>
      </c>
      <c r="CK65">
        <f t="shared" si="62"/>
        <v>1.0819424654522303E-5</v>
      </c>
      <c r="CL65">
        <f>CK65/(1+r_)^A65</f>
        <v>1.730996680942486E-6</v>
      </c>
      <c r="CM65">
        <f t="shared" si="63"/>
        <v>0</v>
      </c>
      <c r="CN65">
        <f>AE65*c_Other</f>
        <v>2.7718666448908057E-3</v>
      </c>
      <c r="CO65">
        <f>AF65*(c_Stroke1+c_Stroke2)</f>
        <v>1.6271640689295129E-3</v>
      </c>
      <c r="CP65">
        <f>AG65*c_Stroke2</f>
        <v>-2.3781356802285279E-4</v>
      </c>
      <c r="CQ65">
        <f>AH65*(c_MI1+c_MI2)</f>
        <v>1.3886342786654821E-3</v>
      </c>
      <c r="CR65">
        <f>AI65*c_MI2</f>
        <v>4.6651756147664662E-5</v>
      </c>
      <c r="CS65">
        <f>AJ65*(c_Stroke1+c_Stroke2+c_MI2)</f>
        <v>3.8080408285201994E-5</v>
      </c>
      <c r="CT65">
        <f>AK65*(c_Stroke2+c_MI1+c_MI2)</f>
        <v>1.7744820656866479E-5</v>
      </c>
      <c r="CU65">
        <f>AL65*(c_Stroke2+c_MI2)</f>
        <v>-1.4033926689113384E-5</v>
      </c>
      <c r="CV65">
        <f>AM65*(c_HF1)</f>
        <v>8.0907447227617098E-4</v>
      </c>
      <c r="CW65">
        <f>AN65*(c_HF2)</f>
        <v>2.5193593532827946E-4</v>
      </c>
      <c r="CX65">
        <f>AO65*(c_Stroke2+c_HF1)</f>
        <v>9.426172128577985E-6</v>
      </c>
      <c r="CY65">
        <f>AP65*(c_Stroke1+c_Stroke2+c_HF2)</f>
        <v>4.2762368268260262E-5</v>
      </c>
      <c r="CZ65">
        <f>AQ65*(c_Stroke2+c_HF2)</f>
        <v>-2.3272017590031194E-5</v>
      </c>
      <c r="DA65">
        <f>AR65*c_DM</f>
        <v>0.1045226512453887</v>
      </c>
      <c r="DB65">
        <f>AS65*(c_Other+c_DM)</f>
        <v>2.0787741629784629E-2</v>
      </c>
      <c r="DC65">
        <f>AT65*(c_Stroke1+c_Stroke2+c_DM)</f>
        <v>1.4048940313417069E-2</v>
      </c>
      <c r="DD65">
        <f>AU65*(c_Stroke2+c_DM)</f>
        <v>-4.7283005965782715E-3</v>
      </c>
      <c r="DE65">
        <f>AV65*(c_MI1+c_MI2+c_DM)</f>
        <v>1.1323299366558421E-2</v>
      </c>
      <c r="DF65">
        <f>AW65*(c_MI2+c_DM)</f>
        <v>4.0472477425582339E-5</v>
      </c>
      <c r="DG65">
        <f>AX65*(c_Stroke1+c_Stroke2+c_MI2+c_DM)</f>
        <v>4.1060882136870674E-4</v>
      </c>
      <c r="DH65">
        <f>AY65*(c_Stroke2+c_MI1+c_MI2+c_DM)</f>
        <v>1.6497439335155052E-4</v>
      </c>
      <c r="DI65">
        <f>AZ65*(c_Stroke2+c_MI2+c_DM)</f>
        <v>-6.8269217346431563E-5</v>
      </c>
      <c r="DJ65">
        <f>BA65*(c_HF1+c_DM)</f>
        <v>6.6024344820163677E-3</v>
      </c>
      <c r="DK65">
        <f>BB65*(c_HF2+c_DM)</f>
        <v>4.3848417666827972E-4</v>
      </c>
      <c r="DL65">
        <f>BC65*(c_Stroke2+c_HF1+c_DM)</f>
        <v>7.1056966468260855E-5</v>
      </c>
      <c r="DM65">
        <f>BD65*(c_Stroke1+c_Stroke2+c_HF2+c_DM)</f>
        <v>-1.4589103249943152E-5</v>
      </c>
      <c r="DN65">
        <f>BE65*(c_Stroke2+c_HF2+c_DM)</f>
        <v>4.8540930147496922E-3</v>
      </c>
      <c r="DO65">
        <f t="shared" si="64"/>
        <v>0</v>
      </c>
      <c r="DP65">
        <f t="shared" si="65"/>
        <v>0.16518181938329746</v>
      </c>
      <c r="DQ65">
        <f>DP65/(1+r_)^A65</f>
        <v>2.6427392420078123E-2</v>
      </c>
    </row>
    <row r="66" spans="1:121" x14ac:dyDescent="0.3">
      <c r="A66">
        <v>63</v>
      </c>
      <c r="B66">
        <v>108</v>
      </c>
      <c r="C66">
        <f t="shared" si="0"/>
        <v>38</v>
      </c>
      <c r="D66">
        <f t="shared" si="1"/>
        <v>125</v>
      </c>
      <c r="E66">
        <f t="shared" si="2"/>
        <v>5.7</v>
      </c>
      <c r="F66">
        <v>0.48608000000000001</v>
      </c>
      <c r="G66">
        <v>0.51426000000000005</v>
      </c>
      <c r="H66">
        <f t="shared" si="52"/>
        <v>0.49171600000000004</v>
      </c>
      <c r="I66">
        <f t="shared" si="53"/>
        <v>5.6857293942168513E-2</v>
      </c>
      <c r="J66">
        <f t="shared" si="23"/>
        <v>0.60109548368184695</v>
      </c>
      <c r="K66">
        <f t="shared" si="24"/>
        <v>0.72392924272273607</v>
      </c>
      <c r="L66">
        <f t="shared" si="25"/>
        <v>0.35278015722605782</v>
      </c>
      <c r="M66">
        <f t="shared" si="26"/>
        <v>0.45627449383467999</v>
      </c>
      <c r="N66">
        <f t="shared" si="27"/>
        <v>0.94343809946974755</v>
      </c>
      <c r="O66">
        <f t="shared" si="28"/>
        <v>0.98272849340749757</v>
      </c>
      <c r="P66">
        <f t="shared" si="29"/>
        <v>0.75656729430380343</v>
      </c>
      <c r="Q66">
        <f t="shared" si="30"/>
        <v>0.86418109636024809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4.9292091651603809E-2</v>
      </c>
      <c r="U66">
        <f t="shared" si="31"/>
        <v>0.86467819214946062</v>
      </c>
      <c r="V66">
        <f t="shared" si="32"/>
        <v>0.93925814197239721</v>
      </c>
      <c r="W66">
        <f t="shared" si="33"/>
        <v>0.61203681516150632</v>
      </c>
      <c r="X66">
        <f t="shared" si="34"/>
        <v>0.73447546382564965</v>
      </c>
      <c r="Y66">
        <f t="shared" si="35"/>
        <v>0.99246247109167207</v>
      </c>
      <c r="Z66">
        <f t="shared" si="36"/>
        <v>0.99899873720226751</v>
      </c>
      <c r="AA66">
        <f t="shared" si="37"/>
        <v>0.90967041888677835</v>
      </c>
      <c r="AB66">
        <f t="shared" si="38"/>
        <v>0.96653434326443211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7.1468424748958148E-2</v>
      </c>
      <c r="AD66">
        <f t="shared" si="54"/>
        <v>1.260620172023626E-6</v>
      </c>
      <c r="AE66">
        <f t="shared" si="55"/>
        <v>8.4688380186414004E-8</v>
      </c>
      <c r="AF66">
        <f t="shared" si="56"/>
        <v>3.2300808449250788E-8</v>
      </c>
      <c r="AG66">
        <f t="shared" si="57"/>
        <v>-1.8384630121143377E-8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2.2508736710466727E-8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5.0689289059077887E-9</v>
      </c>
      <c r="AJ66">
        <f t="shared" si="58"/>
        <v>6.5351620497135162E-10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2.290026649652681E-10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-6.903322236492359E-10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1.3975526042770798E-8</v>
      </c>
      <c r="AN66">
        <f t="shared" si="59"/>
        <v>5.4841368129023817E-9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1.2826021173375695E-10</v>
      </c>
      <c r="AP66">
        <f>AM65*T65*p_Stroke*p_Stroke_rec*(1-I65) + AN65*T65*p_Stroke*p_Stroke_rec*(1-I65) + AO65*(p_recur_Stroke*p_Stroke_rec)*(1-I65) + AP65*(p_recur_Stroke*p_Stroke_rec)*(1-I65) + AQ65*(p_recur_Stroke*p_Stroke_rec)*(1-I65)</f>
        <v>4.7893605382528411E-10</v>
      </c>
      <c r="AQ66">
        <f>AO65*(1-p_recur_Stroke-H65*rr_Stroke*rr_HF)*(1-I65) + AP65*(1-p_recur_Stroke-H65*rr_Stroke*rr_HF)*(1-I65) + AQ65*(1-p_recur_Stroke-H65*rr_Stroke*rr_HF)*(1-I65)</f>
        <v>-5.3744955367195286E-10</v>
      </c>
      <c r="AR66">
        <f>AR65*(1-AC65-H65*rr_DM) + AD65*(1-T65-H65)*I65</f>
        <v>3.5908259347573887E-6</v>
      </c>
      <c r="AS66">
        <f>AR65*AC65*p_Other + AD65*T65*p_Other*I65 + AE65*(1-T65*p_Stroke-T65*p_MI-H65*rr_Other)*I65 + AS65*(1-AC65*p_Stroke-AC65*p_MI-H65*rr_Other*rr_DM)</f>
        <v>3.0644181367566642E-7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1.6586670826311301E-7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-1.1462164194326373E-7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1.1599855513313674E-7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-8.5969359030299876E-9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5.4682548367172966E-9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1.911910060409096E-9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-2.1638817524938059E-8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7.05129102308478E-8</v>
      </c>
      <c r="BB66">
        <f>AM65*(1-T65*p_Stroke - H65*rr_HF)*I65 + AN65*(1-T65*p_Stroke - H65*rr_HF)*I65 + BA65*(1-AC65*p_Stroke - H65*rr_HF*rr_DM) + BB65*(1-AC65*p_Stroke - H65*rr_HF*rr_DM)</f>
        <v>-1.2298807639157901E-9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1.665106422889515E-9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1.8966644372094803E-8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-3.2503172907846312E-7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0.99999478693717436</v>
      </c>
      <c r="BG66">
        <f t="shared" si="60"/>
        <v>0.99999999999999922</v>
      </c>
      <c r="BH66">
        <f>(0.9442 - 0.0007*$B66 - dis_BMI*($C66-21.75))*AD66</f>
        <v>1.0273739246949547E-6</v>
      </c>
      <c r="BI66">
        <f>0.959*(0.9442 - 0.0007*$B66 - dis_BMI*($C66-21.75))*AE66</f>
        <v>6.6189137224083418E-8</v>
      </c>
      <c r="BJ66">
        <f>(0.943*(0.9442 - 0.0007*$B66 - dis_BMI*($C66-21.75)) - 0.19*0.5)*AF66</f>
        <v>2.1755286535391431E-8</v>
      </c>
      <c r="BK66">
        <f>(0.943*(0.9442 - 0.0007*$B66 - dis_BMI*($C66-21.75)))*AG66</f>
        <v>-1.412898213879903E-8</v>
      </c>
      <c r="BL66">
        <f>(0.955*(0.9442 - 0.0007*$B66 - dis_BMI*($C66-21.75)) - 0.15*0.5)*AH66</f>
        <v>1.5830419850800048E-8</v>
      </c>
      <c r="BM66">
        <f>(0.955*(0.9442 - 0.0007*$B66 - dis_BMI*($C66-21.75)))*AI66</f>
        <v>3.9451530700130508E-9</v>
      </c>
      <c r="BN66">
        <f>(0.955*0.943*(0.9442 - 0.0007*$B66 - dis_BMI*($C66-21.75)) - 0.19*0.5)*AJ66</f>
        <v>4.1755631140316395E-10</v>
      </c>
      <c r="BO66">
        <f>(0.955*0.943*(0.9442 - 0.0007*$B66 - dis_BMI*($C66-21.75)) - 0.15*0.5)*AK66</f>
        <v>1.5089854908715457E-10</v>
      </c>
      <c r="BP66">
        <f>(0.955*0.943*(0.9442 - 0.0007*$B66 - dis_BMI*($C66-21.75)))*AL66</f>
        <v>-5.0666102455142461E-10</v>
      </c>
      <c r="BQ66">
        <f>(0.93*(0.9442 - 0.0007*$B66 - dis_BMI*($C66-21.75)))*AM66</f>
        <v>1.0592425033137633E-8</v>
      </c>
      <c r="BR66">
        <f>(0.93*(0.9442 - 0.0007*$B66 - dis_BMI*($C66-21.75)))*AN66</f>
        <v>4.1565739911584611E-9</v>
      </c>
      <c r="BS66">
        <f>(0.93*0.943*(0.9442 - 0.0007*$B66 - dis_BMI*($C66-21.75)))*AO66</f>
        <v>9.1670770243958617E-11</v>
      </c>
      <c r="BT66">
        <f>(0.93*0.943*(0.9442 - 0.0007*$B66 - dis_BMI*($C66-21.75))-0.19*0.5)*AP66</f>
        <v>2.9680861015640423E-10</v>
      </c>
      <c r="BU66">
        <f>(0.93*0.943*(0.9442 - 0.0007*$B66 - dis_BMI*($C66-21.75)))*AQ66</f>
        <v>-3.8412859207383245E-10</v>
      </c>
      <c r="BV66">
        <f>0.962*(0.9442 - 0.0007*$B66 - dis_BMI*($C66-21.75))*AR66</f>
        <v>2.8152288982641042E-6</v>
      </c>
      <c r="BW66">
        <f>0.962*0.959*(0.9442 - 0.0007*$B66 - dis_BMI*($C66-21.75))*AS66</f>
        <v>2.3040186483524276E-7</v>
      </c>
      <c r="BX66">
        <f>0.962*(0.943*(0.9442 - 0.0007*$B66 - dis_BMI*($C66-21.75)) - 0.19*0.5)*AT66</f>
        <v>1.0746962000447275E-7</v>
      </c>
      <c r="BY66">
        <f>0.962*(0.943*(0.9442 - 0.0007*$B66 - dis_BMI*($C66-21.75)))*AU66</f>
        <v>-8.4741798473197881E-8</v>
      </c>
      <c r="BZ66">
        <f>0.962*(0.955*(0.9442 - 0.0007*$B66 - dis_BMI*($C66-21.75)) - 0.15*0.5)*AV66</f>
        <v>7.8481801579216224E-8</v>
      </c>
      <c r="CA66">
        <f>0.962*(0.955*(0.9442 - 0.0007*$B66 - dis_BMI*($C66-21.75)))*AW66</f>
        <v>-6.436746699255647E-9</v>
      </c>
      <c r="CB66">
        <f>0.962*(0.955*0.943*(0.9442 - 0.0007*$B66 - dis_BMI*($C66-21.75)) - 0.19*0.5)*AX66</f>
        <v>3.3611083223101593E-9</v>
      </c>
      <c r="CC66">
        <f>0.962*(0.955*0.943*(0.9442 - 0.0007*$B66 - dis_BMI*($C66-21.75)) - 0.15*0.5)*AY66</f>
        <v>1.2119565721522378E-9</v>
      </c>
      <c r="CD66">
        <f>0.962*(0.955*0.943*(0.9442 - 0.0007*$B66 - dis_BMI*($C66-21.75)))*AZ66</f>
        <v>-1.527805072481928E-8</v>
      </c>
      <c r="CE66">
        <f>0.962*(0.93*(0.9442 - 0.0007*$B66 - dis_BMI*($C66-21.75)))*BA66</f>
        <v>5.1412763290704519E-8</v>
      </c>
      <c r="CF66">
        <f>0.962*(0.93*(0.9442 - 0.0007*$B66 - dis_BMI*($C66-21.75)))*BB66</f>
        <v>-8.9673746813148807E-10</v>
      </c>
      <c r="CG66">
        <f>0.962*(0.93*0.943*(0.9442 - 0.0007*$B66 - dis_BMI*($C66-21.75)))*BC66</f>
        <v>1.1448695272149496E-9</v>
      </c>
      <c r="CH66">
        <f>0.962*(0.93*0.943*(0.9442 - 0.0007*$B66 - dis_BMI*($C66-21.75))-0.19*0.5)*BD66</f>
        <v>1.1307446379641676E-8</v>
      </c>
      <c r="CI66">
        <f>0.962*(0.93*0.943*(0.9442 - 0.0007*$B66 - dis_BMI*($C66-21.75)))*BE66</f>
        <v>-2.2348056369524249E-7</v>
      </c>
      <c r="CJ66">
        <f t="shared" si="61"/>
        <v>0</v>
      </c>
      <c r="CK66">
        <f t="shared" si="62"/>
        <v>4.1049665145994172E-6</v>
      </c>
      <c r="CL66">
        <f>CK66/(1+r_)^A66</f>
        <v>6.3762371657045477E-7</v>
      </c>
      <c r="CM66">
        <f t="shared" si="63"/>
        <v>0</v>
      </c>
      <c r="CN66">
        <f>AE66*c_Other</f>
        <v>1.2092653806818055E-3</v>
      </c>
      <c r="CO66">
        <f>AF66*(c_Stroke1+c_Stroke2)</f>
        <v>7.6927605402735675E-4</v>
      </c>
      <c r="CP66">
        <f>AG66*c_Stroke2</f>
        <v>-1.1950009578743195E-4</v>
      </c>
      <c r="CQ66">
        <f>AH66*(c_MI1+c_MI2)</f>
        <v>6.5615218384681561E-4</v>
      </c>
      <c r="CR66">
        <f>AI66*c_MI2</f>
        <v>1.5799851399714577E-5</v>
      </c>
      <c r="CS66">
        <f>AJ66*(c_Stroke1+c_Stroke2+c_MI2)</f>
        <v>1.7601151948493413E-5</v>
      </c>
      <c r="CT66">
        <f>AK66*(c_Stroke2+c_MI1+c_MI2)</f>
        <v>8.1641740086767728E-6</v>
      </c>
      <c r="CU66">
        <f>AL66*(c_Stroke2+c_MI2)</f>
        <v>-6.6389249948347017E-6</v>
      </c>
      <c r="CV66">
        <f>AM66*(c_HF1)</f>
        <v>3.7775846893609466E-4</v>
      </c>
      <c r="CW66">
        <f>AN66*(c_HF2)</f>
        <v>8.5579954965341669E-5</v>
      </c>
      <c r="CX66">
        <f>AO66*(c_Stroke2+c_HF1)</f>
        <v>4.3005648994328709E-6</v>
      </c>
      <c r="CY66">
        <f>AP66*(c_Stroke1+c_Stroke2+c_HF2)</f>
        <v>1.8880138177846524E-5</v>
      </c>
      <c r="CZ66">
        <f>AQ66*(c_Stroke2+c_HF2)</f>
        <v>-1.1880322383918517E-5</v>
      </c>
      <c r="DA66">
        <f>AR66*c_DM</f>
        <v>4.1025186304603167E-2</v>
      </c>
      <c r="DB66">
        <f>AS66*(c_Other+c_DM)</f>
        <v>7.8767803787193301E-3</v>
      </c>
      <c r="DC66">
        <f>AT66*(c_Stroke1+c_Stroke2+c_DM)</f>
        <v>5.8453086659003657E-3</v>
      </c>
      <c r="DD66">
        <f>AU66*(c_Stroke2+c_DM)</f>
        <v>-2.0545929318330023E-3</v>
      </c>
      <c r="DE66">
        <f>AV66*(c_MI1+c_MI2+c_DM)</f>
        <v>4.7067573730821561E-3</v>
      </c>
      <c r="DF66">
        <f>AW66*(c_MI2+c_DM)</f>
        <v>-1.2501664190186208E-4</v>
      </c>
      <c r="DG66">
        <f>AX66*(c_Stroke1+c_Stroke2+c_MI2+c_DM)</f>
        <v>2.0975131902680206E-4</v>
      </c>
      <c r="DH66">
        <f>AY66*(c_Stroke2+c_MI1+c_MI2+c_DM)</f>
        <v>9.0005078003818604E-5</v>
      </c>
      <c r="DI66">
        <f>AZ66*(c_Stroke2+c_MI2+c_DM)</f>
        <v>-4.5532399835974664E-4</v>
      </c>
      <c r="DJ66">
        <f>BA66*(c_HF1+c_DM)</f>
        <v>2.7115739629272524E-3</v>
      </c>
      <c r="DK66">
        <f>BB66*(c_HF2+c_DM)</f>
        <v>-3.3243677048643806E-5</v>
      </c>
      <c r="DL66">
        <f>BC66*(c_Stroke2+c_HF1+c_DM)</f>
        <v>7.4854859240998148E-5</v>
      </c>
      <c r="DM66">
        <f>BD66*(c_Stroke1+c_Stroke2+c_HF2+c_DM)</f>
        <v>9.6437799974353241E-4</v>
      </c>
      <c r="DN66">
        <f>BE66*(c_Stroke2+c_HF2+c_DM)</f>
        <v>-1.0898313876000869E-2</v>
      </c>
      <c r="DO66">
        <f t="shared" si="64"/>
        <v>0</v>
      </c>
      <c r="DP66">
        <f t="shared" si="65"/>
        <v>5.2962863395828681E-2</v>
      </c>
      <c r="DQ66">
        <f>DP66/(1+r_)^A66</f>
        <v>8.2267121250700521E-3</v>
      </c>
    </row>
    <row r="67" spans="1:121" x14ac:dyDescent="0.3">
      <c r="A67">
        <v>64</v>
      </c>
      <c r="B67">
        <v>109</v>
      </c>
      <c r="C67">
        <f t="shared" ref="C67" si="66">BMI_BL</f>
        <v>38</v>
      </c>
      <c r="D67">
        <f t="shared" ref="D67" si="67">SBP_BL</f>
        <v>125</v>
      </c>
      <c r="E67">
        <f t="shared" ref="E67" si="68">HbA1C_BL</f>
        <v>5.7</v>
      </c>
      <c r="F67">
        <v>0.50319000000000003</v>
      </c>
      <c r="G67">
        <v>0.52910000000000001</v>
      </c>
      <c r="H67">
        <f t="shared" si="52"/>
        <v>0.50837200000000005</v>
      </c>
      <c r="I67">
        <f t="shared" si="53"/>
        <v>5.6857293942168513E-2</v>
      </c>
      <c r="J67">
        <f t="shared" si="23"/>
        <v>0.61029811640010112</v>
      </c>
      <c r="K67">
        <f t="shared" si="24"/>
        <v>0.732807417326373</v>
      </c>
      <c r="L67">
        <f t="shared" si="25"/>
        <v>0.35989202113887642</v>
      </c>
      <c r="M67">
        <f t="shared" si="26"/>
        <v>0.46462346557612944</v>
      </c>
      <c r="N67">
        <f t="shared" si="27"/>
        <v>0.94797480761080044</v>
      </c>
      <c r="O67">
        <f t="shared" si="28"/>
        <v>0.98465297598386292</v>
      </c>
      <c r="P67">
        <f t="shared" si="29"/>
        <v>0.76637557237867626</v>
      </c>
      <c r="Q67">
        <f t="shared" si="30"/>
        <v>0.87184862115206119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5.0041326293199989E-2</v>
      </c>
      <c r="U67">
        <f t="shared" si="31"/>
        <v>0.87138022236769586</v>
      </c>
      <c r="V67">
        <f t="shared" si="32"/>
        <v>0.94342908791362534</v>
      </c>
      <c r="W67">
        <f t="shared" si="33"/>
        <v>0.62125464094190908</v>
      </c>
      <c r="X67">
        <f t="shared" si="34"/>
        <v>0.74326856226564475</v>
      </c>
      <c r="Y67">
        <f t="shared" si="35"/>
        <v>0.99346205188039505</v>
      </c>
      <c r="Z67">
        <f t="shared" si="36"/>
        <v>0.99918107713386706</v>
      </c>
      <c r="AA67">
        <f t="shared" si="37"/>
        <v>0.91577571600062424</v>
      </c>
      <c r="AB67">
        <f t="shared" si="38"/>
        <v>0.96968519017851351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7.2190504793690241E-2</v>
      </c>
      <c r="AD67">
        <f t="shared" si="54"/>
        <v>5.45716006115781E-7</v>
      </c>
      <c r="AE67">
        <f t="shared" si="55"/>
        <v>3.5712195416677022E-8</v>
      </c>
      <c r="AF67">
        <f t="shared" si="56"/>
        <v>1.468302693780747E-8</v>
      </c>
      <c r="AG67">
        <f t="shared" si="57"/>
        <v>-8.7926000424045286E-9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1.0227734130421265E-8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1.4994977430682827E-9</v>
      </c>
      <c r="AJ67">
        <f t="shared" si="58"/>
        <v>2.9129731656140168E-10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1.0155657014162218E-10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-3.0919819775594996E-10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6.2848118895440699E-9</v>
      </c>
      <c r="AN67">
        <f t="shared" si="59"/>
        <v>1.720427106006397E-9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5.624486634511781E-11</v>
      </c>
      <c r="AP67">
        <f>AM66*T66*p_Stroke*p_Stroke_rec*(1-I66) + AN66*T66*p_Stroke*p_Stroke_rec*(1-I66) + AO66*(p_recur_Stroke*p_Stroke_rec)*(1-I66) + AP66*(p_recur_Stroke*p_Stroke_rec)*(1-I66) + AQ66*(p_recur_Stroke*p_Stroke_rec)*(1-I66)</f>
        <v>1.9869030903835187E-10</v>
      </c>
      <c r="AQ67">
        <f>AO66*(1-p_recur_Stroke-H66*rr_Stroke*rr_HF)*(1-I66) + AP66*(1-p_recur_Stroke-H66*rr_Stroke*rr_HF)*(1-I66) + AQ66*(1-p_recur_Stroke-H66*rr_Stroke*rr_HF)*(1-I66)</f>
        <v>-1.2637269226096362E-10</v>
      </c>
      <c r="AR67">
        <f>AR66*(1-AC66-H66*rr_DM) + AD66*(1-T66-H66)*I66</f>
        <v>1.336577163860961E-6</v>
      </c>
      <c r="AS67">
        <f>AR66*AC66*p_Other + AD66*T66*p_Other*I66 + AE66*(1-T66*p_Stroke-T66*p_MI-H66*rr_Other)*I66 + AS66*(1-AC66*p_Stroke-AC66*p_MI-H66*rr_Other*rr_DM)</f>
        <v>1.1064526085730656E-7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6.5479904370881142E-8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-4.6940401351500218E-8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4.5758064978571829E-8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-6.7817717089958199E-9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6.7610061881236804E-11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-1.5742355163228125E-10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2.9505214242034381E-8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2.7526098630091847E-8</v>
      </c>
      <c r="BB67">
        <f>AM66*(1-T66*p_Stroke - H66*rr_HF)*I66 + AN66*(1-T66*p_Stroke - H66*rr_HF)*I66 + BA66*(1-AC66*p_Stroke - H66*rr_HF*rr_DM) + BB66*(1-AC66*p_Stroke - H66*rr_HF*rr_DM)</f>
        <v>-3.0555435944374464E-9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-1.2045258734552453E-9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-3.2546031807007576E-8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7.1267667530840613E-7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0.99999715518638743</v>
      </c>
      <c r="BG67">
        <f t="shared" si="60"/>
        <v>0.99999999999999933</v>
      </c>
      <c r="BH67">
        <f>(0.9442 - 0.0007*$B67 - dis_BMI*($C67-21.75))*AD67</f>
        <v>4.4436290087992755E-7</v>
      </c>
      <c r="BI67">
        <f>0.959*(0.9442 - 0.0007*$B67 - dis_BMI*($C67-21.75))*AE67</f>
        <v>2.7887286458075178E-8</v>
      </c>
      <c r="BJ67">
        <f>(0.943*(0.9442 - 0.0007*$B67 - dis_BMI*($C67-21.75)) - 0.19*0.5)*AF67</f>
        <v>9.8796409603838252E-9</v>
      </c>
      <c r="BK67">
        <f>(0.943*(0.9442 - 0.0007*$B67 - dis_BMI*($C67-21.75)))*AG67</f>
        <v>-6.7514975187557969E-9</v>
      </c>
      <c r="BL67">
        <f>(0.955*(0.9442 - 0.0007*$B67 - dis_BMI*($C67-21.75)) - 0.15*0.5)*AH67</f>
        <v>7.1863396798599857E-9</v>
      </c>
      <c r="BM67">
        <f>(0.955*(0.9442 - 0.0007*$B67 - dis_BMI*($C67-21.75)))*AI67</f>
        <v>1.1660583661237642E-9</v>
      </c>
      <c r="BN67">
        <f>(0.955*0.943*(0.9442 - 0.0007*$B67 - dis_BMI*($C67-21.75)) - 0.19*0.5)*AJ67</f>
        <v>1.8593728093457896E-10</v>
      </c>
      <c r="BO67">
        <f>(0.955*0.943*(0.9442 - 0.0007*$B67 - dis_BMI*($C67-21.75)) - 0.15*0.5)*AK67</f>
        <v>6.6855458437766719E-11</v>
      </c>
      <c r="BP67">
        <f>(0.955*0.943*(0.9442 - 0.0007*$B67 - dis_BMI*($C67-21.75)))*AL67</f>
        <v>-2.2673737761475343E-10</v>
      </c>
      <c r="BQ67">
        <f>(0.93*(0.9442 - 0.0007*$B67 - dis_BMI*($C67-21.75)))*AM67</f>
        <v>4.7593356372634031E-9</v>
      </c>
      <c r="BR67">
        <f>(0.93*(0.9442 - 0.0007*$B67 - dis_BMI*($C67-21.75)))*AN67</f>
        <v>1.3028377270213239E-9</v>
      </c>
      <c r="BS67">
        <f>(0.93*0.943*(0.9442 - 0.0007*$B67 - dis_BMI*($C67-21.75)))*AO67</f>
        <v>4.016507956447537E-11</v>
      </c>
      <c r="BT67">
        <f>(0.93*0.943*(0.9442 - 0.0007*$B67 - dis_BMI*($C67-21.75))-0.19*0.5)*AP67</f>
        <v>1.2301136232680554E-10</v>
      </c>
      <c r="BU67">
        <f>(0.93*0.943*(0.9442 - 0.0007*$B67 - dis_BMI*($C67-21.75)))*AQ67</f>
        <v>-9.0244133718688319E-11</v>
      </c>
      <c r="BV67">
        <f>0.962*(0.9442 - 0.0007*$B67 - dis_BMI*($C67-21.75))*AR67</f>
        <v>1.0469843980389744E-6</v>
      </c>
      <c r="BW67">
        <f>0.962*0.959*(0.9442 - 0.0007*$B67 - dis_BMI*($C67-21.75))*AS67</f>
        <v>8.3118480925125584E-8</v>
      </c>
      <c r="BX67">
        <f>0.962*(0.943*(0.9442 - 0.0007*$B67 - dis_BMI*($C67-21.75)) - 0.19*0.5)*AT67</f>
        <v>4.2384657197661523E-8</v>
      </c>
      <c r="BY67">
        <f>0.962*(0.943*(0.9442 - 0.0007*$B67 - dis_BMI*($C67-21.75)))*AU67</f>
        <v>-3.467405746423854E-8</v>
      </c>
      <c r="BZ67">
        <f>0.962*(0.955*(0.9442 - 0.0007*$B67 - dis_BMI*($C67-21.75)) - 0.15*0.5)*AV67</f>
        <v>3.0929367157003545E-8</v>
      </c>
      <c r="CA67">
        <f>0.962*(0.955*(0.9442 - 0.0007*$B67 - dis_BMI*($C67-21.75)))*AW67</f>
        <v>-5.0733253126409034E-9</v>
      </c>
      <c r="CB67">
        <f>0.962*(0.955*0.943*(0.9442 - 0.0007*$B67 - dis_BMI*($C67-21.75)) - 0.19*0.5)*AX67</f>
        <v>4.151608546248327E-11</v>
      </c>
      <c r="CC67">
        <f>0.962*(0.955*0.943*(0.9442 - 0.0007*$B67 - dis_BMI*($C67-21.75)) - 0.15*0.5)*AY67</f>
        <v>-9.9695056637438839E-11</v>
      </c>
      <c r="CD67">
        <f>0.962*(0.955*0.943*(0.9442 - 0.0007*$B67 - dis_BMI*($C67-21.75)))*AZ67</f>
        <v>2.0814213742469634E-8</v>
      </c>
      <c r="CE67">
        <f>0.962*(0.93*(0.9442 - 0.0007*$B67 - dis_BMI*($C67-21.75)))*BA67</f>
        <v>2.005274279925906E-8</v>
      </c>
      <c r="CF67">
        <f>0.962*(0.93*(0.9442 - 0.0007*$B67 - dis_BMI*($C67-21.75)))*BB67</f>
        <v>-2.2259612825841713E-9</v>
      </c>
      <c r="CG67">
        <f>0.962*(0.93*0.943*(0.9442 - 0.0007*$B67 - dis_BMI*($C67-21.75)))*BC67</f>
        <v>-8.2747893670008966E-10</v>
      </c>
      <c r="CH67">
        <f>0.962*(0.93*0.943*(0.9442 - 0.0007*$B67 - dis_BMI*($C67-21.75))-0.19*0.5)*BD67</f>
        <v>-1.9383922268466039E-8</v>
      </c>
      <c r="CI67">
        <f>0.962*(0.93*0.943*(0.9442 - 0.0007*$B67 - dis_BMI*($C67-21.75)))*BE67</f>
        <v>4.8959092576691459E-7</v>
      </c>
      <c r="CJ67">
        <f t="shared" si="61"/>
        <v>0</v>
      </c>
      <c r="CK67">
        <f t="shared" si="62"/>
        <v>2.1615237512514331E-6</v>
      </c>
      <c r="CL67">
        <f>CK67/(1+r_)^A67</f>
        <v>3.2596999879884052E-7</v>
      </c>
      <c r="CM67">
        <f t="shared" si="63"/>
        <v>0</v>
      </c>
      <c r="CN67">
        <f>AE67*c_Other</f>
        <v>5.0993443835473118E-4</v>
      </c>
      <c r="CO67">
        <f>AF67*(c_Stroke1+c_Stroke2)</f>
        <v>3.4969096955082271E-4</v>
      </c>
      <c r="CP67">
        <f>AG67*c_Stroke2</f>
        <v>-5.7151900275629438E-5</v>
      </c>
      <c r="CQ67">
        <f>AH67*(c_MI1+c_MI2)</f>
        <v>2.9814867763591031E-4</v>
      </c>
      <c r="CR67">
        <f>AI67*c_MI2</f>
        <v>4.6739344651438374E-6</v>
      </c>
      <c r="CS67">
        <f>AJ67*(c_Stroke1+c_Stroke2+c_MI2)</f>
        <v>7.8455106269482313E-6</v>
      </c>
      <c r="CT67">
        <f>AK67*(c_Stroke2+c_MI1+c_MI2)</f>
        <v>3.6205932821189722E-6</v>
      </c>
      <c r="CU67">
        <f>AL67*(c_Stroke2+c_MI2)</f>
        <v>-2.9735590678189708E-6</v>
      </c>
      <c r="CV67">
        <f>AM67*(c_HF1)</f>
        <v>1.698784653743762E-4</v>
      </c>
      <c r="CW67">
        <f>AN67*(c_HF2)</f>
        <v>2.6847264989229824E-5</v>
      </c>
      <c r="CX67">
        <f>AO67*(c_Stroke2+c_HF1)</f>
        <v>1.8858903685518001E-6</v>
      </c>
      <c r="CY67">
        <f>AP67*(c_Stroke1+c_Stroke2+c_HF2)</f>
        <v>7.8325706726008688E-6</v>
      </c>
      <c r="CZ67">
        <f>AQ67*(c_Stroke2+c_HF2)</f>
        <v>-2.793468362428601E-6</v>
      </c>
      <c r="DA67">
        <f>AR67*c_DM</f>
        <v>1.527039409711148E-2</v>
      </c>
      <c r="DB67">
        <f>AS67*(c_Other+c_DM)</f>
        <v>2.8440257850762076E-3</v>
      </c>
      <c r="DC67">
        <f>AT67*(c_Stroke1+c_Stroke2+c_DM)</f>
        <v>2.3075773099342223E-3</v>
      </c>
      <c r="DD67">
        <f>AU67*(c_Stroke2+c_DM)</f>
        <v>-8.4140669422564144E-4</v>
      </c>
      <c r="DE67">
        <f>AV67*(c_MI1+c_MI2+c_DM)</f>
        <v>1.8566792445705305E-3</v>
      </c>
      <c r="DF67">
        <f>AW67*(c_MI2+c_DM)</f>
        <v>-9.8620524192217208E-5</v>
      </c>
      <c r="DG67">
        <f>AX67*(c_Stroke1+c_Stroke2+c_MI2+c_DM)</f>
        <v>2.5933867536404811E-6</v>
      </c>
      <c r="DH67">
        <f>AY67*(c_Stroke2+c_MI1+c_MI2+c_DM)</f>
        <v>-7.410871116641272E-6</v>
      </c>
      <c r="DI67">
        <f>AZ67*(c_Stroke2+c_MI2+c_DM)</f>
        <v>6.2084871808088741E-4</v>
      </c>
      <c r="DJ67">
        <f>BA67*(c_HF1+c_DM)</f>
        <v>1.058516122820182E-3</v>
      </c>
      <c r="DK67">
        <f>BB67*(c_HF2+c_DM)</f>
        <v>-8.2591343357644179E-5</v>
      </c>
      <c r="DL67">
        <f>BC67*(c_Stroke2+c_HF1+c_DM)</f>
        <v>-5.4149460641180554E-5</v>
      </c>
      <c r="DM67">
        <f>BD67*(c_Stroke1+c_Stroke2+c_HF2+c_DM)</f>
        <v>-1.6548355332591071E-3</v>
      </c>
      <c r="DN67">
        <f>BE67*(c_Stroke2+c_HF2+c_DM)</f>
        <v>2.3896048923090857E-2</v>
      </c>
      <c r="DO67">
        <f t="shared" si="64"/>
        <v>0</v>
      </c>
      <c r="DP67">
        <f t="shared" si="65"/>
        <v>4.6435108548260134E-2</v>
      </c>
      <c r="DQ67">
        <f>DP67/(1+r_)^A67</f>
        <v>7.002676824132515E-3</v>
      </c>
    </row>
    <row r="68" spans="1:121" x14ac:dyDescent="0.3">
      <c r="CK68">
        <f>SUM(CK3:CK67)</f>
        <v>27.335988758695581</v>
      </c>
      <c r="CL68">
        <f>SUM(CL3:CL67)</f>
        <v>17.174366325981968</v>
      </c>
      <c r="DP68" s="11">
        <f>SUM(DP3:DP67)</f>
        <v>305928.53699201404</v>
      </c>
      <c r="DQ68" s="11">
        <f>SUM(DQ3:DQ67)</f>
        <v>156747.97442087255</v>
      </c>
    </row>
  </sheetData>
  <mergeCells count="5">
    <mergeCell ref="CM1:DQ1"/>
    <mergeCell ref="AD1:BF1"/>
    <mergeCell ref="U1:AC1"/>
    <mergeCell ref="J1:T1"/>
    <mergeCell ref="BH1:CL1"/>
  </mergeCells>
  <conditionalFormatting sqref="BG3:BG67">
    <cfRule type="cellIs" dxfId="11" priority="2" operator="equal">
      <formula>1000</formula>
    </cfRule>
  </conditionalFormatting>
  <conditionalFormatting sqref="BG3:BG67">
    <cfRule type="cellIs" dxfId="1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F7B4-F604-4EDC-B98D-8E9DC0E8A0CB}">
  <dimension ref="A1:DQ70"/>
  <sheetViews>
    <sheetView topLeftCell="CY51" workbookViewId="0">
      <selection activeCell="DQ70" sqref="DQ70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44" si="0">BMI_BL</f>
        <v>38</v>
      </c>
      <c r="D3">
        <f t="shared" ref="D3:D66" si="1">SBP_BL</f>
        <v>125</v>
      </c>
      <c r="E3">
        <f t="shared" ref="E3:E44" si="2">HbA1C_BL</f>
        <v>5.7</v>
      </c>
      <c r="F3">
        <v>2.0300000000000001E-3</v>
      </c>
      <c r="G3">
        <v>3.3300000000000001E-3</v>
      </c>
      <c r="H3">
        <f t="shared" ref="H3:H58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:AC44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f>1-disc_LSM</f>
        <v>0.97499999999999998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0.97499999999999998</v>
      </c>
      <c r="BH3">
        <f>(0.9442 - 0.0007*$B3 - dis_BMI*($C3-21.75))*AD3</f>
        <v>0.83759812499999997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0.83759812499999997</v>
      </c>
      <c r="CL3">
        <f>CK3/(1+r_)^A3</f>
        <v>0.83759812499999997</v>
      </c>
      <c r="CM3">
        <f>AD3*0</f>
        <v>0</v>
      </c>
      <c r="CN3">
        <f>AE3*c_Other</f>
        <v>0</v>
      </c>
      <c r="CO3">
        <f>AF3*(c_Stroke1+c_Stroke2)</f>
        <v>0</v>
      </c>
      <c r="CP3">
        <f>AG3*c_Stroke2</f>
        <v>0</v>
      </c>
      <c r="CQ3">
        <f>AH3*(c_MI1+c_MI2)</f>
        <v>0</v>
      </c>
      <c r="CR3">
        <f>AI3*c_MI2</f>
        <v>0</v>
      </c>
      <c r="CS3">
        <f>AJ3*(c_Stroke1+c_Stroke2+c_MI2)</f>
        <v>0</v>
      </c>
      <c r="CT3">
        <f>AK3*(c_Stroke2+c_MI1+c_MI2)</f>
        <v>0</v>
      </c>
      <c r="CU3">
        <f>AL3*(c_Stroke2+c_MI2)</f>
        <v>0</v>
      </c>
      <c r="CV3">
        <f>AM3*(c_HF1)</f>
        <v>0</v>
      </c>
      <c r="CW3">
        <f>AN3*(c_HF2)</f>
        <v>0</v>
      </c>
      <c r="CX3">
        <f>AO3*(c_Stroke2+c_HF1)</f>
        <v>0</v>
      </c>
      <c r="CY3">
        <f>AP3*(c_Stroke1+c_Stroke2+c_HF2)</f>
        <v>0</v>
      </c>
      <c r="CZ3">
        <f>AQ3*(c_Stroke2+c_HF2)</f>
        <v>0</v>
      </c>
      <c r="DA3">
        <f>AR3*c_DM</f>
        <v>0</v>
      </c>
      <c r="DB3">
        <f>AS3*(c_Other+c_DM)</f>
        <v>0</v>
      </c>
      <c r="DC3">
        <f>AT3*(c_Stroke1+c_Stroke2+c_DM)</f>
        <v>0</v>
      </c>
      <c r="DD3">
        <f>AU3*(c_Stroke2+c_DM)</f>
        <v>0</v>
      </c>
      <c r="DE3">
        <f>AV3*(c_MI1+c_MI2+c_DM)</f>
        <v>0</v>
      </c>
      <c r="DF3">
        <f>AW3*(c_MI2+c_DM)</f>
        <v>0</v>
      </c>
      <c r="DG3">
        <f>AX3*(c_Stroke1+c_Stroke2+c_MI2+c_DM)</f>
        <v>0</v>
      </c>
      <c r="DH3">
        <f>AY3*(c_Stroke2+c_MI1+c_MI2+c_DM)</f>
        <v>0</v>
      </c>
      <c r="DI3">
        <f>AZ3*(c_Stroke2+c_MI2+c_DM)</f>
        <v>0</v>
      </c>
      <c r="DJ3">
        <f>BA3*(c_HF1+c_DM)</f>
        <v>0</v>
      </c>
      <c r="DK3">
        <f>BB3*(c_HF2+c_DM)</f>
        <v>0</v>
      </c>
      <c r="DL3">
        <f>BC3*(c_Stroke2+c_HF1+c_DM)</f>
        <v>0</v>
      </c>
      <c r="DM3">
        <f>BD3*(c_Stroke1+c_Stroke2+c_HF2+c_DM)</f>
        <v>0</v>
      </c>
      <c r="DN3">
        <f>BE3*(c_Stroke2+c_HF2+c_DM)</f>
        <v>0</v>
      </c>
      <c r="DO3">
        <f>BF3*0</f>
        <v>0</v>
      </c>
      <c r="DP3">
        <f>SUM(CM3:DO3)</f>
        <v>0</v>
      </c>
      <c r="DQ3">
        <f>DP3/(1+r_)^A3</f>
        <v>0</v>
      </c>
    </row>
    <row r="4" spans="1:121" x14ac:dyDescent="0.3">
      <c r="A4">
        <v>1</v>
      </c>
      <c r="B4">
        <v>46</v>
      </c>
      <c r="C4">
        <f>C3*(1+w_red_LSM)</f>
        <v>38</v>
      </c>
      <c r="D4">
        <f t="shared" si="1"/>
        <v>125</v>
      </c>
      <c r="E4">
        <f>E3+h_red_LSM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5.6857293942168513E-2</v>
      </c>
      <c r="J4">
        <f>1 - 0.94833 ^ (EXP(2.72107*(LN($B4)-3.8686) + 0.51125*(LN($C4)-LN(21.75)) + 2.81291*(LN($D4)*(1-0) - 4.24) + 2.88267*(LN($D4)*0 - 0.5826) + 0.61868*(1-0.3423) + 0.77763*(0-0.0376)))</f>
        <v>8.6159915750376737E-2</v>
      </c>
      <c r="K4">
        <f>1 - 0.94833 ^ (EXP(2.72107*(LN($B4)-3.8686) + 0.51125*(LN($C4)-LN(21.75)) + 2.81291*(LN($D4)*(1-1) - 4.24) + 2.88267*(LN($D4)*1 - 0.5826) + 0.61868*(1-0.3423) + 0.77763*(0-0.0376)))</f>
        <v>0.11854720856986189</v>
      </c>
      <c r="L4">
        <f>1 - 0.94833 ^ (EXP(2.72107*(LN($B4)-3.8686) + 0.51125*(LN($C4)-LN(28)) + 2.81291*(LN($D4)*(1-0) - 4.24) + 2.88267*(LN($D4)*0 - 0.5826) + 0.61868*(0-0.3423) + 0.77763*(0-0.0376)))</f>
        <v>4.1756240333190586E-2</v>
      </c>
      <c r="M4">
        <f>1 - 0.94833 ^ (EXP(2.72107*(LN($B4)-3.8686) + 0.51125*(LN($C4)-LN(28)) + 2.81291*(LN($D4)*(1-1) - 4.24) + 2.88267*(LN($D4)*1 - 0.5826) + 0.61868*(0-0.3423) + 0.77763*(0-0.0376)))</f>
        <v>5.7986130403839042E-2</v>
      </c>
      <c r="N4">
        <f>1 - 0.8843 ^ (EXP(3.113*(LN($B4)-3.856) + 0.7928*(LN($C4)-LN(28)) + 1.8551*(LN($D4)*(1-0) - 4.3544) + 1.9267*(LN($D4)*0 - 0.5019) + 0.7095*(1-0.3522) + 0.5316*(0-0.065)))</f>
        <v>0.18253049327724391</v>
      </c>
      <c r="O4">
        <f>1 - 0.8843 ^ (EXP(3.113*(LN($B4)-3.856) + 0.7928*(LN($C4)-LN(28)) + 1.8551*(LN($D4)*(1-1) - 4.3544) + 1.9267*(LN($D4)*1 - 0.5019) + 0.7095*(1-0.3522) + 0.5316*(0-0.065)))</f>
        <v>0.24781739423476201</v>
      </c>
      <c r="P4">
        <f>1 - 0.8843 ^ (EXP(3.113*(LN($B4)-3.856) + 0.7928*(LN($C4)-LN(28)) + 1.8551*(LN($D4)*(1-0) - 4.3544) + 1.9267*(LN($D4)*0 - 0.5019) + 0.7095*(0-0.3522) + 0.5316*(0-0.065)))</f>
        <v>9.4380783478072883E-2</v>
      </c>
      <c r="Q4">
        <f>1 - 0.8843 ^ (EXP(3.113*(LN($B4)-3.856) + 0.7928*(LN($C4)-LN(28)) + 1.8551*(LN($D4)*(1-1) - 4.3544) + 1.9267*(LN($D4)*1 - 0.5019) + 0.7095*(0-0.3522) + 0.5316*(0-0.065)))</f>
        <v>0.13071006503210747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6.8200444906459275E-3</v>
      </c>
      <c r="U4">
        <f>1 - 0.94833 ^ (EXP(2.72107*(LN($B4)-3.8686) + 0.51125*(LN($C4)-LN(21.75)) + 2.81291*(LN($D4)*(1-0) - 4.24) + 2.88267*(LN($D4)*0 - 0.5826) + 0.61868*(1-0.3423) + 0.77763*(1-0.0376)))</f>
        <v>0.17805738097297552</v>
      </c>
      <c r="V4">
        <f>1 - 0.94833 ^ (EXP(2.72107*(LN($B4)-3.8686) + 0.51125*(LN($C4)-LN(21.75)) + 2.81291*(LN($D4)*(1-1) - 4.24) + 2.88267*(LN($D4)*1 - 0.5826) + 0.61868*(1-0.3423) + 0.77763*(1-0.0376)))</f>
        <v>0.24013532721508557</v>
      </c>
      <c r="W4">
        <f>1 - 0.94833 ^ (EXP(2.72107*(LN($B4)-3.8686) + 0.51125*(LN($C4)-LN(28)) + 2.81291*(LN($D4)*(1-0) - 4.24) + 2.88267*(LN($D4)*0 - 0.5826) + 0.61868*(0-0.3423) + 0.77763*(1-0.0376)))</f>
        <v>8.8648181649948588E-2</v>
      </c>
      <c r="X4">
        <f>1 - 0.94833 ^ (EXP(2.72107*(LN($B4)-3.8686) + 0.51125*(LN($C4)-LN(28)) + 2.81291*(LN($D4)*(1-1) - 4.24) + 2.88267*(LN($D4)*1 - 0.5826) + 0.61868*(0-0.3423) + 0.77763*(1-0.0376)))</f>
        <v>0.12190666563047758</v>
      </c>
      <c r="Y4">
        <f>1 - 0.8843 ^ (EXP(3.113*(LN($B4)-3.856) + 0.7928*(LN($C4)-LN(28)) + 1.8551*(LN($D4)*(1-0) - 4.3544) + 1.9267*(LN($D4)*0 - 0.5019) + 0.7095*(1-0.3522) + 0.5316*(1-0.065)))</f>
        <v>0.29032911247151927</v>
      </c>
      <c r="Z4">
        <f>1 - 0.8843 ^ (EXP(3.113*(LN($B4)-3.856) + 0.7928*(LN($C4)-LN(28)) + 1.8551*(LN($D4)*(1-1) - 4.3544) + 1.9267*(LN($D4)*1 - 0.5019) + 0.7095*(1-0.3522) + 0.5316*(1-0.065)))</f>
        <v>0.38405040143631863</v>
      </c>
      <c r="AA4">
        <f>1 - 0.8843 ^ (EXP(3.113*(LN($B4)-3.856) + 0.7928*(LN($C4)-LN(28)) + 1.8551*(LN($D4)*(1-0) - 4.3544) + 1.9267*(LN($D4)*0 - 0.5019) + 0.7095*(0-0.3522) + 0.5316*(1-0.065)))</f>
        <v>0.15523403016920634</v>
      </c>
      <c r="AB4">
        <f>1 - 0.8843 ^ (EXP(3.113*(LN($B4)-3.856) + 0.7928*(LN($C4)-LN(28)) + 1.8551*(LN($D4)*(1-1) - 4.3544) + 1.9267*(LN($D4)*1 - 0.5019) + 0.7095*(0-0.3522) + 0.5316*(1-0.065)))</f>
        <v>0.21208501570031357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1.309529571655314E-2</v>
      </c>
      <c r="AD4">
        <f>AD3*(1-T3-H3)*(1-I3)</f>
        <v>0.91169439422897491</v>
      </c>
      <c r="AE4">
        <f t="shared" ref="AE4:AE44" si="5">AD3*T3*p_Other*(1-I3) + AE3*(1-T3*(1-p_Other)-H3*rr_Other)*(1-I3)</f>
        <v>3.1701682652530302E-3</v>
      </c>
      <c r="AF4">
        <f t="shared" ref="AF4:AF44" si="6">AD3*T3*p_Stroke*p_Stroke_rec*(1-I3)+AE3*T3*p_Stroke*p_Stroke_rec*(1-I3) + AF3*p_recur_Stroke*p_Stroke_rec*(1-I3) + AG3*p_recur_Stroke*p_Stroke_rec*(1-I3)</f>
        <v>1.2196501907773478E-3</v>
      </c>
      <c r="AG4">
        <f t="shared" ref="AG4:AG44" si="7">AF3*(1-p_recur_Stroke-T3*p_MI-H3*rr_Stroke)*(1-I3) + AG3*(1-p_recur_Stroke-T3*p_MI-H3*rr_Stroke)*(1-I3)</f>
        <v>0</v>
      </c>
      <c r="AH4">
        <f t="shared" ref="AH4:AH44" si="8">AD3*T3*p_MI*p_MI_rec_young*(1-I3)+AE3*T3*p_MI*p_MI_rec_young*(1-I3) + AH3*(PREV_FEMALE*p_recur_MI_F + (1-PREV_FEMALE)*p_recur_MI_M)*p_MI_rec_young*(1-I3) + AI3*(PREV_FEMALE*p_recur_MI_F + (1-PREV_FEMALE)*p_recur_MI_M)*p_MI_rec_young*(1-I3)</f>
        <v>1.0405760313866546E-3</v>
      </c>
      <c r="AI4">
        <f t="shared" ref="AI4:AI44" si="9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0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1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2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3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1.260458902264605E-4</v>
      </c>
      <c r="AN4">
        <f t="shared" ref="AN4:AN44" si="14">AM3*(1-T3*p_Stroke - H3*rr_HF)*(1-I3) + AN3*(1-T3*p_Stroke-H3*rr_HF)*(1-I3)</f>
        <v>0</v>
      </c>
      <c r="AO4">
        <f t="shared" ref="AO4:AO44" si="15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5.4961434600678115E-2</v>
      </c>
      <c r="AS4">
        <f>AR3*AC3*p_Other + AD3*T3*p_Other*I3 + AE3*(1-T3*p_Stroke-T3*p_MI-H3*rr_Other)*I3 + AS3*(1-AC3*p_Stroke-AC3*p_MI-H3*rr_Other*rr_DM)</f>
        <v>1.9111337843774154E-4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7.3526528868047474E-5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6.2731055338404289E-5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7.5986679266846047E-6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2.452761162132487E-3</v>
      </c>
      <c r="BG4">
        <f t="shared" ref="BG4:BG44" si="16">SUM(AD4:BF4)</f>
        <v>0.97499999999999976</v>
      </c>
      <c r="BH4">
        <f>(0.9442 - 0.0007*$B4 - dis_BMI*($C4-21.75))*AD4</f>
        <v>0.78257567564629638</v>
      </c>
      <c r="BI4">
        <f>0.959*(0.9442 - 0.0007*$B4 - dis_BMI*($C4-21.75))*AE4</f>
        <v>2.6096242641144201E-3</v>
      </c>
      <c r="BJ4">
        <f>(0.943*(0.9442 - 0.0007*$B4 - dis_BMI*($C4-21.75)) - 0.19*0.5)*AF4</f>
        <v>8.7137618213167301E-4</v>
      </c>
      <c r="BK4">
        <f>(0.943*(0.9442 - 0.0007*$B4 - dis_BMI*($C4-21.75)))*AG4</f>
        <v>0</v>
      </c>
      <c r="BL4">
        <f>(0.955*(0.9442 - 0.0007*$B4 - dis_BMI*($C4-21.75)) - 0.15*0.5)*AH4</f>
        <v>7.7496704829515216E-4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1.0062101615151837E-4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4.5384775611193501E-2</v>
      </c>
      <c r="BW4">
        <f>0.962*0.959*(0.9442 - 0.0007*$B4 - dis_BMI*($C4-21.75))*AS4</f>
        <v>1.5134282260759847E-4</v>
      </c>
      <c r="BX4">
        <f>0.962*(0.943*(0.9442 - 0.0007*$B4 - dis_BMI*($C4-21.75)) - 0.19*0.5)*AT4</f>
        <v>5.0534681475148177E-5</v>
      </c>
      <c r="BY4">
        <f>0.962*(0.943*(0.9442 - 0.0007*$B4 - dis_BMI*($C4-21.75)))*AU4</f>
        <v>0</v>
      </c>
      <c r="BZ4">
        <f>0.962*(0.955*(0.9442 - 0.0007*$B4 - dis_BMI*($C4-21.75)) - 0.15*0.5)*AV4</f>
        <v>4.4943520080531016E-5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5.8354257382655347E-6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7">0*BF4</f>
        <v>0</v>
      </c>
      <c r="CK4">
        <f t="shared" ref="CK4:CK44" si="18">SUM(BH4:CJ4)</f>
        <v>0.83256969621808419</v>
      </c>
      <c r="CL4">
        <f>CK4/(1+r_)^A4</f>
        <v>0.80832009341561573</v>
      </c>
      <c r="CM4">
        <f t="shared" ref="CM4:CM44" si="19">AD4*0</f>
        <v>0</v>
      </c>
      <c r="CN4">
        <f>AE4*c_Other</f>
        <v>45.266832659548015</v>
      </c>
      <c r="CO4">
        <f>AF4*(c_Stroke1+c_Stroke2)</f>
        <v>29.047188943553316</v>
      </c>
      <c r="CP4">
        <f>AG4*c_Stroke2</f>
        <v>0</v>
      </c>
      <c r="CQ4">
        <f>AH4*(c_MI1+c_MI2)</f>
        <v>30.333831890952368</v>
      </c>
      <c r="CR4">
        <f>AI4*c_MI2</f>
        <v>0</v>
      </c>
      <c r="CS4">
        <f>AJ4*(c_Stroke1+c_Stroke2+c_MI2)</f>
        <v>0</v>
      </c>
      <c r="CT4">
        <f>AK4*(c_Stroke2+c_MI1+c_MI2)</f>
        <v>0</v>
      </c>
      <c r="CU4">
        <f>AL4*(c_Stroke2+c_MI2)</f>
        <v>0</v>
      </c>
      <c r="CV4">
        <f>AM4*(c_HF1)</f>
        <v>3.4070204128212276</v>
      </c>
      <c r="CW4">
        <f>AN4*(c_HF2)</f>
        <v>0</v>
      </c>
      <c r="CX4">
        <f>AO4*(c_Stroke2+c_HF1)</f>
        <v>0</v>
      </c>
      <c r="CY4">
        <f>AP4*(c_Stroke1+c_Stroke2+c_HF2)</f>
        <v>0</v>
      </c>
      <c r="CZ4">
        <f>AQ4*(c_Stroke2+c_HF2)</f>
        <v>0</v>
      </c>
      <c r="DA4">
        <f>AR4*c_DM</f>
        <v>627.9343903127475</v>
      </c>
      <c r="DB4">
        <f>AS4*(c_Other+c_DM)</f>
        <v>4.9123782793637085</v>
      </c>
      <c r="DC4">
        <f>AT4*(c_Stroke1+c_Stroke2+c_DM)</f>
        <v>2.591148403838861</v>
      </c>
      <c r="DD4">
        <f>AU4*(c_Stroke2+c_DM)</f>
        <v>0</v>
      </c>
      <c r="DE4">
        <f>AV4*(c_MI1+c_MI2+c_DM)</f>
        <v>2.5453753014110925</v>
      </c>
      <c r="DF4">
        <f>AW4*(c_MI2+c_DM)</f>
        <v>0</v>
      </c>
      <c r="DG4">
        <f>AX4*(c_Stroke1+c_Stroke2+c_MI2+c_DM)</f>
        <v>0</v>
      </c>
      <c r="DH4">
        <f>AY4*(c_Stroke2+c_MI1+c_MI2+c_DM)</f>
        <v>0</v>
      </c>
      <c r="DI4">
        <f>AZ4*(c_Stroke2+c_MI2+c_DM)</f>
        <v>0</v>
      </c>
      <c r="DJ4">
        <f>BA4*(c_HF1+c_DM)</f>
        <v>0.29220677512065646</v>
      </c>
      <c r="DK4">
        <f>BB4*(c_HF2+c_DM)</f>
        <v>0</v>
      </c>
      <c r="DL4">
        <f>BC4*(c_Stroke2+c_HF1+c_DM)</f>
        <v>0</v>
      </c>
      <c r="DM4">
        <f>BD4*(c_Stroke1+c_Stroke2+c_HF2+c_DM)</f>
        <v>0</v>
      </c>
      <c r="DN4">
        <f>BE4*(c_Stroke2+c_HF2+c_DM)</f>
        <v>0</v>
      </c>
      <c r="DO4">
        <f t="shared" ref="DO4:DO44" si="20">BF4*0</f>
        <v>0</v>
      </c>
      <c r="DP4">
        <f t="shared" ref="DP4:DP44" si="21">SUM(CM4:DO4)</f>
        <v>746.33037297935675</v>
      </c>
      <c r="DQ4">
        <f>DP4/(1+r_)^A4</f>
        <v>724.59259512558901</v>
      </c>
    </row>
    <row r="5" spans="1:121" x14ac:dyDescent="0.3">
      <c r="A5">
        <v>2</v>
      </c>
      <c r="B5">
        <v>47</v>
      </c>
      <c r="C5">
        <f>C$4</f>
        <v>38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58" si="22">0.00000146 * EXP(1.87 * E5) * 0.0197 * EXP(0.101*C5)</f>
        <v>5.6857293942168513E-2</v>
      </c>
      <c r="J5">
        <f t="shared" ref="J5:J67" si="23">1 - 0.94833 ^ (EXP(2.72107*(LN($B5)-3.8686) + 0.51125*(LN($C5)-LN(21.75)) + 2.81291*(LN($D5)*(1-0) - 4.24) + 2.88267*(LN($D5)*0 - 0.5826) + 0.61868*(1-0.3423) + 0.77763*(0-0.0376)))</f>
        <v>9.1108577987110362E-2</v>
      </c>
      <c r="K5">
        <f t="shared" ref="K5:K67" si="24">1 - 0.94833 ^ (EXP(2.72107*(LN($B5)-3.8686) + 0.51125*(LN($C5)-LN(21.75)) + 2.81291*(LN($D5)*(1-1) - 4.24) + 2.88267*(LN($D5)*1 - 0.5826) + 0.61868*(1-0.3423) + 0.77763*(0-0.0376)))</f>
        <v>0.12522488548074651</v>
      </c>
      <c r="L5">
        <f t="shared" ref="L5:L67" si="25">1 - 0.94833 ^ (EXP(2.72107*(LN($B5)-3.8686) + 0.51125*(LN($C5)-LN(28)) + 2.81291*(LN($D5)*(1-0) - 4.24) + 2.88267*(LN($D5)*0 - 0.5826) + 0.61868*(0-0.3423) + 0.77763*(0-0.0376)))</f>
        <v>4.4216275432543695E-2</v>
      </c>
      <c r="M5">
        <f t="shared" ref="M5:M67" si="26">1 - 0.94833 ^ (EXP(2.72107*(LN($B5)-3.8686) + 0.51125*(LN($C5)-LN(28)) + 2.81291*(LN($D5)*(1-1) - 4.24) + 2.88267*(LN($D5)*1 - 0.5826) + 0.61868*(0-0.3423) + 0.77763*(0-0.0376)))</f>
        <v>6.1371293599072452E-2</v>
      </c>
      <c r="N5">
        <f t="shared" ref="N5:N67" si="27">1 - 0.8843 ^ (EXP(3.113*(LN($B5)-3.856) + 0.7928*(LN($C5)-LN(28)) + 1.8551*(LN($D5)*(1-0) - 4.3544) + 1.9267*(LN($D5)*0 - 0.5019) + 0.7095*(1-0.3522) + 0.5316*(0-0.065)))</f>
        <v>0.19385896822525406</v>
      </c>
      <c r="O5">
        <f t="shared" ref="O5:O67" si="28">1 - 0.8843 ^ (EXP(3.113*(LN($B5)-3.856) + 0.7928*(LN($C5)-LN(28)) + 1.8551*(LN($D5)*(1-1) - 4.3544) + 1.9267*(LN($D5)*1 - 0.5019) + 0.7095*(1-0.3522) + 0.5316*(0-0.065)))</f>
        <v>0.26250374765018725</v>
      </c>
      <c r="P5">
        <f t="shared" ref="P5:P67" si="29">1 - 0.8843 ^ (EXP(3.113*(LN($B5)-3.856) + 0.7928*(LN($C5)-LN(28)) + 1.8551*(LN($D5)*(1-0) - 4.3544) + 1.9267*(LN($D5)*0 - 0.5019) + 0.7095*(0-0.3522) + 0.5316*(0-0.065)))</f>
        <v>0.10057591625844564</v>
      </c>
      <c r="Q5">
        <f t="shared" ref="Q5:Q67" si="30">1 - 0.8843 ^ (EXP(3.113*(LN($B5)-3.856) + 0.7928*(LN($C5)-LN(28)) + 1.8551*(LN($D5)*(1-1) - 4.3544) + 1.9267*(LN($D5)*1 - 0.5019) + 0.7095*(0-0.3522) + 0.5316*(0-0.065)))</f>
        <v>0.1391006775066862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7.2293485558438189E-3</v>
      </c>
      <c r="U5">
        <f t="shared" ref="U5:U67" si="31">1 - 0.94833 ^ (EXP(2.72107*(LN($B5)-3.8686) + 0.51125*(LN($C5)-LN(21.75)) + 2.81291*(LN($D5)*(1-0) - 4.24) + 2.88267*(LN($D5)*0 - 0.5826) + 0.61868*(1-0.3423) + 0.77763*(1-0.0376)))</f>
        <v>0.18771332046372402</v>
      </c>
      <c r="V5">
        <f t="shared" ref="V5:V67" si="32">1 - 0.94833 ^ (EXP(2.72107*(LN($B5)-3.8686) + 0.51125*(LN($C5)-LN(21.75)) + 2.81291*(LN($D5)*(1-1) - 4.24) + 2.88267*(LN($D5)*1 - 0.5826) + 0.61868*(1-0.3423) + 0.77763*(1-0.0376)))</f>
        <v>0.25260756743556612</v>
      </c>
      <c r="W5">
        <f t="shared" ref="W5:W67" si="33">1 - 0.94833 ^ (EXP(2.72107*(LN($B5)-3.8686) + 0.51125*(LN($C5)-LN(28)) + 2.81291*(LN($D5)*(1-0) - 4.24) + 2.88267*(LN($D5)*0 - 0.5826) + 0.61868*(0-0.3423) + 0.77763*(1-0.0376)))</f>
        <v>9.3732299817736009E-2</v>
      </c>
      <c r="X5">
        <f t="shared" ref="X5:X67" si="34">1 - 0.94833 ^ (EXP(2.72107*(LN($B5)-3.8686) + 0.51125*(LN($C5)-LN(28)) + 2.81291*(LN($D5)*(1-1) - 4.24) + 2.88267*(LN($D5)*1 - 0.5826) + 0.61868*(0-0.3423) + 0.77763*(1-0.0376)))</f>
        <v>0.1287594131262525</v>
      </c>
      <c r="Y5">
        <f t="shared" ref="Y5:Y67" si="35">1 - 0.8843 ^ (EXP(3.113*(LN($B5)-3.856) + 0.7928*(LN($C5)-LN(28)) + 1.8551*(LN($D5)*(1-0) - 4.3544) + 1.9267*(LN($D5)*0 - 0.5019) + 0.7095*(1-0.3522) + 0.5316*(1-0.065)))</f>
        <v>0.30698271932161825</v>
      </c>
      <c r="Z5">
        <f t="shared" ref="Z5:Z67" si="36">1 - 0.8843 ^ (EXP(3.113*(LN($B5)-3.856) + 0.7928*(LN($C5)-LN(28)) + 1.8551*(LN($D5)*(1-1) - 4.3544) + 1.9267*(LN($D5)*1 - 0.5019) + 0.7095*(1-0.3522) + 0.5316*(1-0.065)))</f>
        <v>0.40437471366105127</v>
      </c>
      <c r="AA5">
        <f t="shared" ref="AA5:AA67" si="37">1 - 0.8843 ^ (EXP(3.113*(LN($B5)-3.856) + 0.7928*(LN($C5)-LN(28)) + 1.8551*(LN($D5)*(1-0) - 4.3544) + 1.9267*(LN($D5)*0 - 0.5019) + 0.7095*(0-0.3522) + 0.5316*(1-0.065)))</f>
        <v>0.16504400986994838</v>
      </c>
      <c r="AB5">
        <f t="shared" ref="AB5:AB67" si="38">1 - 0.8843 ^ (EXP(3.113*(LN($B5)-3.856) + 0.7928*(LN($C5)-LN(28)) + 1.8551*(LN($D5)*(1-1) - 4.3544) + 1.9267*(LN($D5)*1 - 0.5019) + 0.7095*(0-0.3522) + 0.5316*(1-0.065)))</f>
        <v>0.22498249278020876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1.3840249846933998E-2</v>
      </c>
      <c r="AD5">
        <f t="shared" ref="AD5:AD44" si="39">AD4*(1-T4-H4)*(1-I4)</f>
        <v>0.85183712515547161</v>
      </c>
      <c r="AE5">
        <f t="shared" si="5"/>
        <v>6.1918454680751191E-3</v>
      </c>
      <c r="AF5">
        <f t="shared" si="6"/>
        <v>1.3721877755110492E-3</v>
      </c>
      <c r="AG5">
        <f t="shared" si="7"/>
        <v>1.0015118181200598E-3</v>
      </c>
      <c r="AH5">
        <f t="shared" si="8"/>
        <v>1.1220457276830673E-3</v>
      </c>
      <c r="AI5">
        <f t="shared" si="9"/>
        <v>8.9148371357732233E-4</v>
      </c>
      <c r="AJ5">
        <f t="shared" si="10"/>
        <v>1.4162962319236438E-6</v>
      </c>
      <c r="AK5">
        <f t="shared" si="11"/>
        <v>1.4162962319236436E-6</v>
      </c>
      <c r="AL5">
        <f t="shared" si="12"/>
        <v>0</v>
      </c>
      <c r="AM5">
        <f t="shared" si="13"/>
        <v>1.4769132654868095E-4</v>
      </c>
      <c r="AN5">
        <f t="shared" si="14"/>
        <v>1.1815015524467757E-4</v>
      </c>
      <c r="AO5">
        <f t="shared" si="15"/>
        <v>1.715572086926763E-7</v>
      </c>
      <c r="AP5">
        <f>AM4*T4*p_Stroke*p_Stroke_rec*(1-I4) + AN4*T4*p_Stroke*p_Stroke_rec*(1-I4) + AO4*(p_recur_Stroke*p_Stroke_rec)*(1-I4) + AP4*(p_recur_Stroke*p_Stroke_rec)*(1-I4) + AQ4*(p_recur_Stroke*p_Stroke_rec)*(1-I4)</f>
        <v>1.7155720869267633E-7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0.10543612179416395</v>
      </c>
      <c r="AS5">
        <f>AR4*AC4*p_Other + AD4*T4*p_Other*I4 + AE4*(1-T4*p_Stroke-T4*p_MI-H4*rr_Other)*I4 + AS4*(1-AC4*p_Stroke-AC4*p_MI-H4*rr_Other*rr_DM)</f>
        <v>9.5806978692723082E-4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2.4366533218000812E-4</v>
      </c>
      <c r="AU5">
        <f>AF4*(1-p_recur_Stroke-T4*p_MI-H4*rr_Stroke)*I4 + AG4*(1-p_recur_Stroke-T4*p_MI-H4*rr_Stroke)*I4 + AT4*(1-p_recur_Stroke-AC4*p_MI-H4*rr_Stroke*rr_DM) + AU4*(1-p_recur_Stroke-AC4*p_MI-H4*rr_Stroke*rr_DM)</f>
        <v>1.2420382581811526E-4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2.0184414151413061E-4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1.1059813809164812E-4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2.5920685410388634E-7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2.5920685410388634E-7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2.5912303164456401E-5</v>
      </c>
      <c r="BB5">
        <f>AM4*(1-T4*p_Stroke - H4*rr_HF)*I4 + AN4*(1-T4*p_Stroke - H4*rr_HF)*I4 + BA4*(1-AC4*p_Stroke - H4*rr_HF*rr_DM) + BB4*(1-AC4*p_Stroke - H4*rr_HF*rr_DM)</f>
        <v>1.4658568179718627E-5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3.139795429920339E-8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3.1397954299203397E-8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5.1991280532310523E-3</v>
      </c>
      <c r="BG5">
        <f t="shared" si="16"/>
        <v>0.97500000000000009</v>
      </c>
      <c r="BH5">
        <f>(0.9442 - 0.0007*$B5 - dis_BMI*($C5-21.75))*AD5</f>
        <v>0.73059940631771914</v>
      </c>
      <c r="BI5">
        <f>0.959*(0.9442 - 0.0007*$B5 - dis_BMI*($C5-21.75))*AE5</f>
        <v>5.092856828296243E-3</v>
      </c>
      <c r="BJ5">
        <f>(0.943*(0.9442 - 0.0007*$B5 - dis_BMI*($C5-21.75)) - 0.19*0.5)*AF5</f>
        <v>9.7945051611728734E-4</v>
      </c>
      <c r="BK5">
        <f>(0.943*(0.9442 - 0.0007*$B5 - dis_BMI*($C5-21.75)))*AG5</f>
        <v>8.1001026463557333E-4</v>
      </c>
      <c r="BL5">
        <f>(0.955*(0.9442 - 0.0007*$B5 - dis_BMI*($C5-21.75)) - 0.15*0.5)*AH5</f>
        <v>8.348913642872689E-4</v>
      </c>
      <c r="BM5">
        <f>(0.955*(0.9442 - 0.0007*$B5 - dis_BMI*($C5-21.75)))*AI5</f>
        <v>7.3019614581052057E-4</v>
      </c>
      <c r="BN5">
        <f>(0.955*0.943*(0.9442 - 0.0007*$B5 - dis_BMI*($C5-21.75)) - 0.19*0.5)*AJ5</f>
        <v>9.5938785946780781E-7</v>
      </c>
      <c r="BO5">
        <f>(0.955*0.943*(0.9442 - 0.0007*$B5 - dis_BMI*($C5-21.75)) - 0.15*0.5)*AK5</f>
        <v>9.8771378410628052E-7</v>
      </c>
      <c r="BP5">
        <f>(0.955*0.943*(0.9442 - 0.0007*$B5 - dis_BMI*($C5-21.75)))*AL5</f>
        <v>0</v>
      </c>
      <c r="BQ5">
        <f>(0.93*(0.9442 - 0.0007*$B5 - dis_BMI*($C5-21.75)))*AM5</f>
        <v>1.1780417740280515E-4</v>
      </c>
      <c r="BR5">
        <f>(0.93*(0.9442 - 0.0007*$B5 - dis_BMI*($C5-21.75)))*AN5</f>
        <v>9.4241023991515325E-5</v>
      </c>
      <c r="BS5">
        <f>(0.93*0.943*(0.9442 - 0.0007*$B5 - dis_BMI*($C5-21.75)))*AO5</f>
        <v>1.2904059709944608E-7</v>
      </c>
      <c r="BT5">
        <f>(0.93*0.943*(0.9442 - 0.0007*$B5 - dis_BMI*($C5-21.75))-0.19*0.5)*AP5</f>
        <v>1.1274266227364187E-7</v>
      </c>
      <c r="BU5">
        <f>(0.93*0.943*(0.9442 - 0.0007*$B5 - dis_BMI*($C5-21.75)))*AQ5</f>
        <v>0</v>
      </c>
      <c r="BV5">
        <f>0.962*(0.9442 - 0.0007*$B5 - dis_BMI*($C5-21.75))*AR5</f>
        <v>8.6993588580936795E-2</v>
      </c>
      <c r="BW5">
        <f>0.962*0.959*(0.9442 - 0.0007*$B5 - dis_BMI*($C5-21.75))*AS5</f>
        <v>7.5807744472910577E-4</v>
      </c>
      <c r="BX5">
        <f>0.962*(0.943*(0.9442 - 0.0007*$B5 - dis_BMI*($C5-21.75)) - 0.19*0.5)*AT5</f>
        <v>1.6731611395843815E-4</v>
      </c>
      <c r="BY5">
        <f>0.962*(0.943*(0.9442 - 0.0007*$B5 - dis_BMI*($C5-21.75)))*AU5</f>
        <v>9.663723369356388E-5</v>
      </c>
      <c r="BZ5">
        <f>0.962*(0.955*(0.9442 - 0.0007*$B5 - dis_BMI*($C5-21.75)) - 0.15*0.5)*AV5</f>
        <v>1.4448096482748256E-4</v>
      </c>
      <c r="CA5">
        <f>0.962*(0.955*(0.9442 - 0.0007*$B5 - dis_BMI*($C5-21.75)))*AW5</f>
        <v>8.7146311577800746E-5</v>
      </c>
      <c r="CB5">
        <f>0.962*(0.955*0.943*(0.9442 - 0.0007*$B5 - dis_BMI*($C5-21.75)) - 0.19*0.5)*AX5</f>
        <v>1.6891245417937477E-7</v>
      </c>
      <c r="CC5">
        <f>0.962*(0.955*0.943*(0.9442 - 0.0007*$B5 - dis_BMI*($C5-21.75)) - 0.15*0.5)*AY5</f>
        <v>1.7389959405233356E-7</v>
      </c>
      <c r="CD5">
        <f>0.962*(0.955*0.943*(0.9442 - 0.0007*$B5 - dis_BMI*($C5-21.75)))*AZ5</f>
        <v>0</v>
      </c>
      <c r="CE5">
        <f>0.962*(0.93*(0.9442 - 0.0007*$B5 - dis_BMI*($C5-21.75)))*BA5</f>
        <v>1.9883223208065118E-5</v>
      </c>
      <c r="CF5">
        <f>0.962*(0.93*(0.9442 - 0.0007*$B5 - dis_BMI*($C5-21.75)))*BB5</f>
        <v>1.1247922702130851E-5</v>
      </c>
      <c r="CG5">
        <f>0.962*(0.93*0.943*(0.9442 - 0.0007*$B5 - dis_BMI*($C5-21.75)))*BC5</f>
        <v>2.2719240951131434E-8</v>
      </c>
      <c r="CH5">
        <f>0.962*(0.93*0.943*(0.9442 - 0.0007*$B5 - dis_BMI*($C5-21.75))-0.19*0.5)*BD5</f>
        <v>1.9849781907727241E-8</v>
      </c>
      <c r="CI5">
        <f>0.962*(0.93*0.943*(0.9442 - 0.0007*$B5 - dis_BMI*($C5-21.75)))*BE5</f>
        <v>0</v>
      </c>
      <c r="CJ5">
        <f t="shared" si="17"/>
        <v>0</v>
      </c>
      <c r="CK5">
        <f t="shared" si="18"/>
        <v>0.82753980869986765</v>
      </c>
      <c r="CL5">
        <f>CK5/(1+r_)^A5</f>
        <v>0.7800356383258249</v>
      </c>
      <c r="CM5">
        <f t="shared" si="19"/>
        <v>0</v>
      </c>
      <c r="CN5">
        <f>AE5*c_Other</f>
        <v>88.413361438644628</v>
      </c>
      <c r="CO5">
        <f>AF5*(c_Stroke1+c_Stroke2)</f>
        <v>32.680024061571146</v>
      </c>
      <c r="CP5">
        <f>AG5*c_Stroke2</f>
        <v>6.5098268177803886</v>
      </c>
      <c r="CQ5">
        <f>AH5*(c_MI1+c_MI2)</f>
        <v>32.708755007689099</v>
      </c>
      <c r="CR5">
        <f>AI5*c_MI2</f>
        <v>2.7787547352205135</v>
      </c>
      <c r="CS5">
        <f>AJ5*(c_Stroke1+c_Stroke2+c_MI2)</f>
        <v>3.8145106414399499E-2</v>
      </c>
      <c r="CT5">
        <f>AK5*(c_Stroke2+c_MI1+c_MI2)</f>
        <v>5.0492376964309818E-2</v>
      </c>
      <c r="CU5">
        <f>AL5*(c_Stroke2+c_MI2)</f>
        <v>0</v>
      </c>
      <c r="CV5">
        <f>AM5*(c_HF1)</f>
        <v>3.9920965566108459</v>
      </c>
      <c r="CW5">
        <f>AN5*(c_HF2)</f>
        <v>1.8437331725931936</v>
      </c>
      <c r="CX5">
        <f>AO5*(c_Stroke2+c_HF1)</f>
        <v>5.7523132074654365E-3</v>
      </c>
      <c r="CY5">
        <f>AP5*(c_Stroke1+c_Stroke2+c_HF2)</f>
        <v>6.7629567238739934E-3</v>
      </c>
      <c r="CZ5">
        <f>AQ5*(c_Stroke2+c_HF2)</f>
        <v>0</v>
      </c>
      <c r="DA5">
        <f>AR5*c_DM</f>
        <v>1204.6076914983232</v>
      </c>
      <c r="DB5">
        <f>AS5*(c_Other+c_DM)</f>
        <v>24.62622580317754</v>
      </c>
      <c r="DC5">
        <f>AT5*(c_Stroke1+c_Stroke2+c_DM)</f>
        <v>8.5870099713556662</v>
      </c>
      <c r="DD5">
        <f>AU5*(c_Stroke2+c_DM)</f>
        <v>2.2263535777897161</v>
      </c>
      <c r="DE5">
        <f>AV5*(c_MI1+c_MI2+c_DM)</f>
        <v>8.1900278860773632</v>
      </c>
      <c r="DF5">
        <f>AW5*(c_MI2+c_DM)</f>
        <v>1.608318124128747</v>
      </c>
      <c r="DG5">
        <f>AX5*(c_Stroke1+c_Stroke2+c_MI2+c_DM)</f>
        <v>9.9426565097168722E-3</v>
      </c>
      <c r="DH5">
        <f>AY5*(c_Stroke2+c_MI1+c_MI2+c_DM)</f>
        <v>1.2202421863794553E-2</v>
      </c>
      <c r="DI5">
        <f>AZ5*(c_Stroke2+c_MI2+c_DM)</f>
        <v>0</v>
      </c>
      <c r="DJ5">
        <f>BA5*(c_HF1+c_DM)</f>
        <v>0.99645761818917089</v>
      </c>
      <c r="DK5">
        <f>BB5*(c_HF2+c_DM)</f>
        <v>0.39622109789779447</v>
      </c>
      <c r="DL5">
        <f>BC5*(c_Stroke2+c_HF1+c_DM)</f>
        <v>1.4114950355206884E-3</v>
      </c>
      <c r="DM5">
        <f>BD5*(c_Stroke1+c_Stroke2+c_HF2+c_DM)</f>
        <v>1.5964603842972959E-3</v>
      </c>
      <c r="DN5">
        <f>BE5*(c_Stroke2+c_HF2+c_DM)</f>
        <v>0</v>
      </c>
      <c r="DO5">
        <f t="shared" si="20"/>
        <v>0</v>
      </c>
      <c r="DP5">
        <f t="shared" si="21"/>
        <v>1420.2911631541522</v>
      </c>
      <c r="DQ5">
        <f>DP5/(1+r_)^A5</f>
        <v>1338.7606401679257</v>
      </c>
    </row>
    <row r="6" spans="1:121" x14ac:dyDescent="0.3">
      <c r="A6">
        <v>3</v>
      </c>
      <c r="B6">
        <v>48</v>
      </c>
      <c r="C6">
        <f t="shared" ref="C6:C67" si="40">C$4</f>
        <v>38</v>
      </c>
      <c r="D6">
        <f t="shared" si="1"/>
        <v>125</v>
      </c>
      <c r="E6">
        <f t="shared" ref="E6:E43" si="41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22"/>
        <v>5.6857293942168513E-2</v>
      </c>
      <c r="J6">
        <f t="shared" si="23"/>
        <v>9.6213499400914837E-2</v>
      </c>
      <c r="K6">
        <f t="shared" si="24"/>
        <v>0.13209817501157595</v>
      </c>
      <c r="L6">
        <f t="shared" si="25"/>
        <v>4.6761391011577058E-2</v>
      </c>
      <c r="M6">
        <f t="shared" si="26"/>
        <v>6.4869862175157555E-2</v>
      </c>
      <c r="N6">
        <f t="shared" si="27"/>
        <v>0.20554041385495259</v>
      </c>
      <c r="O6">
        <f t="shared" si="28"/>
        <v>0.27755868555593155</v>
      </c>
      <c r="P6">
        <f t="shared" si="29"/>
        <v>0.10701057811504944</v>
      </c>
      <c r="Q6">
        <f t="shared" si="30"/>
        <v>0.14779046946332219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7.6523519587794559E-3</v>
      </c>
      <c r="U6">
        <f t="shared" si="31"/>
        <v>0.19760956081852754</v>
      </c>
      <c r="V6">
        <f t="shared" si="32"/>
        <v>0.26532872496987381</v>
      </c>
      <c r="W6">
        <f t="shared" si="33"/>
        <v>9.8976076553375703E-2</v>
      </c>
      <c r="X6">
        <f t="shared" si="34"/>
        <v>0.13581124846246617</v>
      </c>
      <c r="Y6">
        <f t="shared" si="35"/>
        <v>0.32398408934070566</v>
      </c>
      <c r="Z6">
        <f t="shared" si="36"/>
        <v>0.42491636616966866</v>
      </c>
      <c r="AA6">
        <f t="shared" si="37"/>
        <v>0.17518320708821722</v>
      </c>
      <c r="AB6">
        <f t="shared" si="38"/>
        <v>0.23824718780754639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1.4605755482634934E-2</v>
      </c>
      <c r="AD6">
        <f t="shared" si="39"/>
        <v>0.79545561582004276</v>
      </c>
      <c r="AE6">
        <f t="shared" si="5"/>
        <v>8.9856851689902109E-3</v>
      </c>
      <c r="AF6">
        <f t="shared" si="6"/>
        <v>1.4850812053206386E-3</v>
      </c>
      <c r="AG6">
        <f t="shared" si="7"/>
        <v>1.9478610388611465E-3</v>
      </c>
      <c r="AH6">
        <f t="shared" si="8"/>
        <v>1.1716415472557082E-3</v>
      </c>
      <c r="AI6">
        <f t="shared" si="9"/>
        <v>1.7243868300435049E-3</v>
      </c>
      <c r="AJ6">
        <f t="shared" si="10"/>
        <v>3.1999652249802644E-6</v>
      </c>
      <c r="AK6">
        <f t="shared" si="11"/>
        <v>3.0842874526437811E-6</v>
      </c>
      <c r="AL6">
        <f t="shared" si="12"/>
        <v>2.0857384384447034E-6</v>
      </c>
      <c r="AM6">
        <f t="shared" si="13"/>
        <v>1.6471051875237809E-4</v>
      </c>
      <c r="AN6">
        <f t="shared" si="14"/>
        <v>2.4909391686645806E-4</v>
      </c>
      <c r="AO6">
        <f t="shared" si="15"/>
        <v>4.0566091988874518E-7</v>
      </c>
      <c r="AP6">
        <f>AM5*T5*p_Stroke*p_Stroke_rec*(1-I5) + AN5*T5*p_Stroke*p_Stroke_rec*(1-I5) + AO5*(p_recur_Stroke*p_Stroke_rec)*(1-I5) + AP5*(p_recur_Stroke*p_Stroke_rec)*(1-I5) + AQ5*(p_recur_Stroke*p_Stroke_rec)*(1-I5)</f>
        <v>4.1926990494581281E-7</v>
      </c>
      <c r="AQ6">
        <f>AO5*(1-p_recur_Stroke-H5*rr_Stroke*rr_HF)*(1-I5) + AP5*(1-p_recur_Stroke-H5*rr_Stroke*rr_HF)*(1-I5) + AQ5*(1-p_recur_Stroke-H5*rr_Stroke*rr_HF)*(1-I5)</f>
        <v>2.7986219771623216E-7</v>
      </c>
      <c r="AR6">
        <f>AR5*(1-AC5-H5*rr_DM) + AD5*(1-T5-H5)*I5</f>
        <v>0.15160783316637011</v>
      </c>
      <c r="AS6">
        <f>AR5*AC5*p_Other + AD5*T5*p_Other*I5 + AE5*(1-T5*p_Stroke-T5*p_MI-H5*rr_Other)*I5 + AS5*(1-AC5*p_Stroke-AC5*p_MI-H5*rr_Other*rr_DM)</f>
        <v>2.2908217171047811E-3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4.4172647078147509E-4</v>
      </c>
      <c r="AU6">
        <f>AF5*(1-p_recur_Stroke-T5*p_MI-H5*rr_Stroke)*I5 + AG5*(1-p_recur_Stroke-T5*p_MI-H5*rr_Stroke)*I5 + AT5*(1-p_recur_Stroke-AC5*p_MI-H5*rr_Stroke*rr_DM) + AU5*(1-p_recur_Stroke-AC5*p_MI-H5*rr_Stroke*rr_DM)</f>
        <v>4.3650389879274745E-4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3.5546821671414246E-4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3.8698858487387644E-4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1.1651600408789404E-6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1.1366197776415575E-6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5.2945289817442039E-7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4.818129122607241E-5</v>
      </c>
      <c r="BB6">
        <f>AM5*(1-T5*p_Stroke - H5*rr_HF)*I5 + AN5*(1-T5*p_Stroke - H5*rr_HF)*I5 + BA5*(1-AC5*p_Stroke - H5*rr_HF*rr_DM) + BB5*(1-AC5*p_Stroke - H5*rr_HF*rr_DM)</f>
        <v>5.5232120548859559E-5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1.4583336072034963E-7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1.5102405277168295E-7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7.1035952424947072E-8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8.1804945772337712E-3</v>
      </c>
      <c r="BG6">
        <f t="shared" si="16"/>
        <v>0.97499999999999987</v>
      </c>
      <c r="BH6">
        <f>(0.9442 - 0.0007*$B6 - dis_BMI*($C6-21.75))*AD6</f>
        <v>0.68168557636738114</v>
      </c>
      <c r="BI6">
        <f>0.959*(0.9442 - 0.0007*$B6 - dis_BMI*($C6-21.75))*AE6</f>
        <v>7.3847867382398754E-3</v>
      </c>
      <c r="BJ6">
        <f>(0.943*(0.9442 - 0.0007*$B6 - dis_BMI*($C6-21.75)) - 0.19*0.5)*AF6</f>
        <v>1.0590521358662033E-3</v>
      </c>
      <c r="BK6">
        <f>(0.943*(0.9442 - 0.0007*$B6 - dis_BMI*($C6-21.75)))*AG6</f>
        <v>1.5741199255926831E-3</v>
      </c>
      <c r="BL6">
        <f>(0.955*(0.9442 - 0.0007*$B6 - dis_BMI*($C6-21.75)) - 0.15*0.5)*AH6</f>
        <v>8.7101136074210675E-4</v>
      </c>
      <c r="BM6">
        <f>(0.955*(0.9442 - 0.0007*$B6 - dis_BMI*($C6-21.75)))*AI6</f>
        <v>1.4112573655110886E-3</v>
      </c>
      <c r="BN6">
        <f>(0.955*0.943*(0.9442 - 0.0007*$B6 - dis_BMI*($C6-21.75)) - 0.19*0.5)*AJ6</f>
        <v>2.1656138763988437E-6</v>
      </c>
      <c r="BO6">
        <f>(0.955*0.943*(0.9442 - 0.0007*$B6 - dis_BMI*($C6-21.75)) - 0.15*0.5)*AK6</f>
        <v>2.1490133406486275E-6</v>
      </c>
      <c r="BP6">
        <f>(0.955*0.943*(0.9442 - 0.0007*$B6 - dis_BMI*($C6-21.75)))*AL6</f>
        <v>1.6096930239770665E-6</v>
      </c>
      <c r="BQ6">
        <f>(0.93*(0.9442 - 0.0007*$B6 - dis_BMI*($C6-21.75)))*AM6</f>
        <v>1.3127210103127188E-4</v>
      </c>
      <c r="BR6">
        <f>(0.93*(0.9442 - 0.0007*$B6 - dis_BMI*($C6-21.75)))*AN6</f>
        <v>1.9852455124816861E-4</v>
      </c>
      <c r="BS6">
        <f>(0.93*0.943*(0.9442 - 0.0007*$B6 - dis_BMI*($C6-21.75)))*AO6</f>
        <v>3.0487791458992538E-7</v>
      </c>
      <c r="BT6">
        <f>(0.93*0.943*(0.9442 - 0.0007*$B6 - dis_BMI*($C6-21.75))-0.19*0.5)*AP6</f>
        <v>2.7527522208753248E-7</v>
      </c>
      <c r="BU6">
        <f>(0.93*0.943*(0.9442 - 0.0007*$B6 - dis_BMI*($C6-21.75)))*AQ6</f>
        <v>2.1033281499159142E-7</v>
      </c>
      <c r="BV6">
        <f>0.962*(0.9442 - 0.0007*$B6 - dis_BMI*($C6-21.75))*AR6</f>
        <v>0.12498700616029554</v>
      </c>
      <c r="BW6">
        <f>0.962*0.959*(0.9442 - 0.0007*$B6 - dis_BMI*($C6-21.75))*AS6</f>
        <v>1.8111445923497185E-3</v>
      </c>
      <c r="BX6">
        <f>0.962*(0.943*(0.9442 - 0.0007*$B6 - dis_BMI*($C6-21.75)) - 0.19*0.5)*AT6</f>
        <v>3.0303698475754728E-4</v>
      </c>
      <c r="BY6">
        <f>0.962*(0.943*(0.9442 - 0.0007*$B6 - dis_BMI*($C6-21.75)))*AU6</f>
        <v>3.3934624240795756E-4</v>
      </c>
      <c r="BZ6">
        <f>0.962*(0.955*(0.9442 - 0.0007*$B6 - dis_BMI*($C6-21.75)) - 0.15*0.5)*AV6</f>
        <v>2.5421718386741472E-4</v>
      </c>
      <c r="CA6">
        <f>0.962*(0.955*(0.9442 - 0.0007*$B6 - dis_BMI*($C6-21.75)))*AW6</f>
        <v>3.0468056411065331E-4</v>
      </c>
      <c r="CB6">
        <f>0.962*(0.955*0.943*(0.9442 - 0.0007*$B6 - dis_BMI*($C6-21.75)) - 0.19*0.5)*AX6</f>
        <v>7.5857132358781766E-7</v>
      </c>
      <c r="CC6">
        <f>0.962*(0.955*0.943*(0.9442 - 0.0007*$B6 - dis_BMI*($C6-21.75)) - 0.15*0.5)*AY6</f>
        <v>7.6185889966174126E-7</v>
      </c>
      <c r="CD6">
        <f>0.962*(0.955*0.943*(0.9442 - 0.0007*$B6 - dis_BMI*($C6-21.75)))*AZ6</f>
        <v>3.9308422830427701E-7</v>
      </c>
      <c r="CE6">
        <f>0.962*(0.93*(0.9442 - 0.0007*$B6 - dis_BMI*($C6-21.75)))*BA6</f>
        <v>3.694065637827827E-5</v>
      </c>
      <c r="CF6">
        <f>0.962*(0.93*(0.9442 - 0.0007*$B6 - dis_BMI*($C6-21.75)))*BB6</f>
        <v>4.2346536058273736E-5</v>
      </c>
      <c r="CG6">
        <f>0.962*(0.93*0.943*(0.9442 - 0.0007*$B6 - dis_BMI*($C6-21.75)))*BC6</f>
        <v>1.0543741509982438E-7</v>
      </c>
      <c r="CH6">
        <f>0.962*(0.93*0.943*(0.9442 - 0.0007*$B6 - dis_BMI*($C6-21.75))-0.19*0.5)*BD6</f>
        <v>9.5388193543479519E-8</v>
      </c>
      <c r="CI6">
        <f>0.962*(0.93*0.943*(0.9442 - 0.0007*$B6 - dis_BMI*($C6-21.75)))*BE6</f>
        <v>5.1358942603010218E-8</v>
      </c>
      <c r="CJ6">
        <f t="shared" si="17"/>
        <v>0</v>
      </c>
      <c r="CK6">
        <f t="shared" si="18"/>
        <v>0.82240319997103328</v>
      </c>
      <c r="CL6">
        <f>CK6/(1+r_)^A6</f>
        <v>0.75261542907883971</v>
      </c>
      <c r="CM6">
        <f t="shared" si="19"/>
        <v>0</v>
      </c>
      <c r="CN6">
        <f>AE6*c_Other</f>
        <v>128.30659852801122</v>
      </c>
      <c r="CO6">
        <f>AF6*(c_Stroke1+c_Stroke2)</f>
        <v>35.36869398591633</v>
      </c>
      <c r="CP6">
        <f>AG6*c_Stroke2</f>
        <v>12.661096752597452</v>
      </c>
      <c r="CQ6">
        <f>AH6*(c_MI1+c_MI2)</f>
        <v>34.15452274405115</v>
      </c>
      <c r="CR6">
        <f>AI6*c_MI2</f>
        <v>5.3749137492456045</v>
      </c>
      <c r="CS6">
        <f>AJ6*(c_Stroke1+c_Stroke2+c_MI2)</f>
        <v>8.6184663404393458E-2</v>
      </c>
      <c r="CT6">
        <f>AK6*(c_Stroke2+c_MI1+c_MI2)</f>
        <v>0.10995793197420344</v>
      </c>
      <c r="CU6">
        <f>AL6*(c_Stroke2+c_MI2)</f>
        <v>2.0058546562522712E-2</v>
      </c>
      <c r="CV6">
        <f>AM6*(c_HF1)</f>
        <v>4.45212532187678</v>
      </c>
      <c r="CW6">
        <f>AN6*(c_HF2)</f>
        <v>3.887110572701078</v>
      </c>
      <c r="CX6">
        <f>AO6*(c_Stroke2+c_HF1)</f>
        <v>1.3601810643869627E-2</v>
      </c>
      <c r="CY6">
        <f>AP6*(c_Stroke1+c_Stroke2+c_HF2)</f>
        <v>1.6528038922868887E-2</v>
      </c>
      <c r="CZ6">
        <f>AQ6*(c_Stroke2+c_HF2)</f>
        <v>6.1863538805173122E-3</v>
      </c>
      <c r="DA6">
        <f>AR6*c_DM</f>
        <v>1732.1194939257784</v>
      </c>
      <c r="DB6">
        <f>AS6*(c_Other+c_DM)</f>
        <v>58.883281416461294</v>
      </c>
      <c r="DC6">
        <f>AT6*(c_Stroke1+c_Stroke2+c_DM)</f>
        <v>15.566882556809963</v>
      </c>
      <c r="DD6">
        <f>AU6*(c_Stroke2+c_DM)</f>
        <v>7.8243323858599982</v>
      </c>
      <c r="DE6">
        <f>AV6*(c_MI1+c_MI2+c_DM)</f>
        <v>14.423478361393045</v>
      </c>
      <c r="DF6">
        <f>AW6*(c_MI2+c_DM)</f>
        <v>5.6275880012359112</v>
      </c>
      <c r="DG6">
        <f>AX6*(c_Stroke1+c_Stroke2+c_MI2+c_DM)</f>
        <v>4.4693208848034398E-2</v>
      </c>
      <c r="DH6">
        <f>AY6*(c_Stroke2+c_MI1+c_MI2+c_DM)</f>
        <v>5.3507512652253959E-2</v>
      </c>
      <c r="DI6">
        <f>AZ6*(c_Stroke2+c_MI2+c_DM)</f>
        <v>1.1140747883386154E-2</v>
      </c>
      <c r="DJ6">
        <f>BA6*(c_HF1+c_DM)</f>
        <v>1.8528115540986145</v>
      </c>
      <c r="DK6">
        <f>BB6*(c_HF2+c_DM)</f>
        <v>1.4929242184356739</v>
      </c>
      <c r="DL6">
        <f>BC6*(c_Stroke2+c_HF1+c_DM)</f>
        <v>6.5559387311833178E-3</v>
      </c>
      <c r="DM6">
        <f>BD6*(c_Stroke1+c_Stroke2+c_HF2+c_DM)</f>
        <v>7.6789689872289917E-3</v>
      </c>
      <c r="DN6">
        <f>BE6*(c_Stroke2+c_HF2+c_DM)</f>
        <v>2.3818354848084752E-3</v>
      </c>
      <c r="DO6">
        <f t="shared" si="20"/>
        <v>0</v>
      </c>
      <c r="DP6">
        <f t="shared" si="21"/>
        <v>2062.3743296324483</v>
      </c>
      <c r="DQ6">
        <f>DP6/(1+r_)^A6</f>
        <v>1887.3646662271988</v>
      </c>
    </row>
    <row r="7" spans="1:121" x14ac:dyDescent="0.3">
      <c r="A7">
        <v>4</v>
      </c>
      <c r="B7">
        <v>49</v>
      </c>
      <c r="C7">
        <f t="shared" si="40"/>
        <v>38</v>
      </c>
      <c r="D7">
        <f t="shared" si="1"/>
        <v>125</v>
      </c>
      <c r="E7">
        <f t="shared" si="41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2"/>
        <v>5.6857293942168513E-2</v>
      </c>
      <c r="J7">
        <f t="shared" si="23"/>
        <v>0.10147452428418524</v>
      </c>
      <c r="K7">
        <f t="shared" si="24"/>
        <v>0.13916539204665124</v>
      </c>
      <c r="L7">
        <f t="shared" si="25"/>
        <v>4.9392267331425432E-2</v>
      </c>
      <c r="M7">
        <f t="shared" si="26"/>
        <v>6.8482389042606062E-2</v>
      </c>
      <c r="N7">
        <f t="shared" si="27"/>
        <v>0.21756674094434159</v>
      </c>
      <c r="O7">
        <f t="shared" si="28"/>
        <v>0.29296287335202298</v>
      </c>
      <c r="P7">
        <f t="shared" si="29"/>
        <v>0.11368564126190961</v>
      </c>
      <c r="Q7">
        <f t="shared" si="30"/>
        <v>0.15677762700460685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8.0890312774939219E-3</v>
      </c>
      <c r="U7">
        <f t="shared" si="31"/>
        <v>0.20773984747741081</v>
      </c>
      <c r="V7">
        <f t="shared" si="32"/>
        <v>0.27828581146738596</v>
      </c>
      <c r="W7">
        <f t="shared" si="33"/>
        <v>0.10437926498921779</v>
      </c>
      <c r="X7">
        <f t="shared" si="34"/>
        <v>0.14306028676068772</v>
      </c>
      <c r="Y7">
        <f t="shared" si="35"/>
        <v>0.34130509067663894</v>
      </c>
      <c r="Z7">
        <f t="shared" si="36"/>
        <v>0.44562589700048016</v>
      </c>
      <c r="AA7">
        <f t="shared" si="37"/>
        <v>0.18564717160211053</v>
      </c>
      <c r="AB7">
        <f t="shared" si="38"/>
        <v>0.25186632323047853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1.5391378432370283E-2</v>
      </c>
      <c r="AD7">
        <f t="shared" si="39"/>
        <v>0.74235200275878899</v>
      </c>
      <c r="AE7">
        <f t="shared" si="5"/>
        <v>1.1557328940650764E-2</v>
      </c>
      <c r="AF7">
        <f t="shared" si="6"/>
        <v>1.5859684830037291E-3</v>
      </c>
      <c r="AG7">
        <f t="shared" si="7"/>
        <v>2.8149312375565175E-3</v>
      </c>
      <c r="AH7">
        <f t="shared" si="8"/>
        <v>1.2142286948486371E-3</v>
      </c>
      <c r="AI7">
        <f t="shared" si="9"/>
        <v>2.4791078446486587E-3</v>
      </c>
      <c r="AJ7">
        <f t="shared" si="10"/>
        <v>5.2942422404078379E-6</v>
      </c>
      <c r="AK7">
        <f t="shared" si="11"/>
        <v>4.9529516739052412E-6</v>
      </c>
      <c r="AL7">
        <f t="shared" si="12"/>
        <v>6.1560165598091067E-6</v>
      </c>
      <c r="AM7">
        <f t="shared" si="13"/>
        <v>1.7985700662590236E-4</v>
      </c>
      <c r="AN7">
        <f t="shared" si="14"/>
        <v>3.8756820863550311E-4</v>
      </c>
      <c r="AO7">
        <f t="shared" si="15"/>
        <v>6.9468454693570559E-7</v>
      </c>
      <c r="AP7">
        <f>AM6*T6*p_Stroke*p_Stroke_rec*(1-I6) + AN6*T6*p_Stroke*p_Stroke_rec*(1-I6) + AO6*(p_recur_Stroke*p_Stroke_rec)*(1-I6) + AP6*(p_recur_Stroke*p_Stroke_rec)*(1-I6) + AQ6*(p_recur_Stroke*p_Stroke_rec)*(1-I6)</f>
        <v>7.4698494505909847E-7</v>
      </c>
      <c r="AQ7">
        <f>AO6*(1-p_recur_Stroke-H6*rr_Stroke*rr_HF)*(1-I6) + AP6*(1-p_recur_Stroke-H6*rr_Stroke*rr_HF)*(1-I6) + AQ6*(1-p_recur_Stroke-H6*rr_Stroke*rr_HF)*(1-I6)</f>
        <v>9.0004709871155715E-7</v>
      </c>
      <c r="AR7">
        <f>AR6*(1-AC6-H6*rr_DM) + AD6*(1-T6-H6)*I6</f>
        <v>0.19364992898750713</v>
      </c>
      <c r="AS7">
        <f>AR6*AC6*p_Other + AD6*T6*p_Other*I6 + AE6*(1-T6*p_Stroke-T6*p_MI-H6*rr_Other)*I6 + AS6*(1-AC6*p_Stroke-AC6*p_MI-H6*rr_Other*rr_DM)</f>
        <v>4.176143194571694E-3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6.6820241050822866E-4</v>
      </c>
      <c r="AU7">
        <f>AF6*(1-p_recur_Stroke-T6*p_MI-H6*rr_Stroke)*I6 + AG6*(1-p_recur_Stroke-T6*p_MI-H6*rr_Stroke)*I6 + AT6*(1-p_recur_Stroke-AC6*p_MI-H6*rr_Stroke*rr_DM) + AU6*(1-p_recur_Stroke-AC6*p_MI-H6*rr_Stroke*rr_DM)</f>
        <v>9.3072192826849454E-4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5.2414679903918385E-4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8.2165058689159082E-4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2.9263516786963325E-6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2.786468920386686E-6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2.5730049282085622E-6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7.4375768594653043E-5</v>
      </c>
      <c r="BB7">
        <f>AM6*(1-T6*p_Stroke - H6*rr_HF)*I6 + AN6*(1-T6*p_Stroke - H6*rr_HF)*I6 + BA6*(1-AC6*p_Stroke - H6*rr_HF*rr_DM) + BB6*(1-AC6*p_Stroke - H6*rr_HF*rr_DM)</f>
        <v>1.2581453536859882E-4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3.7721296512694121E-7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4.0525456511941009E-7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3.7114628833006594E-7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1.1429838248080941E-2</v>
      </c>
      <c r="BG7">
        <f t="shared" si="16"/>
        <v>0.97499999999999998</v>
      </c>
      <c r="BH7">
        <f>(0.9442 - 0.0007*$B7 - dis_BMI*($C7-21.75))*AD7</f>
        <v>0.63565746116228206</v>
      </c>
      <c r="BI7">
        <f>0.959*(0.9442 - 0.0007*$B7 - dis_BMI*($C7-21.75))*AE7</f>
        <v>9.4905055132708475E-3</v>
      </c>
      <c r="BJ7">
        <f>(0.943*(0.9442 - 0.0007*$B7 - dis_BMI*($C7-21.75)) - 0.19*0.5)*AF7</f>
        <v>1.1299507226199749E-3</v>
      </c>
      <c r="BK7">
        <f>(0.943*(0.9442 - 0.0007*$B7 - dis_BMI*($C7-21.75)))*AG7</f>
        <v>2.2729649964487006E-3</v>
      </c>
      <c r="BL7">
        <f>(0.955*(0.9442 - 0.0007*$B7 - dis_BMI*($C7-21.75)) - 0.15*0.5)*AH7</f>
        <v>9.0185940816220073E-4</v>
      </c>
      <c r="BM7">
        <f>(0.955*(0.9442 - 0.0007*$B7 - dis_BMI*($C7-21.75)))*AI7</f>
        <v>2.0272721565410862E-3</v>
      </c>
      <c r="BN7">
        <f>(0.955*0.943*(0.9442 - 0.0007*$B7 - dis_BMI*($C7-21.75)) - 0.19*0.5)*AJ7</f>
        <v>3.5796028640359932E-6</v>
      </c>
      <c r="BO7">
        <f>(0.955*0.943*(0.9442 - 0.0007*$B7 - dis_BMI*($C7-21.75)) - 0.15*0.5)*AK7</f>
        <v>3.4479046646854301E-6</v>
      </c>
      <c r="BP7">
        <f>(0.955*0.943*(0.9442 - 0.0007*$B7 - dis_BMI*($C7-21.75)))*AL7</f>
        <v>4.7470970241155472E-6</v>
      </c>
      <c r="BQ7">
        <f>(0.93*(0.9442 - 0.0007*$B7 - dis_BMI*($C7-21.75)))*AM7</f>
        <v>1.4322656426419292E-4</v>
      </c>
      <c r="BR7">
        <f>(0.93*(0.9442 - 0.0007*$B7 - dis_BMI*($C7-21.75)))*AN7</f>
        <v>3.0863442009990984E-4</v>
      </c>
      <c r="BS7">
        <f>(0.93*0.943*(0.9442 - 0.0007*$B7 - dis_BMI*($C7-21.75)))*AO7</f>
        <v>5.2166961773470042E-7</v>
      </c>
      <c r="BT7">
        <f>(0.93*0.943*(0.9442 - 0.0007*$B7 - dis_BMI*($C7-21.75))-0.19*0.5)*AP7</f>
        <v>4.8998075014337803E-7</v>
      </c>
      <c r="BU7">
        <f>(0.93*0.943*(0.9442 - 0.0007*$B7 - dis_BMI*($C7-21.75)))*AQ7</f>
        <v>6.7588551954868788E-7</v>
      </c>
      <c r="BV7">
        <f>0.962*(0.9442 - 0.0007*$B7 - dis_BMI*($C7-21.75))*AR7</f>
        <v>0.15951652441191411</v>
      </c>
      <c r="BW7">
        <f>0.962*0.959*(0.9442 - 0.0007*$B7 - dis_BMI*($C7-21.75))*AS7</f>
        <v>3.2990000741189643E-3</v>
      </c>
      <c r="BX7">
        <f>0.962*(0.943*(0.9442 - 0.0007*$B7 - dis_BMI*($C7-21.75)) - 0.19*0.5)*AT7</f>
        <v>4.5798163338236223E-4</v>
      </c>
      <c r="BY7">
        <f>0.962*(0.943*(0.9442 - 0.0007*$B7 - dis_BMI*($C7-21.75)))*AU7</f>
        <v>7.2296949899976659E-4</v>
      </c>
      <c r="BZ7">
        <f>0.962*(0.955*(0.9442 - 0.0007*$B7 - dis_BMI*($C7-21.75)) - 0.15*0.5)*AV7</f>
        <v>3.7451253496636989E-4</v>
      </c>
      <c r="CA7">
        <f>0.962*(0.955*(0.9442 - 0.0007*$B7 - dis_BMI*($C7-21.75)))*AW7</f>
        <v>6.463665568627342E-4</v>
      </c>
      <c r="CB7">
        <f>0.962*(0.955*0.943*(0.9442 - 0.0007*$B7 - dis_BMI*($C7-21.75)) - 0.19*0.5)*AX7</f>
        <v>1.9034112290926462E-6</v>
      </c>
      <c r="CC7">
        <f>0.962*(0.955*0.943*(0.9442 - 0.0007*$B7 - dis_BMI*($C7-21.75)) - 0.15*0.5)*AY7</f>
        <v>1.8660377867462649E-6</v>
      </c>
      <c r="CD7">
        <f>0.962*(0.955*0.943*(0.9442 - 0.0007*$B7 - dis_BMI*($C7-21.75)))*AZ7</f>
        <v>1.9087278876104898E-6</v>
      </c>
      <c r="CE7">
        <f>0.962*(0.93*(0.9442 - 0.0007*$B7 - dis_BMI*($C7-21.75)))*BA7</f>
        <v>5.69774162939548E-5</v>
      </c>
      <c r="CF7">
        <f>0.962*(0.93*(0.9442 - 0.0007*$B7 - dis_BMI*($C7-21.75)))*BB7</f>
        <v>9.6383369113075786E-5</v>
      </c>
      <c r="CG7">
        <f>0.962*(0.93*0.943*(0.9442 - 0.0007*$B7 - dis_BMI*($C7-21.75)))*BC7</f>
        <v>2.7250193416727256E-7</v>
      </c>
      <c r="CH7">
        <f>0.962*(0.93*0.943*(0.9442 - 0.0007*$B7 - dis_BMI*($C7-21.75))-0.19*0.5)*BD7</f>
        <v>2.557232157337617E-7</v>
      </c>
      <c r="CI7">
        <f>0.962*(0.93*0.943*(0.9442 - 0.0007*$B7 - dis_BMI*($C7-21.75)))*BE7</f>
        <v>2.6811931396608225E-7</v>
      </c>
      <c r="CJ7">
        <f t="shared" si="17"/>
        <v>0</v>
      </c>
      <c r="CK7">
        <f t="shared" si="18"/>
        <v>0.81712252710114797</v>
      </c>
      <c r="CL7">
        <f>CK7/(1+r_)^A7</f>
        <v>0.72600278188950651</v>
      </c>
      <c r="CM7">
        <f t="shared" si="19"/>
        <v>0</v>
      </c>
      <c r="CN7">
        <f>AE7*c_Other</f>
        <v>165.02709994355226</v>
      </c>
      <c r="CO7">
        <f>AF7*(c_Stroke1+c_Stroke2)</f>
        <v>37.771425391216816</v>
      </c>
      <c r="CP7">
        <f>AG7*c_Stroke2</f>
        <v>18.297053044117366</v>
      </c>
      <c r="CQ7">
        <f>AH7*(c_MI1+c_MI2)</f>
        <v>35.395980683532621</v>
      </c>
      <c r="CR7">
        <f>AI7*c_MI2</f>
        <v>7.7273791517698687</v>
      </c>
      <c r="CS7">
        <f>AJ7*(c_Stroke1+c_Stroke2+c_MI2)</f>
        <v>0.1425898262609043</v>
      </c>
      <c r="CT7">
        <f>AK7*(c_Stroke2+c_MI1+c_MI2)</f>
        <v>0.17657768012639574</v>
      </c>
      <c r="CU7">
        <f>AL7*(c_Stroke2+c_MI2)</f>
        <v>5.9202411255684179E-2</v>
      </c>
      <c r="CV7">
        <f>AM7*(c_HF1)</f>
        <v>4.8615348890981407</v>
      </c>
      <c r="CW7">
        <f>AN7*(c_HF2)</f>
        <v>6.0480018957570261</v>
      </c>
      <c r="CX7">
        <f>AO7*(c_Stroke2+c_HF1)</f>
        <v>2.329277285875421E-2</v>
      </c>
      <c r="CY7">
        <f>AP7*(c_Stroke1+c_Stroke2+c_HF2)</f>
        <v>2.9446893519174722E-2</v>
      </c>
      <c r="CZ7">
        <f>AQ7*(c_Stroke2+c_HF2)</f>
        <v>1.989554111701897E-2</v>
      </c>
      <c r="DA7">
        <f>AR7*c_DM</f>
        <v>2212.4504386822691</v>
      </c>
      <c r="DB7">
        <f>AS7*(c_Other+c_DM)</f>
        <v>107.34358467327083</v>
      </c>
      <c r="DC7">
        <f>AT7*(c_Stroke1+c_Stroke2+c_DM)</f>
        <v>23.548121148720487</v>
      </c>
      <c r="DD7">
        <f>AU7*(c_Stroke2+c_DM)</f>
        <v>16.683190564212765</v>
      </c>
      <c r="DE7">
        <f>AV7*(c_MI1+c_MI2+c_DM)</f>
        <v>21.267780517813925</v>
      </c>
      <c r="DF7">
        <f>AW7*(c_MI2+c_DM)</f>
        <v>11.948442834577513</v>
      </c>
      <c r="DG7">
        <f>AX7*(c_Stroke1+c_Stroke2+c_MI2+c_DM)</f>
        <v>0.11224899769143393</v>
      </c>
      <c r="DH7">
        <f>AY7*(c_Stroke2+c_MI1+c_MI2+c_DM)</f>
        <v>0.13117581089612362</v>
      </c>
      <c r="DI7">
        <f>AZ7*(c_Stroke2+c_MI2+c_DM)</f>
        <v>5.4141169699364569E-2</v>
      </c>
      <c r="DJ7">
        <f>BA7*(c_HF1+c_DM)</f>
        <v>2.8601201813073827</v>
      </c>
      <c r="DK7">
        <f>BB7*(c_HF2+c_DM)</f>
        <v>3.4007668910132258</v>
      </c>
      <c r="DL7">
        <f>BC7*(c_Stroke2+c_HF1+c_DM)</f>
        <v>1.6957608847281643E-2</v>
      </c>
      <c r="DM7">
        <f>BD7*(c_Stroke1+c_Stroke2+c_HF2+c_DM)</f>
        <v>2.0605573618061524E-2</v>
      </c>
      <c r="DN7">
        <f>BE7*(c_Stroke2+c_HF2+c_DM)</f>
        <v>1.244453504770711E-2</v>
      </c>
      <c r="DO7">
        <f t="shared" si="20"/>
        <v>0</v>
      </c>
      <c r="DP7">
        <f t="shared" si="21"/>
        <v>2675.4294993131675</v>
      </c>
      <c r="DQ7">
        <f>DP7/(1+r_)^A7</f>
        <v>2377.0844577513062</v>
      </c>
    </row>
    <row r="8" spans="1:121" x14ac:dyDescent="0.3">
      <c r="A8">
        <v>5</v>
      </c>
      <c r="B8">
        <v>50</v>
      </c>
      <c r="C8">
        <f t="shared" si="40"/>
        <v>38</v>
      </c>
      <c r="D8">
        <f t="shared" si="1"/>
        <v>125</v>
      </c>
      <c r="E8">
        <f t="shared" si="41"/>
        <v>5.7</v>
      </c>
      <c r="F8">
        <v>2.99E-3</v>
      </c>
      <c r="G8">
        <v>4.8500000000000001E-3</v>
      </c>
      <c r="H8">
        <f t="shared" si="3"/>
        <v>3.362E-3</v>
      </c>
      <c r="I8">
        <f t="shared" si="22"/>
        <v>5.6857293942168513E-2</v>
      </c>
      <c r="J8">
        <f t="shared" si="23"/>
        <v>0.10689133774884796</v>
      </c>
      <c r="K8">
        <f t="shared" si="24"/>
        <v>0.14642458630548627</v>
      </c>
      <c r="L8">
        <f t="shared" si="25"/>
        <v>5.2109538371803654E-2</v>
      </c>
      <c r="M8">
        <f t="shared" si="26"/>
        <v>7.2209345588578944E-2</v>
      </c>
      <c r="N8">
        <f t="shared" si="27"/>
        <v>0.22992879663309873</v>
      </c>
      <c r="O8">
        <f t="shared" si="28"/>
        <v>0.30869548202633956</v>
      </c>
      <c r="P8">
        <f t="shared" si="29"/>
        <v>0.12060160829971189</v>
      </c>
      <c r="Q8">
        <f t="shared" si="30"/>
        <v>0.166059691796277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8.5393448307131917E-3</v>
      </c>
      <c r="U8">
        <f t="shared" si="31"/>
        <v>0.21809745953948889</v>
      </c>
      <c r="V8">
        <f t="shared" si="32"/>
        <v>0.29146522497021188</v>
      </c>
      <c r="W8">
        <f t="shared" si="33"/>
        <v>0.10994145142971545</v>
      </c>
      <c r="X8">
        <f t="shared" si="34"/>
        <v>0.15050436642895393</v>
      </c>
      <c r="Y8">
        <f t="shared" si="35"/>
        <v>0.35891596362572942</v>
      </c>
      <c r="Z8">
        <f t="shared" si="36"/>
        <v>0.46645263276972693</v>
      </c>
      <c r="AA8">
        <f t="shared" si="37"/>
        <v>0.19643060939763757</v>
      </c>
      <c r="AB8">
        <f t="shared" si="38"/>
        <v>0.26582583893511236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1.619664412985139E-2</v>
      </c>
      <c r="AD8">
        <f t="shared" si="39"/>
        <v>0.69231974700817833</v>
      </c>
      <c r="AE8">
        <f t="shared" si="5"/>
        <v>1.391153787775304E-2</v>
      </c>
      <c r="AF8">
        <f t="shared" si="6"/>
        <v>1.6752854858898473E-3</v>
      </c>
      <c r="AG8">
        <f t="shared" si="7"/>
        <v>3.6051166743971633E-3</v>
      </c>
      <c r="AH8">
        <f t="shared" si="8"/>
        <v>1.2501680792276462E-3</v>
      </c>
      <c r="AI8">
        <f t="shared" si="9"/>
        <v>3.1599625044389148E-3</v>
      </c>
      <c r="AJ8">
        <f t="shared" si="10"/>
        <v>7.6701772507980093E-6</v>
      </c>
      <c r="AK8">
        <f t="shared" si="11"/>
        <v>7.0020636919428467E-6</v>
      </c>
      <c r="AL8">
        <f t="shared" si="12"/>
        <v>1.2045980038556987E-5</v>
      </c>
      <c r="AM8">
        <f t="shared" si="13"/>
        <v>1.9323408040867402E-4</v>
      </c>
      <c r="AN8">
        <f t="shared" si="14"/>
        <v>5.3116154110921716E-4</v>
      </c>
      <c r="AO8">
        <f t="shared" si="15"/>
        <v>1.0338129555040776E-6</v>
      </c>
      <c r="AP8">
        <f>AM7*T7*p_Stroke*p_Stroke_rec*(1-I7) + AN7*T7*p_Stroke*p_Stroke_rec*(1-I7) + AO7*(p_recur_Stroke*p_Stroke_rec)*(1-I7) + AP7*(p_recur_Stroke*p_Stroke_rec)*(1-I7) + AQ7*(p_recur_Stroke*p_Stroke_rec)*(1-I7)</f>
        <v>1.1598322421336599E-6</v>
      </c>
      <c r="AQ8">
        <f>AO7*(1-p_recur_Stroke-H7*rr_Stroke*rr_HF)*(1-I7) + AP7*(1-p_recur_Stroke-H7*rr_Stroke*rr_HF)*(1-I7) + AQ7*(1-p_recur_Stroke-H7*rr_Stroke*rr_HF)*(1-I7)</f>
        <v>1.9047181053326087E-6</v>
      </c>
      <c r="AR8">
        <f>AR7*(1-AC7-H7*rr_DM) + AD7*(1-T7-H7)*I7</f>
        <v>0.23171859431494585</v>
      </c>
      <c r="AS8">
        <f>AR7*AC7*p_Other + AD7*T7*p_Other*I7 + AE7*(1-T7*p_Stroke-T7*p_MI-H7*rr_Other)*I7 + AS7*(1-AC7*p_Stroke-AC7*p_MI-H7*rr_Other*rr_DM)</f>
        <v>6.5970121195603627E-3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9.2179877173292988E-4</v>
      </c>
      <c r="AU8">
        <f>AF7*(1-p_recur_Stroke-T7*p_MI-H7*rr_Stroke)*I7 + AG7*(1-p_recur_Stroke-T7*p_MI-H7*rr_Stroke)*I7 + AT7*(1-p_recur_Stroke-AC7*p_MI-H7*rr_Stroke*rr_DM) + AU7*(1-p_recur_Stroke-AC7*p_MI-H7*rr_Stroke*rr_DM)</f>
        <v>1.6012125662469656E-3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7.068861840294489E-4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1.408111971623079E-3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5.7601652761490119E-6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5.3687799108156439E-6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7.1588856869867097E-6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1.0429523150727843E-4</v>
      </c>
      <c r="BB8">
        <f>AM7*(1-T7*p_Stroke - H7*rr_HF)*I7 + AN7*(1-T7*p_Stroke - H7*rr_HF)*I7 + BA7*(1-AC7*p_Stroke - H7*rr_HF*rr_DM) + BB7*(1-AC7*p_Stroke - H7*rr_HF*rr_DM)</f>
        <v>2.3020963551314628E-4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7.6094664652774769E-7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8.492622936585971E-7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1.1066837392335726E-6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1.5013844645600277E-2</v>
      </c>
      <c r="BG8">
        <f t="shared" si="16"/>
        <v>0.97499999999999987</v>
      </c>
      <c r="BH8">
        <f>(0.9442 - 0.0007*$B8 - dis_BMI*($C8-21.75))*AD8</f>
        <v>0.59233146754652211</v>
      </c>
      <c r="BI8">
        <f>0.959*(0.9442 - 0.0007*$B8 - dis_BMI*($C8-21.75))*AE8</f>
        <v>1.1414367094948457E-2</v>
      </c>
      <c r="BJ8">
        <f>(0.943*(0.9442 - 0.0007*$B8 - dis_BMI*($C8-21.75)) - 0.19*0.5)*AF8</f>
        <v>1.1924803127940288E-3</v>
      </c>
      <c r="BK8">
        <f>(0.943*(0.9442 - 0.0007*$B8 - dis_BMI*($C8-21.75)))*AG8</f>
        <v>2.9086341798716035E-3</v>
      </c>
      <c r="BL8">
        <f>(0.955*(0.9442 - 0.0007*$B8 - dis_BMI*($C8-21.75)) - 0.15*0.5)*AH8</f>
        <v>9.2771738349578623E-4</v>
      </c>
      <c r="BM8">
        <f>(0.955*(0.9442 - 0.0007*$B8 - dis_BMI*($C8-21.75)))*AI8</f>
        <v>2.5819235983472349E-3</v>
      </c>
      <c r="BN8">
        <f>(0.955*0.943*(0.9442 - 0.0007*$B8 - dis_BMI*($C8-21.75)) - 0.19*0.5)*AJ8</f>
        <v>5.1812116351148081E-6</v>
      </c>
      <c r="BO8">
        <f>(0.955*0.943*(0.9442 - 0.0007*$B8 - dis_BMI*($C8-21.75)) - 0.15*0.5)*AK8</f>
        <v>4.8699415987283146E-6</v>
      </c>
      <c r="BP8">
        <f>(0.955*0.943*(0.9442 - 0.0007*$B8 - dis_BMI*($C8-21.75)))*AL8</f>
        <v>9.2814384595844456E-6</v>
      </c>
      <c r="BQ8">
        <f>(0.93*(0.9442 - 0.0007*$B8 - dis_BMI*($C8-21.75)))*AM8</f>
        <v>1.5375341096145569E-4</v>
      </c>
      <c r="BR8">
        <f>(0.93*(0.9442 - 0.0007*$B8 - dis_BMI*($C8-21.75)))*AN8</f>
        <v>4.2263713804710219E-4</v>
      </c>
      <c r="BS8">
        <f>(0.93*0.943*(0.9442 - 0.0007*$B8 - dis_BMI*($C8-21.75)))*AO8</f>
        <v>7.7570161847334285E-7</v>
      </c>
      <c r="BT8">
        <f>(0.93*0.943*(0.9442 - 0.0007*$B8 - dis_BMI*($C8-21.75))-0.19*0.5)*AP8</f>
        <v>7.6007369744679158E-7</v>
      </c>
      <c r="BU8">
        <f>(0.93*0.943*(0.9442 - 0.0007*$B8 - dis_BMI*($C8-21.75)))*AQ8</f>
        <v>1.4291685059427136E-6</v>
      </c>
      <c r="BV8">
        <f>0.962*(0.9442 - 0.0007*$B8 - dis_BMI*($C8-21.75))*AR8</f>
        <v>0.19071903615043143</v>
      </c>
      <c r="BW8">
        <f>0.962*0.959*(0.9442 - 0.0007*$B8 - dis_BMI*($C8-21.75))*AS8</f>
        <v>5.2071375151092726E-3</v>
      </c>
      <c r="BX8">
        <f>0.962*(0.943*(0.9442 - 0.0007*$B8 - dis_BMI*($C8-21.75)) - 0.19*0.5)*AT8</f>
        <v>6.3120959073843135E-4</v>
      </c>
      <c r="BY8">
        <f>0.962*(0.943*(0.9442 - 0.0007*$B8 - dis_BMI*($C8-21.75)))*AU8</f>
        <v>1.2427788122549067E-3</v>
      </c>
      <c r="BZ8">
        <f>0.962*(0.955*(0.9442 - 0.0007*$B8 - dis_BMI*($C8-21.75)) - 0.15*0.5)*AV8</f>
        <v>5.0462859252168907E-4</v>
      </c>
      <c r="CA8">
        <f>0.962*(0.955*(0.9442 - 0.0007*$B8 - dis_BMI*($C8-21.75)))*AW8</f>
        <v>1.1068116465455459E-3</v>
      </c>
      <c r="CB8">
        <f>0.962*(0.955*0.943*(0.9442 - 0.0007*$B8 - dis_BMI*($C8-21.75)) - 0.19*0.5)*AX8</f>
        <v>3.7431389480236242E-6</v>
      </c>
      <c r="CC8">
        <f>0.962*(0.955*0.943*(0.9442 - 0.0007*$B8 - dis_BMI*($C8-21.75)) - 0.15*0.5)*AY8</f>
        <v>3.5920995913533845E-6</v>
      </c>
      <c r="CD8">
        <f>0.962*(0.955*0.943*(0.9442 - 0.0007*$B8 - dis_BMI*($C8-21.75)))*AZ8</f>
        <v>5.3063226050963467E-6</v>
      </c>
      <c r="CE8">
        <f>0.962*(0.93*(0.9442 - 0.0007*$B8 - dis_BMI*($C8-21.75)))*BA8</f>
        <v>7.9832652450154644E-5</v>
      </c>
      <c r="CF8">
        <f>0.962*(0.93*(0.9442 - 0.0007*$B8 - dis_BMI*($C8-21.75)))*BB8</f>
        <v>1.762136730221959E-4</v>
      </c>
      <c r="CG8">
        <f>0.962*(0.93*0.943*(0.9442 - 0.0007*$B8 - dis_BMI*($C8-21.75)))*BC8</f>
        <v>5.4926510210523899E-7</v>
      </c>
      <c r="CH8">
        <f>0.962*(0.93*0.943*(0.9442 - 0.0007*$B8 - dis_BMI*($C8-21.75))-0.19*0.5)*BD8</f>
        <v>5.353988582852559E-7</v>
      </c>
      <c r="CI8">
        <f>0.962*(0.93*0.943*(0.9442 - 0.0007*$B8 - dis_BMI*($C8-21.75)))*BE8</f>
        <v>7.9882441141183262E-7</v>
      </c>
      <c r="CJ8">
        <f t="shared" si="17"/>
        <v>0</v>
      </c>
      <c r="CK8">
        <f t="shared" si="18"/>
        <v>0.811637451883093</v>
      </c>
      <c r="CL8">
        <f>CK8/(1+r_)^A8</f>
        <v>0.70012559572953537</v>
      </c>
      <c r="CM8">
        <f t="shared" si="19"/>
        <v>0</v>
      </c>
      <c r="CN8">
        <f>AE8*c_Other</f>
        <v>198.64284935643568</v>
      </c>
      <c r="CO8">
        <f>AF8*(c_Stroke1+c_Stroke2)</f>
        <v>39.898599131952601</v>
      </c>
      <c r="CP8">
        <f>AG8*c_Stroke2</f>
        <v>23.433258383581563</v>
      </c>
      <c r="CQ8">
        <f>AH8*(c_MI1+c_MI2)</f>
        <v>36.443649677565112</v>
      </c>
      <c r="CR8">
        <f>AI8*c_MI2</f>
        <v>9.8496031263360972</v>
      </c>
      <c r="CS8">
        <f>AJ8*(c_Stroke1+c_Stroke2+c_MI2)</f>
        <v>0.20658088389574278</v>
      </c>
      <c r="CT8">
        <f>AK8*(c_Stroke2+c_MI1+c_MI2)</f>
        <v>0.24963057268145442</v>
      </c>
      <c r="CU8">
        <f>AL8*(c_Stroke2+c_MI2)</f>
        <v>0.11584619003080254</v>
      </c>
      <c r="CV8">
        <f>AM8*(c_HF1)</f>
        <v>5.2231171934464591</v>
      </c>
      <c r="CW8">
        <f>AN8*(c_HF2)</f>
        <v>8.2887758490093333</v>
      </c>
      <c r="CX8">
        <f>AO8*(c_Stroke2+c_HF1)</f>
        <v>3.4663748398051725E-2</v>
      </c>
      <c r="CY8">
        <f>AP8*(c_Stroke1+c_Stroke2+c_HF2)</f>
        <v>4.5721746817151007E-2</v>
      </c>
      <c r="CZ8">
        <f>AQ8*(c_Stroke2+c_HF2)</f>
        <v>4.2103793718377316E-2</v>
      </c>
      <c r="DA8">
        <f>AR8*c_DM</f>
        <v>2647.3849400482563</v>
      </c>
      <c r="DB8">
        <f>AS8*(c_Other+c_DM)</f>
        <v>169.56959952117955</v>
      </c>
      <c r="DC8">
        <f>AT8*(c_Stroke1+c_Stroke2+c_DM)</f>
        <v>32.485110514640184</v>
      </c>
      <c r="DD8">
        <f>AU8*(c_Stroke2+c_DM)</f>
        <v>28.70173524997686</v>
      </c>
      <c r="DE8">
        <f>AV8*(c_MI1+c_MI2+c_DM)</f>
        <v>28.682613803178917</v>
      </c>
      <c r="DF8">
        <f>AW8*(c_MI2+c_DM)</f>
        <v>20.476764291342814</v>
      </c>
      <c r="DG8">
        <f>AX8*(c_Stroke1+c_Stroke2+c_MI2+c_DM)</f>
        <v>0.22094841966252379</v>
      </c>
      <c r="DH8">
        <f>AY8*(c_Stroke2+c_MI1+c_MI2+c_DM)</f>
        <v>0.25274068308155723</v>
      </c>
      <c r="DI8">
        <f>AZ8*(c_Stroke2+c_MI2+c_DM)</f>
        <v>0.15063727262557433</v>
      </c>
      <c r="DJ8">
        <f>BA8*(c_HF1+c_DM)</f>
        <v>4.0106731276123915</v>
      </c>
      <c r="DK8">
        <f>BB8*(c_HF2+c_DM)</f>
        <v>6.222566447920344</v>
      </c>
      <c r="DL8">
        <f>BC8*(c_Stroke2+c_HF1+c_DM)</f>
        <v>3.4208356494654896E-2</v>
      </c>
      <c r="DM8">
        <f>BD8*(c_Stroke1+c_Stroke2+c_HF2+c_DM)</f>
        <v>4.3181590583365029E-2</v>
      </c>
      <c r="DN8">
        <f>BE8*(c_Stroke2+c_HF2+c_DM)</f>
        <v>3.7107105776501691E-2</v>
      </c>
      <c r="DO8">
        <f t="shared" si="20"/>
        <v>0</v>
      </c>
      <c r="DP8">
        <f t="shared" si="21"/>
        <v>3260.7472260862</v>
      </c>
      <c r="DQ8">
        <f>DP8/(1+r_)^A8</f>
        <v>2812.7492008782519</v>
      </c>
    </row>
    <row r="9" spans="1:121" x14ac:dyDescent="0.3">
      <c r="A9">
        <v>6</v>
      </c>
      <c r="B9">
        <v>51</v>
      </c>
      <c r="C9">
        <f t="shared" si="40"/>
        <v>38</v>
      </c>
      <c r="D9">
        <f t="shared" si="1"/>
        <v>125</v>
      </c>
      <c r="E9">
        <f t="shared" si="41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2"/>
        <v>5.6857293942168513E-2</v>
      </c>
      <c r="J9">
        <f t="shared" si="23"/>
        <v>0.11246346483231906</v>
      </c>
      <c r="K9">
        <f t="shared" si="24"/>
        <v>0.15387354304655154</v>
      </c>
      <c r="L9">
        <f t="shared" si="25"/>
        <v>5.4913791257004352E-2</v>
      </c>
      <c r="M9">
        <f t="shared" si="26"/>
        <v>7.6051120795356919E-2</v>
      </c>
      <c r="N9">
        <f t="shared" si="27"/>
        <v>0.2426163715956855</v>
      </c>
      <c r="O9">
        <f t="shared" si="28"/>
        <v>0.32473425040295201</v>
      </c>
      <c r="P9">
        <f t="shared" si="29"/>
        <v>0.12775860279294338</v>
      </c>
      <c r="Q9">
        <f t="shared" si="30"/>
        <v>0.17563355240115308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9.0032326281340481E-3</v>
      </c>
      <c r="U9">
        <f t="shared" si="31"/>
        <v>0.22867522083593095</v>
      </c>
      <c r="V9">
        <f t="shared" si="32"/>
        <v>0.30485278579072195</v>
      </c>
      <c r="W9">
        <f t="shared" si="33"/>
        <v>0.11566205450753508</v>
      </c>
      <c r="X9">
        <f t="shared" si="34"/>
        <v>0.15814105016701163</v>
      </c>
      <c r="Y9">
        <f t="shared" si="35"/>
        <v>0.37678544352763454</v>
      </c>
      <c r="Z9">
        <f t="shared" si="36"/>
        <v>0.48734501147050258</v>
      </c>
      <c r="AA9">
        <f t="shared" si="37"/>
        <v>0.20752737890907569</v>
      </c>
      <c r="AB9">
        <f t="shared" si="38"/>
        <v>0.28011041891859134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1.7021038820890028E-2</v>
      </c>
      <c r="AD9">
        <f t="shared" si="39"/>
        <v>0.64518526133101173</v>
      </c>
      <c r="AE9">
        <f t="shared" si="5"/>
        <v>1.6053036011518321E-2</v>
      </c>
      <c r="AF9">
        <f t="shared" si="6"/>
        <v>1.7533622947578131E-3</v>
      </c>
      <c r="AG9">
        <f t="shared" si="7"/>
        <v>4.3207893608271731E-3</v>
      </c>
      <c r="AH9">
        <f t="shared" si="8"/>
        <v>1.2797581038601568E-3</v>
      </c>
      <c r="AI9">
        <f t="shared" si="9"/>
        <v>3.7709959543765991E-3</v>
      </c>
      <c r="AJ9">
        <f t="shared" si="10"/>
        <v>1.0297673847989963E-5</v>
      </c>
      <c r="AK9">
        <f t="shared" si="11"/>
        <v>9.2098266473211696E-6</v>
      </c>
      <c r="AL9">
        <f t="shared" si="12"/>
        <v>1.9586590594951222E-5</v>
      </c>
      <c r="AM9">
        <f t="shared" si="13"/>
        <v>2.0493081502106331E-4</v>
      </c>
      <c r="AN9">
        <f t="shared" si="14"/>
        <v>6.7768614848348694E-4</v>
      </c>
      <c r="AO9">
        <f t="shared" si="15"/>
        <v>1.4179835478491109E-6</v>
      </c>
      <c r="AP9">
        <f>AM8*T8*p_Stroke*p_Stroke_rec*(1-I8) + AN8*T8*p_Stroke*p_Stroke_rec*(1-I8) + AO8*(p_recur_Stroke*p_Stroke_rec)*(1-I8) + AP8*(p_recur_Stroke*p_Stroke_rec)*(1-I8) + AQ8*(p_recur_Stroke*p_Stroke_rec)*(1-I8)</f>
        <v>1.6612403695321161E-6</v>
      </c>
      <c r="AQ9">
        <f>AO8*(1-p_recur_Stroke-H8*rr_Stroke*rr_HF)*(1-I8) + AP8*(1-p_recur_Stroke-H8*rr_Stroke*rr_HF)*(1-I8) + AQ8*(1-p_recur_Stroke-H8*rr_Stroke*rr_HF)*(1-I8)</f>
        <v>3.3274715807427261E-6</v>
      </c>
      <c r="AR9">
        <f>AR8*(1-AC8-H8*rr_DM) + AD8*(1-T8-H8)*I8</f>
        <v>0.26596458673826745</v>
      </c>
      <c r="AS9">
        <f>AR8*AC8*p_Other + AD8*T8*p_Other*I8 + AE8*(1-T8*p_Stroke-T8*p_MI-H8*rr_Other)*I8 + AS8*(1-AC8*p_Stroke-AC8*p_MI-H8*rr_Other*rr_DM)</f>
        <v>9.5324095812735626E-3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1.2009993836911612E-3</v>
      </c>
      <c r="AU9">
        <f>AF8*(1-p_recur_Stroke-T8*p_MI-H8*rr_Stroke)*I8 + AG8*(1-p_recur_Stroke-T8*p_MI-H8*rr_Stroke)*I8 + AT8*(1-p_recur_Stroke-AC8*p_MI-H8*rr_Stroke*rr_DM) + AU8*(1-p_recur_Stroke-AC8*p_MI-H8*rr_Stroke*rr_DM)</f>
        <v>2.4412060510800525E-3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9.0259350706916642E-4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2.139432195187663E-3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9.8883137096610663E-6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9.0445488664479038E-6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1.5349814572005528E-5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1.3772090061164158E-4</v>
      </c>
      <c r="BB9">
        <f>AM8*(1-T8*p_Stroke - H8*rr_HF)*I8 + AN8*(1-T8*p_Stroke - H8*rr_HF)*I8 + BA8*(1-AC8*p_Stroke - H8*rr_HF*rr_DM) + BB8*(1-AC8*p_Stroke - H8*rr_HF*rr_DM)</f>
        <v>3.7175922445719159E-4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1.3332576413997991E-6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1.5465111057336647E-6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2.5316230343584584E-6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1.8978277542987487E-2</v>
      </c>
      <c r="BG9">
        <f t="shared" si="16"/>
        <v>0.9749999999999992</v>
      </c>
      <c r="BH9">
        <f>(0.9442 - 0.0007*$B9 - dis_BMI*($C9-21.75))*AD9</f>
        <v>0.55155275028034867</v>
      </c>
      <c r="BI9">
        <f>0.959*(0.9442 - 0.0007*$B9 - dis_BMI*($C9-21.75))*AE9</f>
        <v>1.3160682254772509E-2</v>
      </c>
      <c r="BJ9">
        <f>(0.943*(0.9442 - 0.0007*$B9 - dis_BMI*($C9-21.75)) - 0.19*0.5)*AF9</f>
        <v>1.2468985550004212E-3</v>
      </c>
      <c r="BK9">
        <f>(0.943*(0.9442 - 0.0007*$B9 - dis_BMI*($C9-21.75)))*AG9</f>
        <v>3.4831919209614131E-3</v>
      </c>
      <c r="BL9">
        <f>(0.955*(0.9442 - 0.0007*$B9 - dis_BMI*($C9-21.75)) - 0.15*0.5)*AH9</f>
        <v>9.4881985684125458E-4</v>
      </c>
      <c r="BM9">
        <f>(0.955*(0.9442 - 0.0007*$B9 - dis_BMI*($C9-21.75)))*AI9</f>
        <v>3.078662309005299E-3</v>
      </c>
      <c r="BN9">
        <f>(0.955*0.943*(0.9442 - 0.0007*$B9 - dis_BMI*($C9-21.75)) - 0.19*0.5)*AJ9</f>
        <v>6.9495963436822345E-6</v>
      </c>
      <c r="BO9">
        <f>(0.955*0.943*(0.9442 - 0.0007*$B9 - dis_BMI*($C9-21.75)) - 0.15*0.5)*AK9</f>
        <v>6.3996368876303774E-6</v>
      </c>
      <c r="BP9">
        <f>(0.955*0.943*(0.9442 - 0.0007*$B9 - dis_BMI*($C9-21.75)))*AL9</f>
        <v>1.5079138380321729E-5</v>
      </c>
      <c r="BQ9">
        <f>(0.93*(0.9442 - 0.0007*$B9 - dis_BMI*($C9-21.75)))*AM9</f>
        <v>1.6292691435675232E-4</v>
      </c>
      <c r="BR9">
        <f>(0.93*(0.9442 - 0.0007*$B9 - dis_BMI*($C9-21.75)))*AN9</f>
        <v>5.3878335995188355E-4</v>
      </c>
      <c r="BS9">
        <f>(0.93*0.943*(0.9442 - 0.0007*$B9 - dis_BMI*($C9-21.75)))*AO9</f>
        <v>1.0630861251681506E-6</v>
      </c>
      <c r="BT9">
        <f>(0.93*0.943*(0.9442 - 0.0007*$B9 - dis_BMI*($C9-21.75))-0.19*0.5)*AP9</f>
        <v>1.0876420223784445E-6</v>
      </c>
      <c r="BU9">
        <f>(0.93*0.943*(0.9442 - 0.0007*$B9 - dis_BMI*($C9-21.75)))*AQ9</f>
        <v>2.4946614329515076E-6</v>
      </c>
      <c r="BV9">
        <f>0.962*(0.9442 - 0.0007*$B9 - dis_BMI*($C9-21.75))*AR9</f>
        <v>0.2187265499965371</v>
      </c>
      <c r="BW9">
        <f>0.962*0.959*(0.9442 - 0.0007*$B9 - dis_BMI*($C9-21.75))*AS9</f>
        <v>7.5179423392110808E-3</v>
      </c>
      <c r="BX9">
        <f>0.962*(0.943*(0.9442 - 0.0007*$B9 - dis_BMI*($C9-21.75)) - 0.19*0.5)*AT9</f>
        <v>8.216319430028689E-4</v>
      </c>
      <c r="BY9">
        <f>0.962*(0.943*(0.9442 - 0.0007*$B9 - dis_BMI*($C9-21.75)))*AU9</f>
        <v>1.8931883325055774E-3</v>
      </c>
      <c r="BZ9">
        <f>0.962*(0.955*(0.9442 - 0.0007*$B9 - dis_BMI*($C9-21.75)) - 0.15*0.5)*AV9</f>
        <v>6.4375876290683409E-4</v>
      </c>
      <c r="CA9">
        <f>0.962*(0.955*(0.9442 - 0.0007*$B9 - dis_BMI*($C9-21.75)))*AW9</f>
        <v>1.6802719882759284E-3</v>
      </c>
      <c r="CB9">
        <f>0.962*(0.955*0.943*(0.9442 - 0.0007*$B9 - dis_BMI*($C9-21.75)) - 0.19*0.5)*AX9</f>
        <v>6.4197446727522186E-6</v>
      </c>
      <c r="CC9">
        <f>0.962*(0.955*0.943*(0.9442 - 0.0007*$B9 - dis_BMI*($C9-21.75)) - 0.15*0.5)*AY9</f>
        <v>6.0459682038314164E-6</v>
      </c>
      <c r="CD9">
        <f>0.962*(0.955*0.943*(0.9442 - 0.0007*$B9 - dis_BMI*($C9-21.75)))*AZ9</f>
        <v>1.1368309446121342E-5</v>
      </c>
      <c r="CE9">
        <f>0.962*(0.93*(0.9442 - 0.0007*$B9 - dis_BMI*($C9-21.75)))*BA9</f>
        <v>1.0533203903211798E-4</v>
      </c>
      <c r="CF9">
        <f>0.962*(0.93*(0.9442 - 0.0007*$B9 - dis_BMI*($C9-21.75)))*BB9</f>
        <v>2.8432980736523564E-4</v>
      </c>
      <c r="CG9">
        <f>0.962*(0.93*0.943*(0.9442 - 0.0007*$B9 - dis_BMI*($C9-21.75)))*BC9</f>
        <v>9.6158219135943305E-7</v>
      </c>
      <c r="CH9">
        <f>0.962*(0.93*0.943*(0.9442 - 0.0007*$B9 - dis_BMI*($C9-21.75))-0.19*0.5)*BD9</f>
        <v>9.7405082287588314E-7</v>
      </c>
      <c r="CI9">
        <f>0.962*(0.93*0.943*(0.9442 - 0.0007*$B9 - dis_BMI*($C9-21.75)))*BE9</f>
        <v>1.8258763718905549E-6</v>
      </c>
      <c r="CJ9">
        <f t="shared" si="17"/>
        <v>0</v>
      </c>
      <c r="CK9">
        <f t="shared" si="18"/>
        <v>0.8059063899529757</v>
      </c>
      <c r="CL9">
        <f>CK9/(1+r_)^A9</f>
        <v>0.67493391394637514</v>
      </c>
      <c r="CM9">
        <f t="shared" si="19"/>
        <v>0</v>
      </c>
      <c r="CN9">
        <f>AE9*c_Other</f>
        <v>229.22130120847009</v>
      </c>
      <c r="CO9">
        <f>AF9*(c_Stroke1+c_Stroke2)</f>
        <v>41.758076411952075</v>
      </c>
      <c r="CP9">
        <f>AG9*c_Stroke2</f>
        <v>28.085130845376625</v>
      </c>
      <c r="CQ9">
        <f>AH9*(c_MI1+c_MI2)</f>
        <v>37.306228485627429</v>
      </c>
      <c r="CR9">
        <f>AI9*c_MI2</f>
        <v>11.754194389791859</v>
      </c>
      <c r="CS9">
        <f>AJ9*(c_Stroke1+c_Stroke2+c_MI2)</f>
        <v>0.27734724974791369</v>
      </c>
      <c r="CT9">
        <f>AK9*(c_Stroke2+c_MI1+c_MI2)</f>
        <v>0.328339529803647</v>
      </c>
      <c r="CU9">
        <f>AL9*(c_Stroke2+c_MI2)</f>
        <v>0.1883642417516459</v>
      </c>
      <c r="CV9">
        <f>AM9*(c_HF1)</f>
        <v>5.5392799300193412</v>
      </c>
      <c r="CW9">
        <f>AN9*(c_HF2)</f>
        <v>10.575292347084813</v>
      </c>
      <c r="CX9">
        <f>AO9*(c_Stroke2+c_HF1)</f>
        <v>4.7544988359380688E-2</v>
      </c>
      <c r="CY9">
        <f>AP9*(c_Stroke1+c_Stroke2+c_HF2)</f>
        <v>6.5487756607325545E-2</v>
      </c>
      <c r="CZ9">
        <f>AQ9*(c_Stroke2+c_HF2)</f>
        <v>7.3553759292317958E-2</v>
      </c>
      <c r="DA9">
        <f>AR9*c_DM</f>
        <v>3038.6454034847056</v>
      </c>
      <c r="DB9">
        <f>AS9*(c_Other+c_DM)</f>
        <v>245.02105587705566</v>
      </c>
      <c r="DC9">
        <f>AT9*(c_Stroke1+c_Stroke2+c_DM)</f>
        <v>42.324419280660216</v>
      </c>
      <c r="DD9">
        <f>AU9*(c_Stroke2+c_DM)</f>
        <v>43.758618465609942</v>
      </c>
      <c r="DE9">
        <f>AV9*(c_MI1+c_MI2+c_DM)</f>
        <v>36.623634142838497</v>
      </c>
      <c r="DF9">
        <f>AW9*(c_MI2+c_DM)</f>
        <v>31.111622982418996</v>
      </c>
      <c r="DG9">
        <f>AX9*(c_Stroke1+c_Stroke2+c_MI2+c_DM)</f>
        <v>0.37929593727517918</v>
      </c>
      <c r="DH9">
        <f>AY9*(c_Stroke2+c_MI1+c_MI2+c_DM)</f>
        <v>0.4257811824369015</v>
      </c>
      <c r="DI9">
        <f>AZ9*(c_Stroke2+c_MI2+c_DM)</f>
        <v>0.32299079822414034</v>
      </c>
      <c r="DJ9">
        <f>BA9*(c_HF1+c_DM)</f>
        <v>5.2960572330206768</v>
      </c>
      <c r="DK9">
        <f>BB9*(c_HF2+c_DM)</f>
        <v>10.048651837077889</v>
      </c>
      <c r="DL9">
        <f>BC9*(c_Stroke2+c_HF1+c_DM)</f>
        <v>5.9936597269127971E-2</v>
      </c>
      <c r="DM9">
        <f>BD9*(c_Stroke1+c_Stroke2+c_HF2+c_DM)</f>
        <v>7.863390368213391E-2</v>
      </c>
      <c r="DN9">
        <f>BE9*(c_Stroke2+c_HF2+c_DM)</f>
        <v>8.4885320342039106E-2</v>
      </c>
      <c r="DO9">
        <f t="shared" si="20"/>
        <v>0</v>
      </c>
      <c r="DP9">
        <f t="shared" si="21"/>
        <v>3819.401128186501</v>
      </c>
      <c r="DQ9">
        <f>DP9/(1+r_)^A9</f>
        <v>3198.6883148159827</v>
      </c>
    </row>
    <row r="10" spans="1:121" x14ac:dyDescent="0.3">
      <c r="A10">
        <v>7</v>
      </c>
      <c r="B10">
        <v>52</v>
      </c>
      <c r="C10">
        <f t="shared" si="40"/>
        <v>38</v>
      </c>
      <c r="D10">
        <f t="shared" si="1"/>
        <v>125</v>
      </c>
      <c r="E10">
        <f t="shared" si="41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2"/>
        <v>5.6857293942168513E-2</v>
      </c>
      <c r="J10">
        <f t="shared" si="23"/>
        <v>0.11819026978332936</v>
      </c>
      <c r="K10">
        <f t="shared" si="24"/>
        <v>0.1615097842376213</v>
      </c>
      <c r="L10">
        <f t="shared" si="25"/>
        <v>5.780556569246309E-2</v>
      </c>
      <c r="M10">
        <f t="shared" si="26"/>
        <v>8.0008020405025526E-2</v>
      </c>
      <c r="N10">
        <f t="shared" si="27"/>
        <v>0.25561821203060797</v>
      </c>
      <c r="O10">
        <f t="shared" si="28"/>
        <v>0.34105555727825376</v>
      </c>
      <c r="P10">
        <f t="shared" si="29"/>
        <v>0.13515636049957747</v>
      </c>
      <c r="Q10">
        <f t="shared" si="30"/>
        <v>0.18549543748000974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9.4806163679890046E-3</v>
      </c>
      <c r="U10">
        <f t="shared" si="31"/>
        <v>0.23946551234751667</v>
      </c>
      <c r="V10">
        <f t="shared" si="32"/>
        <v>0.31843377483315061</v>
      </c>
      <c r="W10">
        <f t="shared" si="33"/>
        <v>0.12154032453633146</v>
      </c>
      <c r="X10">
        <f t="shared" si="34"/>
        <v>0.16596762647635588</v>
      </c>
      <c r="Y10">
        <f t="shared" si="35"/>
        <v>0.39488089668628101</v>
      </c>
      <c r="Z10">
        <f t="shared" si="36"/>
        <v>0.50825091889367302</v>
      </c>
      <c r="AA10">
        <f t="shared" si="37"/>
        <v>0.21893049035281176</v>
      </c>
      <c r="AB10">
        <f t="shared" si="38"/>
        <v>0.29470352497572949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1.7864010901783849E-2</v>
      </c>
      <c r="AD10">
        <f t="shared" si="39"/>
        <v>0.60073167258271054</v>
      </c>
      <c r="AE10">
        <f t="shared" si="5"/>
        <v>1.7983794300247762E-2</v>
      </c>
      <c r="AF10">
        <f t="shared" si="6"/>
        <v>1.8205491758286575E-3</v>
      </c>
      <c r="AG10">
        <f t="shared" si="7"/>
        <v>4.9624611359124346E-3</v>
      </c>
      <c r="AH10">
        <f t="shared" si="8"/>
        <v>1.3033066654406075E-3</v>
      </c>
      <c r="AI10">
        <f t="shared" si="9"/>
        <v>4.3152286508375617E-3</v>
      </c>
      <c r="AJ10">
        <f t="shared" si="10"/>
        <v>1.3145615957751461E-5</v>
      </c>
      <c r="AK10">
        <f t="shared" si="11"/>
        <v>1.1553429146623337E-5</v>
      </c>
      <c r="AL10">
        <f t="shared" si="12"/>
        <v>2.8585425420183518E-5</v>
      </c>
      <c r="AM10">
        <f t="shared" si="13"/>
        <v>2.1503366529280804E-4</v>
      </c>
      <c r="AN10">
        <f t="shared" si="14"/>
        <v>8.250043937647161E-4</v>
      </c>
      <c r="AO10">
        <f t="shared" si="15"/>
        <v>1.8419327200868874E-6</v>
      </c>
      <c r="AP10">
        <f>AM9*T9*p_Stroke*p_Stroke_rec*(1-I9) + AN9*T9*p_Stroke*p_Stroke_rec*(1-I9) + AO9*(p_recur_Stroke*p_Stroke_rec)*(1-I9) + AP9*(p_recur_Stroke*p_Stroke_rec)*(1-I9) + AQ9*(p_recur_Stroke*p_Stroke_rec)*(1-I9)</f>
        <v>2.2529403063122235E-6</v>
      </c>
      <c r="AQ10">
        <f>AO9*(1-p_recur_Stroke-H9*rr_Stroke*rr_HF)*(1-I9) + AP9*(1-p_recur_Stroke-H9*rr_Stroke*rr_HF)*(1-I9) + AQ9*(1-p_recur_Stroke-H9*rr_Stroke*rr_HF)*(1-I9)</f>
        <v>5.1877061524746813E-6</v>
      </c>
      <c r="AR10">
        <f>AR9*(1-AC9-H9*rr_DM) + AD9*(1-T9-H9)*I9</f>
        <v>0.29650079521183065</v>
      </c>
      <c r="AS10">
        <f>AR9*AC9*p_Other + AD9*T9*p_Other*I9 + AE9*(1-T9*p_Stroke-T9*p_MI-H9*rr_Other)*I9 + AS9*(1-AC9*p_Stroke-AC9*p_MI-H9*rr_Other*rr_DM)</f>
        <v>1.2954955239132555E-2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1.5040954200293767E-3</v>
      </c>
      <c r="AU10">
        <f>AF9*(1-p_recur_Stroke-T9*p_MI-H9*rr_Stroke)*I9 + AG9*(1-p_recur_Stroke-T9*p_MI-H9*rr_Stroke)*I9 + AT9*(1-p_recur_Stroke-AC9*p_MI-H9*rr_Stroke*rr_DM) + AU9*(1-p_recur_Stroke-AC9*p_MI-H9*rr_Stroke*rr_DM)</f>
        <v>3.4412910023950676E-3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1.1101033588091344E-3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3.0075254742195183E-3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1.5533607512126873E-5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1.397302841736931E-5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2.8206020311095844E-5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1.7441817149485567E-4</v>
      </c>
      <c r="BB10">
        <f>AM9*(1-T9*p_Stroke - H9*rr_HF)*I9 + AN9*(1-T9*p_Stroke - H9*rr_HF)*I9 + BA9*(1-AC9*p_Stroke - H9*rr_HF*rr_DM) + BB9*(1-AC9*p_Stroke - H9*rr_HF*rr_DM)</f>
        <v>5.5320508265352462E-4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2.1306307628010166E-6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2.5682060228471776E-6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4.9412586426471214E-6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2.3466640668027568E-2</v>
      </c>
      <c r="BG10">
        <f t="shared" si="16"/>
        <v>0.97500000000000009</v>
      </c>
      <c r="BH10">
        <f>(0.9442 - 0.0007*$B10 - dis_BMI*($C10-21.75))*AD10</f>
        <v>0.5131299764283368</v>
      </c>
      <c r="BI10">
        <f>0.959*(0.9442 - 0.0007*$B10 - dis_BMI*($C10-21.75))*AE10</f>
        <v>1.4731493889061153E-2</v>
      </c>
      <c r="BJ10">
        <f>(0.943*(0.9442 - 0.0007*$B10 - dis_BMI*($C10-21.75)) - 0.19*0.5)*AF10</f>
        <v>1.2934765678007049E-3</v>
      </c>
      <c r="BK10">
        <f>(0.943*(0.9442 - 0.0007*$B10 - dis_BMI*($C10-21.75)))*AG10</f>
        <v>3.9971980570442274E-3</v>
      </c>
      <c r="BL10">
        <f>(0.955*(0.9442 - 0.0007*$B10 - dis_BMI*($C10-21.75)) - 0.15*0.5)*AH10</f>
        <v>9.6540763235181245E-4</v>
      </c>
      <c r="BM10">
        <f>(0.955*(0.9442 - 0.0007*$B10 - dis_BMI*($C10-21.75)))*AI10</f>
        <v>3.5200922133518612E-3</v>
      </c>
      <c r="BN10">
        <f>(0.955*0.943*(0.9442 - 0.0007*$B10 - dis_BMI*($C10-21.75)) - 0.19*0.5)*AJ10</f>
        <v>8.8633015345832823E-6</v>
      </c>
      <c r="BO10">
        <f>(0.955*0.943*(0.9442 - 0.0007*$B10 - dis_BMI*($C10-21.75)) - 0.15*0.5)*AK10</f>
        <v>8.0208539086313833E-6</v>
      </c>
      <c r="BP10">
        <f>(0.955*0.943*(0.9442 - 0.0007*$B10 - dis_BMI*($C10-21.75)))*AL10</f>
        <v>2.1989055762460159E-5</v>
      </c>
      <c r="BQ10">
        <f>(0.93*(0.9442 - 0.0007*$B10 - dis_BMI*($C10-21.75)))*AM10</f>
        <v>1.708190343778804E-4</v>
      </c>
      <c r="BR10">
        <f>(0.93*(0.9442 - 0.0007*$B10 - dis_BMI*($C10-21.75)))*AN10</f>
        <v>6.5536925908089806E-4</v>
      </c>
      <c r="BS10">
        <f>(0.93*0.943*(0.9442 - 0.0007*$B10 - dis_BMI*($C10-21.75)))*AO10</f>
        <v>1.3797972034662387E-6</v>
      </c>
      <c r="BT10">
        <f>(0.93*0.943*(0.9442 - 0.0007*$B10 - dis_BMI*($C10-21.75))-0.19*0.5)*AP10</f>
        <v>1.4736548627959792E-6</v>
      </c>
      <c r="BU10">
        <f>(0.93*0.943*(0.9442 - 0.0007*$B10 - dis_BMI*($C10-21.75)))*AQ10</f>
        <v>3.8861258956578561E-6</v>
      </c>
      <c r="BV10">
        <f>0.962*(0.9442 - 0.0007*$B10 - dis_BMI*($C10-21.75))*AR10</f>
        <v>0.24363955121356295</v>
      </c>
      <c r="BW10">
        <f>0.962*0.959*(0.9442 - 0.0007*$B10 - dis_BMI*($C10-21.75))*AS10</f>
        <v>1.020884129363933E-2</v>
      </c>
      <c r="BX10">
        <f>0.962*(0.943*(0.9442 - 0.0007*$B10 - dis_BMI*($C10-21.75)) - 0.19*0.5)*AT10</f>
        <v>1.0280319496416711E-3</v>
      </c>
      <c r="BY10">
        <f>0.962*(0.943*(0.9442 - 0.0007*$B10 - dis_BMI*($C10-21.75)))*AU10</f>
        <v>2.6665824721146887E-3</v>
      </c>
      <c r="BZ10">
        <f>0.962*(0.955*(0.9442 - 0.0007*$B10 - dis_BMI*($C10-21.75)) - 0.15*0.5)*AV10</f>
        <v>7.9104756917975098E-4</v>
      </c>
      <c r="CA10">
        <f>0.962*(0.955*(0.9442 - 0.0007*$B10 - dis_BMI*($C10-21.75)))*AW10</f>
        <v>2.3601228767233359E-3</v>
      </c>
      <c r="CB10">
        <f>0.962*(0.955*0.943*(0.9442 - 0.0007*$B10 - dis_BMI*($C10-21.75)) - 0.19*0.5)*AX10</f>
        <v>1.0075392733830417E-5</v>
      </c>
      <c r="CC10">
        <f>0.962*(0.955*0.943*(0.9442 - 0.0007*$B10 - dis_BMI*($C10-21.75)) - 0.15*0.5)*AY10</f>
        <v>9.3320125725359957E-6</v>
      </c>
      <c r="CD10">
        <f>0.962*(0.955*0.943*(0.9442 - 0.0007*$B10 - dis_BMI*($C10-21.75)))*AZ10</f>
        <v>2.0872708453906389E-5</v>
      </c>
      <c r="CE10">
        <f>0.962*(0.93*(0.9442 - 0.0007*$B10 - dis_BMI*($C10-21.75)))*BA10</f>
        <v>1.3328970482661697E-4</v>
      </c>
      <c r="CF10">
        <f>0.962*(0.93*(0.9442 - 0.0007*$B10 - dis_BMI*($C10-21.75)))*BB10</f>
        <v>4.2275722502713739E-4</v>
      </c>
      <c r="CG10">
        <f>0.962*(0.93*0.943*(0.9442 - 0.0007*$B10 - dis_BMI*($C10-21.75)))*BC10</f>
        <v>1.5354114074316234E-6</v>
      </c>
      <c r="CH10">
        <f>0.962*(0.93*0.943*(0.9442 - 0.0007*$B10 - dis_BMI*($C10-21.75))-0.19*0.5)*BD10</f>
        <v>1.6160359912107387E-6</v>
      </c>
      <c r="CI10">
        <f>0.962*(0.93*0.943*(0.9442 - 0.0007*$B10 - dis_BMI*($C10-21.75)))*BE10</f>
        <v>3.5608539121140252E-6</v>
      </c>
      <c r="CJ10">
        <f t="shared" si="17"/>
        <v>0</v>
      </c>
      <c r="CK10">
        <f t="shared" si="18"/>
        <v>0.79980666259035949</v>
      </c>
      <c r="CL10">
        <f>CK10/(1+r_)^A10</f>
        <v>0.65031600806807921</v>
      </c>
      <c r="CM10">
        <f t="shared" si="19"/>
        <v>0</v>
      </c>
      <c r="CN10">
        <f>AE10*c_Other</f>
        <v>256.79059881323781</v>
      </c>
      <c r="CO10">
        <f>AF10*(c_Stroke1+c_Stroke2)</f>
        <v>43.358199171535304</v>
      </c>
      <c r="CP10">
        <f>AG10*c_Stroke2</f>
        <v>32.255997383430824</v>
      </c>
      <c r="CQ10">
        <f>AH10*(c_MI1+c_MI2)</f>
        <v>37.992692604259148</v>
      </c>
      <c r="CR10">
        <f>AI10*c_MI2</f>
        <v>13.45056770466068</v>
      </c>
      <c r="CS10">
        <f>AJ10*(c_Stroke1+c_Stroke2+c_MI2)</f>
        <v>0.35405087459012008</v>
      </c>
      <c r="CT10">
        <f>AK10*(c_Stroke2+c_MI1+c_MI2)</f>
        <v>0.4118913025062686</v>
      </c>
      <c r="CU10">
        <f>AL10*(c_Stroke2+c_MI2)</f>
        <v>0.27490603626590487</v>
      </c>
      <c r="CV10">
        <f>AM10*(c_HF1)</f>
        <v>5.8123599728646012</v>
      </c>
      <c r="CW10">
        <f>AN10*(c_HF2)</f>
        <v>12.874193564698395</v>
      </c>
      <c r="CX10">
        <f>AO10*(c_Stroke2+c_HF1)</f>
        <v>6.1760004104513336E-2</v>
      </c>
      <c r="CY10">
        <f>AP10*(c_Stroke1+c_Stroke2+c_HF2)</f>
        <v>8.8813159815134157E-2</v>
      </c>
      <c r="CZ10">
        <f>AQ10*(c_Stroke2+c_HF2)</f>
        <v>0.11467424450045283</v>
      </c>
      <c r="DA10">
        <f>AR10*c_DM</f>
        <v>3387.5215852951651</v>
      </c>
      <c r="DB10">
        <f>AS10*(c_Other+c_DM)</f>
        <v>332.99416946666321</v>
      </c>
      <c r="DC10">
        <f>AT10*(c_Stroke1+c_Stroke2+c_DM)</f>
        <v>53.005826697255266</v>
      </c>
      <c r="DD10">
        <f>AU10*(c_Stroke2+c_DM)</f>
        <v>61.685141217931587</v>
      </c>
      <c r="DE10">
        <f>AV10*(c_MI1+c_MI2+c_DM)</f>
        <v>45.043553887039437</v>
      </c>
      <c r="DF10">
        <f>AW10*(c_MI2+c_DM)</f>
        <v>43.735435446100233</v>
      </c>
      <c r="DG10">
        <f>AX10*(c_Stroke1+c_Stroke2+c_MI2+c_DM)</f>
        <v>0.59583811695016253</v>
      </c>
      <c r="DH10">
        <f>AY10*(c_Stroke2+c_MI1+c_MI2+c_DM)</f>
        <v>0.65779428577607757</v>
      </c>
      <c r="DI10">
        <f>AZ10*(c_Stroke2+c_MI2+c_DM)</f>
        <v>0.59351107938607872</v>
      </c>
      <c r="DJ10">
        <f>BA10*(c_HF1+c_DM)</f>
        <v>6.7072507848346747</v>
      </c>
      <c r="DK10">
        <f>BB10*(c_HF2+c_DM)</f>
        <v>14.95313338412477</v>
      </c>
      <c r="DL10">
        <f>BC10*(c_Stroke2+c_HF1+c_DM)</f>
        <v>9.5782505941719706E-2</v>
      </c>
      <c r="DM10">
        <f>BD10*(c_Stroke1+c_Stroke2+c_HF2+c_DM)</f>
        <v>0.13058300343768758</v>
      </c>
      <c r="DN10">
        <f>BE10*(c_Stroke2+c_HF2+c_DM)</f>
        <v>0.165680402287958</v>
      </c>
      <c r="DO10">
        <f t="shared" si="20"/>
        <v>0</v>
      </c>
      <c r="DP10">
        <f t="shared" si="21"/>
        <v>4351.7259904093635</v>
      </c>
      <c r="DQ10">
        <f>DP10/(1+r_)^A10</f>
        <v>3538.3514624941022</v>
      </c>
    </row>
    <row r="11" spans="1:121" x14ac:dyDescent="0.3">
      <c r="A11">
        <v>8</v>
      </c>
      <c r="B11">
        <v>53</v>
      </c>
      <c r="C11">
        <f t="shared" si="40"/>
        <v>38</v>
      </c>
      <c r="D11">
        <f t="shared" si="1"/>
        <v>125</v>
      </c>
      <c r="E11">
        <f t="shared" si="41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2"/>
        <v>5.6857293942168513E-2</v>
      </c>
      <c r="J11">
        <f t="shared" si="23"/>
        <v>0.12407095553545622</v>
      </c>
      <c r="K11">
        <f t="shared" si="24"/>
        <v>0.16933057020364872</v>
      </c>
      <c r="L11">
        <f t="shared" si="25"/>
        <v>6.0785353413809307E-2</v>
      </c>
      <c r="M11">
        <f t="shared" si="26"/>
        <v>8.4080266134126447E-2</v>
      </c>
      <c r="N11">
        <f t="shared" si="27"/>
        <v>0.2689220365870616</v>
      </c>
      <c r="O11">
        <f t="shared" si="28"/>
        <v>0.3576345032814896</v>
      </c>
      <c r="P11">
        <f t="shared" si="29"/>
        <v>0.14279422130874286</v>
      </c>
      <c r="Q11">
        <f t="shared" si="30"/>
        <v>0.1956409109635695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9.9713994829389446E-3</v>
      </c>
      <c r="U11">
        <f t="shared" si="31"/>
        <v>0.2504602859564018</v>
      </c>
      <c r="V11">
        <f t="shared" si="32"/>
        <v>0.3321929742348636</v>
      </c>
      <c r="W11">
        <f t="shared" si="33"/>
        <v>0.12757534306838414</v>
      </c>
      <c r="X11">
        <f t="shared" si="34"/>
        <v>0.17398111168598673</v>
      </c>
      <c r="Y11">
        <f t="shared" si="35"/>
        <v>0.41316846862527323</v>
      </c>
      <c r="Z11">
        <f t="shared" si="36"/>
        <v>0.52911803539232105</v>
      </c>
      <c r="AA11">
        <f t="shared" si="37"/>
        <v>0.23063210828116187</v>
      </c>
      <c r="AB11">
        <f t="shared" si="38"/>
        <v>0.30958743745218098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1.8724972403258287E-2</v>
      </c>
      <c r="AD11">
        <f t="shared" si="39"/>
        <v>0.55890957691785093</v>
      </c>
      <c r="AE11">
        <f t="shared" si="5"/>
        <v>1.9712723539862059E-2</v>
      </c>
      <c r="AF11">
        <f t="shared" si="6"/>
        <v>1.8768996907922669E-3</v>
      </c>
      <c r="AG11">
        <f t="shared" si="7"/>
        <v>5.535225957341865E-3</v>
      </c>
      <c r="AH11">
        <f t="shared" si="8"/>
        <v>1.3209737545071404E-3</v>
      </c>
      <c r="AI11">
        <f t="shared" si="9"/>
        <v>4.7973660790787071E-3</v>
      </c>
      <c r="AJ11">
        <f t="shared" si="10"/>
        <v>1.6178613755289362E-5</v>
      </c>
      <c r="AK11">
        <f t="shared" si="11"/>
        <v>1.4005228509161197E-5</v>
      </c>
      <c r="AL11">
        <f t="shared" si="12"/>
        <v>3.8890785080584102E-5</v>
      </c>
      <c r="AM11">
        <f t="shared" si="13"/>
        <v>2.2359968036161692E-4</v>
      </c>
      <c r="AN11">
        <f t="shared" si="14"/>
        <v>9.7153516094408482E-4</v>
      </c>
      <c r="AO11">
        <f t="shared" si="15"/>
        <v>2.2995239683878884E-6</v>
      </c>
      <c r="AP11">
        <f>AM10*T10*p_Stroke*p_Stroke_rec*(1-I10) + AN10*T10*p_Stroke*p_Stroke_rec*(1-I10) + AO10*(p_recur_Stroke*p_Stroke_rec)*(1-I10) + AP10*(p_recur_Stroke*p_Stroke_rec)*(1-I10) + AQ10*(p_recur_Stroke*p_Stroke_rec)*(1-I10)</f>
        <v>2.9343201604981302E-6</v>
      </c>
      <c r="AQ11">
        <f>AO10*(1-p_recur_Stroke-H10*rr_Stroke*rr_HF)*(1-I10) + AP10*(1-p_recur_Stroke-H10*rr_Stroke*rr_HF)*(1-I10) + AQ10*(1-p_recur_Stroke-H10*rr_Stroke*rr_HF)*(1-I10)</f>
        <v>7.5022372928076206E-6</v>
      </c>
      <c r="AR11">
        <f>AR10*(1-AC10-H10*rr_DM) + AD10*(1-T10-H10)*I10</f>
        <v>0.32351697518312239</v>
      </c>
      <c r="AS11">
        <f>AR10*AC10*p_Other + AD10*T10*p_Other*I10 + AE10*(1-T10*p_Stroke-T10*p_MI-H10*rr_Other)*I10 + AS10*(1-AC10*p_Stroke-AC10*p_MI-H10*rr_Other*rr_DM)</f>
        <v>1.6837732833676327E-2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1.8288698137192141E-3</v>
      </c>
      <c r="AU11">
        <f>AF10*(1-p_recur_Stroke-T10*p_MI-H10*rr_Stroke)*I10 + AG10*(1-p_recur_Stroke-T10*p_MI-H10*rr_Stroke)*I10 + AT10*(1-p_recur_Stroke-AC10*p_MI-H10*rr_Stroke*rr_DM) + AU10*(1-p_recur_Stroke-AC10*p_MI-H10*rr_Stroke*rr_DM)</f>
        <v>4.5941012766546972E-3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1.3280159682125779E-3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4.0050906713693379E-3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2.291154260211184E-5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2.030260446605304E-5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4.6833298942536419E-5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2.1410874524086193E-4</v>
      </c>
      <c r="BB11">
        <f>AM10*(1-T10*p_Stroke - H10*rr_HF)*I10 + AN10*(1-T10*p_Stroke - H10*rr_HF)*I10 + BA10*(1-AC10*p_Stroke - H10*rr_HF*rr_DM) + BB10*(1-AC10*p_Stroke - H10*rr_HF*rr_DM)</f>
        <v>7.7703477560540782E-4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3.1881795466231811E-6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3.9915957046895692E-6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8.6797856545968128E-6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2.8362452235976818E-2</v>
      </c>
      <c r="BG11">
        <f t="shared" si="16"/>
        <v>0.97499999999999942</v>
      </c>
      <c r="BH11">
        <f>(0.9442 - 0.0007*$B11 - dis_BMI*($C11-21.75))*AD11</f>
        <v>0.4770153511599628</v>
      </c>
      <c r="BI11">
        <f>0.959*(0.9442 - 0.0007*$B11 - dis_BMI*($C11-21.75))*AE11</f>
        <v>1.6134519737533236E-2</v>
      </c>
      <c r="BJ11">
        <f>(0.943*(0.9442 - 0.0007*$B11 - dis_BMI*($C11-21.75)) - 0.19*0.5)*AF11</f>
        <v>1.3322739360485257E-3</v>
      </c>
      <c r="BK11">
        <f>(0.943*(0.9442 - 0.0007*$B11 - dis_BMI*($C11-21.75)))*AG11</f>
        <v>4.4548988864276341E-3</v>
      </c>
      <c r="BL11">
        <f>(0.955*(0.9442 - 0.0007*$B11 - dis_BMI*($C11-21.75)) - 0.15*0.5)*AH11</f>
        <v>9.7761123015918704E-4</v>
      </c>
      <c r="BM11">
        <f>(0.955*(0.9442 - 0.0007*$B11 - dis_BMI*($C11-21.75)))*AI11</f>
        <v>3.910182573696323E-3</v>
      </c>
      <c r="BN11">
        <f>(0.955*0.943*(0.9442 - 0.0007*$B11 - dis_BMI*($C11-21.75)) - 0.19*0.5)*AJ11</f>
        <v>1.08980713745053E-5</v>
      </c>
      <c r="BO11">
        <f>(0.955*0.943*(0.9442 - 0.0007*$B11 - dis_BMI*($C11-21.75)) - 0.15*0.5)*AK11</f>
        <v>9.714162531990676E-6</v>
      </c>
      <c r="BP11">
        <f>(0.955*0.943*(0.9442 - 0.0007*$B11 - dis_BMI*($C11-21.75)))*AL11</f>
        <v>2.9891835173716469E-5</v>
      </c>
      <c r="BQ11">
        <f>(0.93*(0.9442 - 0.0007*$B11 - dis_BMI*($C11-21.75)))*AM11</f>
        <v>1.7747816559286685E-4</v>
      </c>
      <c r="BR11">
        <f>(0.93*(0.9442 - 0.0007*$B11 - dis_BMI*($C11-21.75)))*AN11</f>
        <v>7.7113830348268016E-4</v>
      </c>
      <c r="BS11">
        <f>(0.93*0.943*(0.9442 - 0.0007*$B11 - dis_BMI*($C11-21.75)))*AO11</f>
        <v>1.721168488130522E-6</v>
      </c>
      <c r="BT11">
        <f>(0.93*0.943*(0.9442 - 0.0007*$B11 - dis_BMI*($C11-21.75))-0.19*0.5)*AP11</f>
        <v>1.9175460654701494E-6</v>
      </c>
      <c r="BU11">
        <f>(0.93*0.943*(0.9442 - 0.0007*$B11 - dis_BMI*($C11-21.75)))*AQ11</f>
        <v>5.6153423910213346E-6</v>
      </c>
      <c r="BV11">
        <f>0.962*(0.9442 - 0.0007*$B11 - dis_BMI*($C11-21.75))*AR11</f>
        <v>0.26562133167942759</v>
      </c>
      <c r="BW11">
        <f>0.962*0.959*(0.9442 - 0.0007*$B11 - dis_BMI*($C11-21.75))*AS11</f>
        <v>1.3257697261753456E-2</v>
      </c>
      <c r="BX11">
        <f>0.962*(0.943*(0.9442 - 0.0007*$B11 - dis_BMI*($C11-21.75)) - 0.19*0.5)*AT11</f>
        <v>1.2488501567259223E-3</v>
      </c>
      <c r="BY11">
        <f>0.962*(0.943*(0.9442 - 0.0007*$B11 - dis_BMI*($C11-21.75)))*AU11</f>
        <v>3.5569530602906881E-3</v>
      </c>
      <c r="BZ11">
        <f>0.962*(0.955*(0.9442 - 0.0007*$B11 - dis_BMI*($C11-21.75)) - 0.15*0.5)*AV11</f>
        <v>9.454756794133475E-4</v>
      </c>
      <c r="CA11">
        <f>0.962*(0.955*(0.9442 - 0.0007*$B11 - dis_BMI*($C11-21.75)))*AW11</f>
        <v>3.1403756441458265E-3</v>
      </c>
      <c r="CB11">
        <f>0.962*(0.955*0.943*(0.9442 - 0.0007*$B11 - dis_BMI*($C11-21.75)) - 0.19*0.5)*AX11</f>
        <v>1.4846967014670526E-5</v>
      </c>
      <c r="CC11">
        <f>0.962*(0.955*0.943*(0.9442 - 0.0007*$B11 - dis_BMI*($C11-21.75)) - 0.15*0.5)*AY11</f>
        <v>1.3546964485215372E-5</v>
      </c>
      <c r="CD11">
        <f>0.962*(0.955*0.943*(0.9442 - 0.0007*$B11 - dis_BMI*($C11-21.75)))*AZ11</f>
        <v>3.4628660394516715E-5</v>
      </c>
      <c r="CE11">
        <f>0.962*(0.93*(0.9442 - 0.0007*$B11 - dis_BMI*($C11-21.75)))*BA11</f>
        <v>1.6348700250642085E-4</v>
      </c>
      <c r="CF11">
        <f>0.962*(0.93*(0.9442 - 0.0007*$B11 - dis_BMI*($C11-21.75)))*BB11</f>
        <v>5.9332039970655653E-4</v>
      </c>
      <c r="CG11">
        <f>0.962*(0.93*0.943*(0.9442 - 0.0007*$B11 - dis_BMI*($C11-21.75)))*BC11</f>
        <v>2.295637385934792E-6</v>
      </c>
      <c r="CH11">
        <f>0.962*(0.93*0.943*(0.9442 - 0.0007*$B11 - dis_BMI*($C11-21.75))-0.19*0.5)*BD11</f>
        <v>2.5093424123709123E-6</v>
      </c>
      <c r="CI11">
        <f>0.962*(0.93*0.943*(0.9442 - 0.0007*$B11 - dis_BMI*($C11-21.75)))*BE11</f>
        <v>6.2498489056858609E-6</v>
      </c>
      <c r="CJ11">
        <f t="shared" si="17"/>
        <v>0</v>
      </c>
      <c r="CK11">
        <f t="shared" si="18"/>
        <v>0.79343478042349669</v>
      </c>
      <c r="CL11">
        <f>CK11/(1+r_)^A11</f>
        <v>0.62634474249215832</v>
      </c>
      <c r="CM11">
        <f t="shared" si="19"/>
        <v>0</v>
      </c>
      <c r="CN11">
        <f>AE11*c_Other</f>
        <v>281.47797942569036</v>
      </c>
      <c r="CO11">
        <f>AF11*(c_Stroke1+c_Stroke2)</f>
        <v>44.700243035908628</v>
      </c>
      <c r="CP11">
        <f>AG11*c_Stroke2</f>
        <v>35.978968722722122</v>
      </c>
      <c r="CQ11">
        <f>AH11*(c_MI1+c_MI2)</f>
        <v>38.507705917637651</v>
      </c>
      <c r="CR11">
        <f>AI11*c_MI2</f>
        <v>14.95339006848833</v>
      </c>
      <c r="CS11">
        <f>AJ11*(c_Stroke1+c_Stroke2+c_MI2)</f>
        <v>0.43573860427120836</v>
      </c>
      <c r="CT11">
        <f>AK11*(c_Stroke2+c_MI1+c_MI2)</f>
        <v>0.49930040158010586</v>
      </c>
      <c r="CU11">
        <f>AL11*(c_Stroke2+c_MI2)</f>
        <v>0.37401268011997729</v>
      </c>
      <c r="CV11">
        <f>AM11*(c_HF1)</f>
        <v>6.043899360174505</v>
      </c>
      <c r="CW11">
        <f>AN11*(c_HF2)</f>
        <v>15.160806186532444</v>
      </c>
      <c r="CX11">
        <f>AO11*(c_Stroke2+c_HF1)</f>
        <v>7.7103038660045906E-2</v>
      </c>
      <c r="CY11">
        <f>AP11*(c_Stroke1+c_Stroke2+c_HF2)</f>
        <v>0.11567383504699678</v>
      </c>
      <c r="CZ11">
        <f>AQ11*(c_Stroke2+c_HF2)</f>
        <v>0.16583695535751244</v>
      </c>
      <c r="DA11">
        <f>AR11*c_DM</f>
        <v>3696.1814414671735</v>
      </c>
      <c r="DB11">
        <f>AS11*(c_Other+c_DM)</f>
        <v>432.79708475681633</v>
      </c>
      <c r="DC11">
        <f>AT11*(c_Stroke1+c_Stroke2+c_DM)</f>
        <v>64.451201105278827</v>
      </c>
      <c r="DD11">
        <f>AU11*(c_Stroke2+c_DM)</f>
        <v>82.349265384035448</v>
      </c>
      <c r="DE11">
        <f>AV11*(c_MI1+c_MI2+c_DM)</f>
        <v>53.88557592619356</v>
      </c>
      <c r="DF11">
        <f>AW11*(c_MI2+c_DM)</f>
        <v>58.242028543052911</v>
      </c>
      <c r="DG11">
        <f>AX11*(c_Stroke1+c_Stroke2+c_MI2+c_DM)</f>
        <v>0.87884095113180594</v>
      </c>
      <c r="DH11">
        <f>AY11*(c_Stroke2+c_MI1+c_MI2+c_DM)</f>
        <v>0.95576540784391295</v>
      </c>
      <c r="DI11">
        <f>AZ11*(c_Stroke2+c_MI2+c_DM)</f>
        <v>0.98546627634885131</v>
      </c>
      <c r="DJ11">
        <f>BA11*(c_HF1+c_DM)</f>
        <v>8.233551798237345</v>
      </c>
      <c r="DK11">
        <f>BB11*(c_HF2+c_DM)</f>
        <v>21.003249984614172</v>
      </c>
      <c r="DL11">
        <f>BC11*(c_Stroke2+c_HF1+c_DM)</f>
        <v>0.14332461151844511</v>
      </c>
      <c r="DM11">
        <f>BD11*(c_Stroke1+c_Stroke2+c_HF2+c_DM)</f>
        <v>0.20295667520064584</v>
      </c>
      <c r="DN11">
        <f>BE11*(c_Stroke2+c_HF2+c_DM)</f>
        <v>0.29103321299863111</v>
      </c>
      <c r="DO11">
        <f t="shared" si="20"/>
        <v>0</v>
      </c>
      <c r="DP11">
        <f t="shared" si="21"/>
        <v>4859.0914443326337</v>
      </c>
      <c r="DQ11">
        <f>DP11/(1+r_)^A11</f>
        <v>3835.8116565320206</v>
      </c>
    </row>
    <row r="12" spans="1:121" x14ac:dyDescent="0.3">
      <c r="A12">
        <v>9</v>
      </c>
      <c r="B12">
        <v>54</v>
      </c>
      <c r="C12">
        <f t="shared" si="40"/>
        <v>38</v>
      </c>
      <c r="D12">
        <f t="shared" si="1"/>
        <v>125</v>
      </c>
      <c r="E12">
        <f t="shared" si="41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2"/>
        <v>5.6857293942168513E-2</v>
      </c>
      <c r="J12">
        <f t="shared" si="23"/>
        <v>0.13010456337574394</v>
      </c>
      <c r="K12">
        <f t="shared" si="24"/>
        <v>0.17733290176161487</v>
      </c>
      <c r="L12">
        <f t="shared" si="25"/>
        <v>6.3853597650266769E-2</v>
      </c>
      <c r="M12">
        <f t="shared" si="26"/>
        <v>8.8267994941903738E-2</v>
      </c>
      <c r="N12">
        <f t="shared" si="27"/>
        <v>0.2825145583211438</v>
      </c>
      <c r="O12">
        <f t="shared" si="28"/>
        <v>0.37444500220193244</v>
      </c>
      <c r="P12">
        <f t="shared" si="29"/>
        <v>0.15067112194129006</v>
      </c>
      <c r="Q12">
        <f t="shared" si="30"/>
        <v>0.20606486929391055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1.0475467235079444E-2</v>
      </c>
      <c r="U12">
        <f t="shared" si="31"/>
        <v>0.26165107951524191</v>
      </c>
      <c r="V12">
        <f t="shared" si="32"/>
        <v>0.34611471018654683</v>
      </c>
      <c r="W12">
        <f t="shared" si="33"/>
        <v>0.13376602266478577</v>
      </c>
      <c r="X12">
        <f t="shared" si="34"/>
        <v>0.18217825250316555</v>
      </c>
      <c r="Y12">
        <f t="shared" si="35"/>
        <v>0.43161324383101041</v>
      </c>
      <c r="Z12">
        <f t="shared" si="36"/>
        <v>0.54989418946151192</v>
      </c>
      <c r="AA12">
        <f t="shared" si="37"/>
        <v>0.24262355746859032</v>
      </c>
      <c r="AB12">
        <f t="shared" si="38"/>
        <v>0.32474330306373111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1.9603300613130176E-2</v>
      </c>
      <c r="AD12">
        <f t="shared" si="39"/>
        <v>0.51954638521455188</v>
      </c>
      <c r="AE12">
        <f t="shared" si="5"/>
        <v>2.1243354152338495E-2</v>
      </c>
      <c r="AF12">
        <f t="shared" si="6"/>
        <v>1.9232204958265042E-3</v>
      </c>
      <c r="AG12">
        <f t="shared" si="7"/>
        <v>6.0398039666011835E-3</v>
      </c>
      <c r="AH12">
        <f t="shared" si="8"/>
        <v>1.3332693407478854E-3</v>
      </c>
      <c r="AI12">
        <f t="shared" si="9"/>
        <v>5.2201158085759189E-3</v>
      </c>
      <c r="AJ12">
        <f t="shared" si="10"/>
        <v>1.9367641595640751E-5</v>
      </c>
      <c r="AK12">
        <f t="shared" si="11"/>
        <v>1.6545713909413907E-5</v>
      </c>
      <c r="AL12">
        <f t="shared" si="12"/>
        <v>5.0296999320171834E-5</v>
      </c>
      <c r="AM12">
        <f t="shared" si="13"/>
        <v>2.3074569936059827E-4</v>
      </c>
      <c r="AN12">
        <f t="shared" si="14"/>
        <v>1.1155341972119389E-3</v>
      </c>
      <c r="AO12">
        <f t="shared" si="15"/>
        <v>2.7859636549442772E-6</v>
      </c>
      <c r="AP12">
        <f>AM11*T11*p_Stroke*p_Stroke_rec*(1-I11) + AN11*T11*p_Stroke*p_Stroke_rec*(1-I11) + AO11*(p_recur_Stroke*p_Stroke_rec)*(1-I11) + AP11*(p_recur_Stroke*p_Stroke_rec)*(1-I11) + AQ11*(p_recur_Stroke*p_Stroke_rec)*(1-I11)</f>
        <v>3.7044154778284141E-6</v>
      </c>
      <c r="AQ12">
        <f>AO11*(1-p_recur_Stroke-H11*rr_Stroke*rr_HF)*(1-I11) + AP11*(1-p_recur_Stroke-H11*rr_Stroke*rr_HF)*(1-I11) + AQ11*(1-p_recur_Stroke-H11*rr_Stroke*rr_HF)*(1-I11)</f>
        <v>1.0268197716742068E-5</v>
      </c>
      <c r="AR12">
        <f>AR11*(1-AC11-H11*rr_DM) + AD11*(1-T11-H11)*I11</f>
        <v>0.34713625458120762</v>
      </c>
      <c r="AS12">
        <f>AR11*AC11*p_Other + AD11*T11*p_Other*I11 + AE11*(1-T11*p_Stroke-T11*p_MI-H11*rr_Other)*I11 + AS11*(1-AC11*p_Stroke-AC11*p_MI-H11*rr_Other*rr_DM)</f>
        <v>2.114578360420356E-2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2.1735920654330993E-3</v>
      </c>
      <c r="AU12">
        <f>AF11*(1-p_recur_Stroke-T11*p_MI-H11*rr_Stroke)*I11 + AG11*(1-p_recur_Stroke-T11*p_MI-H11*rr_Stroke)*I11 + AT11*(1-p_recur_Stroke-AC11*p_MI-H11*rr_Stroke*rr_DM) + AU11*(1-p_recur_Stroke-AC11*p_MI-H11*rr_Stroke*rr_DM)</f>
        <v>5.887722458546454E-3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1.555217746344342E-3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5.1228406159765996E-3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3.2239672312919279E-5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2.8185499433958954E-5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7.225827800079789E-5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2.5655664059497704E-4</v>
      </c>
      <c r="BB12">
        <f>AM11*(1-T11*p_Stroke - H11*rr_HF)*I11 + AN11*(1-T11*p_Stroke - H11*rr_HF)*I11 + BA11*(1-AC11*p_Stroke - H11*rr_HF*rr_DM) + BB11*(1-AC11*p_Stroke - H11*rr_HF*rr_DM)</f>
        <v>1.0449598437970184E-3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4.5418324540977235E-6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5.9013289413336806E-6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1.4116412437607252E-5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3.3764431613426092E-2</v>
      </c>
      <c r="BG12">
        <f t="shared" si="16"/>
        <v>0.97499999999999964</v>
      </c>
      <c r="BH12">
        <f>(0.9442 - 0.0007*$B12 - dis_BMI*($C12-21.75))*AD12</f>
        <v>0.44305616865133951</v>
      </c>
      <c r="BI12">
        <f>0.959*(0.9442 - 0.0007*$B12 - dis_BMI*($C12-21.75))*AE12</f>
        <v>1.7373053482432781E-2</v>
      </c>
      <c r="BJ12">
        <f>(0.943*(0.9442 - 0.0007*$B12 - dis_BMI*($C12-21.75)) - 0.19*0.5)*AF12</f>
        <v>1.3638841728002078E-3</v>
      </c>
      <c r="BK12">
        <f>(0.943*(0.9442 - 0.0007*$B12 - dis_BMI*($C12-21.75)))*AG12</f>
        <v>4.8570099794440803E-3</v>
      </c>
      <c r="BL12">
        <f>(0.955*(0.9442 - 0.0007*$B12 - dis_BMI*($C12-21.75)) - 0.15*0.5)*AH12</f>
        <v>9.8581951720765407E-4</v>
      </c>
      <c r="BM12">
        <f>(0.955*(0.9442 - 0.0007*$B12 - dis_BMI*($C12-21.75)))*AI12</f>
        <v>4.2512629670187043E-3</v>
      </c>
      <c r="BN12">
        <f>(0.955*0.943*(0.9442 - 0.0007*$B12 - dis_BMI*($C12-21.75)) - 0.19*0.5)*AJ12</f>
        <v>1.3034022229881789E-5</v>
      </c>
      <c r="BO12">
        <f>(0.955*0.943*(0.9442 - 0.0007*$B12 - dis_BMI*($C12-21.75)) - 0.15*0.5)*AK12</f>
        <v>1.146583753870055E-5</v>
      </c>
      <c r="BP12">
        <f>(0.955*0.943*(0.9442 - 0.0007*$B12 - dis_BMI*($C12-21.75)))*AL12</f>
        <v>3.86270552290649E-5</v>
      </c>
      <c r="BQ12">
        <f>(0.93*(0.9442 - 0.0007*$B12 - dis_BMI*($C12-21.75)))*AM12</f>
        <v>1.8299997230817783E-4</v>
      </c>
      <c r="BR12">
        <f>(0.93*(0.9442 - 0.0007*$B12 - dis_BMI*($C12-21.75)))*AN12</f>
        <v>8.8470869777549255E-4</v>
      </c>
      <c r="BS12">
        <f>(0.93*0.943*(0.9442 - 0.0007*$B12 - dis_BMI*($C12-21.75)))*AO12</f>
        <v>2.0835529786745996E-6</v>
      </c>
      <c r="BT12">
        <f>(0.93*0.943*(0.9442 - 0.0007*$B12 - dis_BMI*($C12-21.75))-0.19*0.5)*AP12</f>
        <v>2.4185208005624052E-6</v>
      </c>
      <c r="BU12">
        <f>(0.93*0.943*(0.9442 - 0.0007*$B12 - dis_BMI*($C12-21.75)))*AQ12</f>
        <v>7.679329879400589E-6</v>
      </c>
      <c r="BV12">
        <f>0.962*(0.9442 - 0.0007*$B12 - dis_BMI*($C12-21.75))*AR12</f>
        <v>0.28478001295947075</v>
      </c>
      <c r="BW12">
        <f>0.962*0.959*(0.9442 - 0.0007*$B12 - dis_BMI*($C12-21.75))*AS12</f>
        <v>1.6636115343606959E-2</v>
      </c>
      <c r="BX12">
        <f>0.962*(0.943*(0.9442 - 0.0007*$B12 - dis_BMI*($C12-21.75)) - 0.19*0.5)*AT12</f>
        <v>1.4828646873006246E-3</v>
      </c>
      <c r="BY12">
        <f>0.962*(0.943*(0.9442 - 0.0007*$B12 - dis_BMI*($C12-21.75)))*AU12</f>
        <v>4.5547920550836167E-3</v>
      </c>
      <c r="BZ12">
        <f>0.962*(0.955*(0.9442 - 0.0007*$B12 - dis_BMI*($C12-21.75)) - 0.15*0.5)*AV12</f>
        <v>1.1062309245993545E-3</v>
      </c>
      <c r="CA12">
        <f>0.962*(0.955*(0.9442 - 0.0007*$B12 - dis_BMI*($C12-21.75)))*AW12</f>
        <v>4.0135044405621755E-3</v>
      </c>
      <c r="CB12">
        <f>0.962*(0.955*0.943*(0.9442 - 0.0007*$B12 - dis_BMI*($C12-21.75)) - 0.19*0.5)*AX12</f>
        <v>2.0872160639758785E-5</v>
      </c>
      <c r="CC12">
        <f>0.962*(0.955*0.943*(0.9442 - 0.0007*$B12 - dis_BMI*($C12-21.75)) - 0.15*0.5)*AY12</f>
        <v>1.8789753381186052E-5</v>
      </c>
      <c r="CD12">
        <f>0.962*(0.955*0.943*(0.9442 - 0.0007*$B12 - dis_BMI*($C12-21.75)))*AZ12</f>
        <v>5.3384134253979626E-5</v>
      </c>
      <c r="CE12">
        <f>0.962*(0.93*(0.9442 - 0.0007*$B12 - dis_BMI*($C12-21.75)))*BA12</f>
        <v>1.9573826788880415E-4</v>
      </c>
      <c r="CF12">
        <f>0.962*(0.93*(0.9442 - 0.0007*$B12 - dis_BMI*($C12-21.75)))*BB12</f>
        <v>7.9724551024616219E-4</v>
      </c>
      <c r="CG12">
        <f>0.962*(0.93*0.943*(0.9442 - 0.0007*$B12 - dis_BMI*($C12-21.75)))*BC12</f>
        <v>3.2676481180082235E-6</v>
      </c>
      <c r="CH12">
        <f>0.962*(0.93*0.943*(0.9442 - 0.0007*$B12 - dis_BMI*($C12-21.75))-0.19*0.5)*BD12</f>
        <v>3.7064234234852446E-6</v>
      </c>
      <c r="CI12">
        <f>0.962*(0.93*0.943*(0.9442 - 0.0007*$B12 - dis_BMI*($C12-21.75)))*BE12</f>
        <v>1.0156136097261399E-5</v>
      </c>
      <c r="CJ12">
        <f t="shared" si="17"/>
        <v>0</v>
      </c>
      <c r="CK12">
        <f t="shared" si="18"/>
        <v>0.78670689620365497</v>
      </c>
      <c r="CL12">
        <f>CK12/(1+r_)^A12</f>
        <v>0.60294532870060213</v>
      </c>
      <c r="CM12">
        <f t="shared" si="19"/>
        <v>0</v>
      </c>
      <c r="CN12">
        <f>AE12*c_Other</f>
        <v>303.33385394124139</v>
      </c>
      <c r="CO12">
        <f>AF12*(c_Stroke1+c_Stroke2)</f>
        <v>45.803419328604022</v>
      </c>
      <c r="CP12">
        <f>AG12*c_Stroke2</f>
        <v>39.258725782907696</v>
      </c>
      <c r="CQ12">
        <f>AH12*(c_MI1+c_MI2)</f>
        <v>38.86613455214161</v>
      </c>
      <c r="CR12">
        <f>AI12*c_MI2</f>
        <v>16.271100975331141</v>
      </c>
      <c r="CS12">
        <f>AJ12*(c_Stroke1+c_Stroke2+c_MI2)</f>
        <v>0.52162869109539234</v>
      </c>
      <c r="CT12">
        <f>AK12*(c_Stroke2+c_MI1+c_MI2)</f>
        <v>0.58987124658451517</v>
      </c>
      <c r="CU12">
        <f>AL12*(c_Stroke2+c_MI2)</f>
        <v>0.48370624246209254</v>
      </c>
      <c r="CV12">
        <f>AM12*(c_HF1)</f>
        <v>6.2370562537169709</v>
      </c>
      <c r="CW12">
        <f>AN12*(c_HF2)</f>
        <v>17.407911147492307</v>
      </c>
      <c r="CX12">
        <f>AO12*(c_Stroke2+c_HF1)</f>
        <v>9.341336135028161E-2</v>
      </c>
      <c r="CY12">
        <f>AP12*(c_Stroke1+c_Stroke2+c_HF2)</f>
        <v>0.1460317625514739</v>
      </c>
      <c r="CZ12">
        <f>AQ12*(c_Stroke2+c_HF2)</f>
        <v>0.22697851052858342</v>
      </c>
      <c r="DA12">
        <f>AR12*c_DM</f>
        <v>3966.0317085902971</v>
      </c>
      <c r="DB12">
        <f>AS12*(c_Other+c_DM)</f>
        <v>543.53122176244835</v>
      </c>
      <c r="DC12">
        <f>AT12*(c_Stroke1+c_Stroke2+c_DM)</f>
        <v>76.599557977927859</v>
      </c>
      <c r="DD12">
        <f>AU12*(c_Stroke2+c_DM)</f>
        <v>105.53742506944519</v>
      </c>
      <c r="DE12">
        <f>AV12*(c_MI1+c_MI2+c_DM)</f>
        <v>63.104515275668021</v>
      </c>
      <c r="DF12">
        <f>AW12*(c_MI2+c_DM)</f>
        <v>74.496348237531706</v>
      </c>
      <c r="DG12">
        <f>AX12*(c_Stroke1+c_Stroke2+c_MI2+c_DM)</f>
        <v>1.2366493505789578</v>
      </c>
      <c r="DH12">
        <f>AY12*(c_Stroke2+c_MI1+c_MI2+c_DM)</f>
        <v>1.3268605713530517</v>
      </c>
      <c r="DI12">
        <f>AZ12*(c_Stroke2+c_MI2+c_DM)</f>
        <v>1.5204586856927893</v>
      </c>
      <c r="DJ12">
        <f>BA12*(c_HF1+c_DM)</f>
        <v>9.8658856140798417</v>
      </c>
      <c r="DK12">
        <f>BB12*(c_HF2+c_DM)</f>
        <v>28.245264577833407</v>
      </c>
      <c r="DL12">
        <f>BC12*(c_Stroke2+c_HF1+c_DM)</f>
        <v>0.20417807797396317</v>
      </c>
      <c r="DM12">
        <f>BD12*(c_Stroke1+c_Stroke2+c_HF2+c_DM)</f>
        <v>0.30005897135105231</v>
      </c>
      <c r="DN12">
        <f>BE12*(c_Stroke2+c_HF2+c_DM)</f>
        <v>0.47332330903297115</v>
      </c>
      <c r="DO12">
        <f t="shared" si="20"/>
        <v>0</v>
      </c>
      <c r="DP12">
        <f t="shared" si="21"/>
        <v>5341.713287867221</v>
      </c>
      <c r="DQ12">
        <f>DP12/(1+r_)^A12</f>
        <v>4093.9784432037272</v>
      </c>
    </row>
    <row r="13" spans="1:121" x14ac:dyDescent="0.3">
      <c r="A13">
        <v>10</v>
      </c>
      <c r="B13">
        <v>55</v>
      </c>
      <c r="C13">
        <f t="shared" si="40"/>
        <v>38</v>
      </c>
      <c r="D13">
        <f t="shared" si="1"/>
        <v>125</v>
      </c>
      <c r="E13">
        <f t="shared" si="41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2"/>
        <v>5.6857293942168513E-2</v>
      </c>
      <c r="J13">
        <f t="shared" si="23"/>
        <v>0.13628997281532307</v>
      </c>
      <c r="K13">
        <f t="shared" si="24"/>
        <v>0.1855135228502498</v>
      </c>
      <c r="L13">
        <f t="shared" si="25"/>
        <v>6.7010692604206334E-2</v>
      </c>
      <c r="M13">
        <f t="shared" si="26"/>
        <v>9.2571258355645281E-2</v>
      </c>
      <c r="N13">
        <f t="shared" si="27"/>
        <v>0.29638151174254102</v>
      </c>
      <c r="O13">
        <f t="shared" si="28"/>
        <v>0.39145988142874988</v>
      </c>
      <c r="P13">
        <f t="shared" si="29"/>
        <v>0.15878558946731613</v>
      </c>
      <c r="Q13">
        <f t="shared" si="30"/>
        <v>0.21676154082673293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1.0992686860575704E-2</v>
      </c>
      <c r="U13">
        <f t="shared" si="31"/>
        <v>0.27302903321031402</v>
      </c>
      <c r="V13">
        <f t="shared" si="32"/>
        <v>0.36018289777482371</v>
      </c>
      <c r="W13">
        <f t="shared" si="33"/>
        <v>0.14011110688534767</v>
      </c>
      <c r="X13">
        <f t="shared" si="34"/>
        <v>0.19055552909674034</v>
      </c>
      <c r="Y13">
        <f t="shared" si="35"/>
        <v>0.45017941598463684</v>
      </c>
      <c r="Z13">
        <f t="shared" si="36"/>
        <v>0.57052771440121797</v>
      </c>
      <c r="AA13">
        <f t="shared" si="37"/>
        <v>0.25489533222714067</v>
      </c>
      <c r="AB13">
        <f t="shared" si="38"/>
        <v>0.34015118972522473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2.0498339829818975E-2</v>
      </c>
      <c r="AD13">
        <f t="shared" si="39"/>
        <v>0.4824772066404972</v>
      </c>
      <c r="AE13">
        <f t="shared" si="5"/>
        <v>2.2578093135845995E-2</v>
      </c>
      <c r="AF13">
        <f t="shared" si="6"/>
        <v>1.9596970298157552E-3</v>
      </c>
      <c r="AG13">
        <f t="shared" si="7"/>
        <v>6.4767781258372103E-3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1.2335735769160019E-3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5.4685320739104697E-3</v>
      </c>
      <c r="AJ13">
        <f t="shared" si="10"/>
        <v>2.2676842871702197E-5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1.7621200818165942E-5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6.1039798331683282E-5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4.6079494362589074E-4</v>
      </c>
      <c r="AN13">
        <f t="shared" si="14"/>
        <v>1.2553744422887649E-3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6.3658731033707521E-6</v>
      </c>
      <c r="AP13">
        <f>AM12*T12*p_Stroke*p_Stroke_rec*(1-I12) + AN12*T12*p_Stroke*p_Stroke_rec*(1-I12) + AO12*(p_recur_Stroke*p_Stroke_rec)*(1-I12) + AP12*(p_recur_Stroke*p_Stroke_rec)*(1-I12) + AQ12*(p_recur_Stroke*p_Stroke_rec)*(1-I12)</f>
        <v>4.5594563255727815E-6</v>
      </c>
      <c r="AQ13">
        <f>AO12*(1-p_recur_Stroke-H12*rr_Stroke*rr_HF)*(1-I12) + AP12*(1-p_recur_Stroke-H12*rr_Stroke*rr_HF)*(1-I12) + AQ12*(1-p_recur_Stroke-H12*rr_Stroke*rr_HF)*(1-I12)</f>
        <v>1.3468751664347088E-5</v>
      </c>
      <c r="AR13">
        <f>AR12*(1-AC12-H12*rr_DM) + AD12*(1-T12-H12)*I12</f>
        <v>0.3674652231162352</v>
      </c>
      <c r="AS13">
        <f>AR12*AC12*p_Other + AD12*T12*p_Other*I12 + AE12*(1-T12*p_Stroke-T12*p_MI-H12*rr_Other)*I12 + AS12*(1-AC12*p_Stroke-AC12*p_MI-H12*rr_Other*rr_DM)</f>
        <v>2.5837188892824069E-2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2.5357647313665179E-3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7.3077509974847077E-3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1.6475560182782779E-3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6.2164193395130816E-3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4.3716300934177594E-5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3.4742767029789097E-5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1.0280619794330733E-4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5.7810088215249223E-4</v>
      </c>
      <c r="BB13">
        <f>AM12*(1-T12*p_Stroke - H12*rr_HF)*I12 + AN12*(1-T12*p_Stroke - H12*rr_HF)*I12 + BA12*(1-AC12*p_Stroke - H12*rr_HF*rr_DM) + BB12*(1-AC12*p_Stroke - H12*rr_HF*rr_DM)</f>
        <v>1.3580077011195681E-3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1.1846717652667554E-5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8.3850098644059553E-6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2.1637625976802294E-5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3.979507180977241E-2</v>
      </c>
      <c r="BG13">
        <f t="shared" si="16"/>
        <v>0.97499999999999976</v>
      </c>
      <c r="BH13">
        <f>(0.9442 - 0.0007*$B13 - dis_BMI*($C13-21.75))*AD13</f>
        <v>0.41110676584820166</v>
      </c>
      <c r="BI13">
        <f>0.959*(0.9442 - 0.0007*$B13 - dis_BMI*($C13-21.75))*AE13</f>
        <v>1.8449461331668211E-2</v>
      </c>
      <c r="BJ13">
        <f>(0.943*(0.9442 - 0.0007*$B13 - dis_BMI*($C13-21.75)) - 0.19*0.5)*AF13</f>
        <v>1.388458524586988E-3</v>
      </c>
      <c r="BK13">
        <f>(0.943*(0.9442 - 0.0007*$B13 - dis_BMI*($C13-21.75)))*AG13</f>
        <v>5.2041347804430947E-3</v>
      </c>
      <c r="BL13">
        <f>(0.955*(0.9442 - 0.0007*$B13 - dis_BMI*($C13-21.75)) - 0.15*0.5)*AH13</f>
        <v>9.1127981303222062E-4</v>
      </c>
      <c r="BM13">
        <f>(0.955*(0.9442 - 0.0007*$B13 - dis_BMI*($C13-21.75)))*AI13</f>
        <v>4.4499174908677859E-3</v>
      </c>
      <c r="BN13">
        <f>(0.955*0.943*(0.9442 - 0.0007*$B13 - dis_BMI*($C13-21.75)) - 0.19*0.5)*AJ13</f>
        <v>1.5246750867656173E-5</v>
      </c>
      <c r="BO13">
        <f>(0.955*0.943*(0.9442 - 0.0007*$B13 - dis_BMI*($C13-21.75)) - 0.15*0.5)*AK13</f>
        <v>1.2200019397410659E-5</v>
      </c>
      <c r="BP13">
        <f>(0.955*0.943*(0.9442 - 0.0007*$B13 - dis_BMI*($C13-21.75)))*AL13</f>
        <v>4.6838823471804486E-5</v>
      </c>
      <c r="BQ13">
        <f>(0.93*(0.9442 - 0.0007*$B13 - dis_BMI*($C13-21.75)))*AM13</f>
        <v>3.6514762197872874E-4</v>
      </c>
      <c r="BR13">
        <f>(0.93*(0.9442 - 0.0007*$B13 - dis_BMI*($C13-21.75)))*AN13</f>
        <v>9.9479605545927546E-4</v>
      </c>
      <c r="BS13">
        <f>(0.93*0.943*(0.9442 - 0.0007*$B13 - dis_BMI*($C13-21.75)))*AO13</f>
        <v>4.756970319621169E-6</v>
      </c>
      <c r="BT13">
        <f>(0.93*0.943*(0.9442 - 0.0007*$B13 - dis_BMI*($C13-21.75))-0.19*0.5)*AP13</f>
        <v>2.9739567016161993E-6</v>
      </c>
      <c r="BU13">
        <f>(0.93*0.943*(0.9442 - 0.0007*$B13 - dis_BMI*($C13-21.75)))*AQ13</f>
        <v>1.0064676261881782E-5</v>
      </c>
      <c r="BV13">
        <f>0.962*(0.9442 - 0.0007*$B13 - dis_BMI*($C13-21.75))*AR13</f>
        <v>0.30120982864726897</v>
      </c>
      <c r="BW13">
        <f>0.962*0.959*(0.9442 - 0.0007*$B13 - dis_BMI*($C13-21.75))*AS13</f>
        <v>2.0310319847517553E-2</v>
      </c>
      <c r="BX13">
        <f>0.962*(0.943*(0.9442 - 0.0007*$B13 - dis_BMI*($C13-21.75)) - 0.19*0.5)*AT13</f>
        <v>1.7283353233137385E-3</v>
      </c>
      <c r="BY13">
        <f>0.962*(0.943*(0.9442 - 0.0007*$B13 - dis_BMI*($C13-21.75)))*AU13</f>
        <v>5.6486976424024527E-3</v>
      </c>
      <c r="BZ13">
        <f>0.962*(0.955*(0.9442 - 0.0007*$B13 - dis_BMI*($C13-21.75)) - 0.15*0.5)*AV13</f>
        <v>1.1708518687441147E-3</v>
      </c>
      <c r="CA13">
        <f>0.962*(0.955*(0.9442 - 0.0007*$B13 - dis_BMI*($C13-21.75)))*AW13</f>
        <v>4.8662741244121163E-3</v>
      </c>
      <c r="CB13">
        <f>0.962*(0.955*0.943*(0.9442 - 0.0007*$B13 - dis_BMI*($C13-21.75)) - 0.19*0.5)*AX13</f>
        <v>2.8275688726029518E-5</v>
      </c>
      <c r="CC13">
        <f>0.962*(0.955*0.943*(0.9442 - 0.0007*$B13 - dis_BMI*($C13-21.75)) - 0.15*0.5)*AY13</f>
        <v>2.3140060855490954E-5</v>
      </c>
      <c r="CD13">
        <f>0.962*(0.955*0.943*(0.9442 - 0.0007*$B13 - dis_BMI*($C13-21.75)))*AZ13</f>
        <v>7.5890472647467626E-5</v>
      </c>
      <c r="CE13">
        <f>0.962*(0.93*(0.9442 - 0.0007*$B13 - dis_BMI*($C13-21.75)))*BA13</f>
        <v>4.4069637269316146E-4</v>
      </c>
      <c r="CF13">
        <f>0.962*(0.93*(0.9442 - 0.0007*$B13 - dis_BMI*($C13-21.75)))*BB13</f>
        <v>1.0352329263785963E-3</v>
      </c>
      <c r="CG13">
        <f>0.962*(0.93*0.943*(0.9442 - 0.0007*$B13 - dis_BMI*($C13-21.75)))*BC13</f>
        <v>8.5161945543866098E-6</v>
      </c>
      <c r="CH13">
        <f>0.962*(0.93*0.943*(0.9442 - 0.0007*$B13 - dis_BMI*($C13-21.75))-0.19*0.5)*BD13</f>
        <v>5.2613868031159222E-6</v>
      </c>
      <c r="CI13">
        <f>0.962*(0.93*0.943*(0.9442 - 0.0007*$B13 - dis_BMI*($C13-21.75)))*BE13</f>
        <v>1.5554539064413794E-5</v>
      </c>
      <c r="CJ13">
        <f t="shared" si="17"/>
        <v>0</v>
      </c>
      <c r="CK13">
        <f t="shared" si="18"/>
        <v>0.77952891775863942</v>
      </c>
      <c r="CL13">
        <f>CK13/(1+r_)^A13</f>
        <v>0.58004272419023328</v>
      </c>
      <c r="CM13">
        <f t="shared" si="19"/>
        <v>0</v>
      </c>
      <c r="CN13">
        <f>AE13*c_Other</f>
        <v>322.39259188674498</v>
      </c>
      <c r="CO13">
        <f>AF13*(c_Stroke1+c_Stroke2)</f>
        <v>46.672144462092028</v>
      </c>
      <c r="CP13">
        <f>AG13*c_Stroke2</f>
        <v>42.099057817941869</v>
      </c>
      <c r="CQ13">
        <f>AH13*(c_MI1+c_MI2)</f>
        <v>35.959903340678373</v>
      </c>
      <c r="CR13">
        <f>AI13*c_MI2</f>
        <v>17.045414474378934</v>
      </c>
      <c r="CS13">
        <f>AJ13*(c_Stroke1+c_Stroke2+c_MI2)</f>
        <v>0.6107554090635553</v>
      </c>
      <c r="CT13">
        <f>AK13*(c_Stroke2+c_MI1+c_MI2)</f>
        <v>0.62821343036843402</v>
      </c>
      <c r="CU13">
        <f>AL13*(c_Stroke2+c_MI2)</f>
        <v>0.58701974055579809</v>
      </c>
      <c r="CV13">
        <f>AM13*(c_HF1)</f>
        <v>12.455287326207827</v>
      </c>
      <c r="CW13">
        <f>AN13*(c_HF2)</f>
        <v>19.590118171916178</v>
      </c>
      <c r="CX13">
        <f>AO13*(c_Stroke2+c_HF1)</f>
        <v>0.21344772515602131</v>
      </c>
      <c r="CY13">
        <f>AP13*(c_Stroke1+c_Stroke2+c_HF2)</f>
        <v>0.17973832781040461</v>
      </c>
      <c r="CZ13">
        <f>AQ13*(c_Stroke2+c_HF2)</f>
        <v>0.29772675554039241</v>
      </c>
      <c r="DA13">
        <f>AR13*c_DM</f>
        <v>4198.2901741029873</v>
      </c>
      <c r="DB13">
        <f>AS13*(c_Other+c_DM)</f>
        <v>664.11910330114983</v>
      </c>
      <c r="DC13">
        <f>AT13*(c_Stroke1+c_Stroke2+c_DM)</f>
        <v>89.362884898087458</v>
      </c>
      <c r="DD13">
        <f>AU13*(c_Stroke2+c_DM)</f>
        <v>130.99143662991338</v>
      </c>
      <c r="DE13">
        <f>AV13*(c_MI1+c_MI2+c_DM)</f>
        <v>66.851232997659409</v>
      </c>
      <c r="DF13">
        <f>AW13*(c_MI2+c_DM)</f>
        <v>90.399170035199234</v>
      </c>
      <c r="DG13">
        <f>AX13*(c_Stroke1+c_Stroke2+c_MI2+c_DM)</f>
        <v>1.6768698712331842</v>
      </c>
      <c r="DH13">
        <f>AY13*(c_Stroke2+c_MI1+c_MI2+c_DM)</f>
        <v>1.6355505006943516</v>
      </c>
      <c r="DI13">
        <f>AZ13*(c_Stroke2+c_MI2+c_DM)</f>
        <v>2.1632480171230726</v>
      </c>
      <c r="DJ13">
        <f>BA13*(c_HF1+c_DM)</f>
        <v>22.230869423174088</v>
      </c>
      <c r="DK13">
        <f>BB13*(c_HF2+c_DM)</f>
        <v>36.706948161261927</v>
      </c>
      <c r="DL13">
        <f>BC13*(c_Stroke2+c_HF1+c_DM)</f>
        <v>0.53256919207566988</v>
      </c>
      <c r="DM13">
        <f>BD13*(c_Stroke1+c_Stroke2+c_HF2+c_DM)</f>
        <v>0.42634421156558522</v>
      </c>
      <c r="DN13">
        <f>BE13*(c_Stroke2+c_HF2+c_DM)</f>
        <v>0.72550959900218093</v>
      </c>
      <c r="DO13">
        <f t="shared" si="20"/>
        <v>0</v>
      </c>
      <c r="DP13">
        <f t="shared" si="21"/>
        <v>5804.8433298095797</v>
      </c>
      <c r="DQ13">
        <f>DP13/(1+r_)^A13</f>
        <v>4319.348598640152</v>
      </c>
    </row>
    <row r="14" spans="1:121" x14ac:dyDescent="0.3">
      <c r="A14">
        <v>11</v>
      </c>
      <c r="B14">
        <v>56</v>
      </c>
      <c r="C14">
        <f t="shared" si="40"/>
        <v>38</v>
      </c>
      <c r="D14">
        <f t="shared" si="1"/>
        <v>125</v>
      </c>
      <c r="E14">
        <f t="shared" si="41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22"/>
        <v>5.6857293942168513E-2</v>
      </c>
      <c r="J14">
        <f t="shared" si="23"/>
        <v>0.14262590166845646</v>
      </c>
      <c r="K14">
        <f t="shared" si="24"/>
        <v>0.19386892366095509</v>
      </c>
      <c r="L14">
        <f t="shared" si="25"/>
        <v>7.0256982948603386E-2</v>
      </c>
      <c r="M14">
        <f t="shared" si="26"/>
        <v>9.6990021856497854E-2</v>
      </c>
      <c r="N14">
        <f t="shared" si="27"/>
        <v>0.31050768497930537</v>
      </c>
      <c r="O14">
        <f t="shared" si="28"/>
        <v>0.40865099105271507</v>
      </c>
      <c r="P14">
        <f t="shared" si="29"/>
        <v>0.16713573569356366</v>
      </c>
      <c r="Q14">
        <f t="shared" si="30"/>
        <v>0.22772448747817897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1.1522907764164435E-2</v>
      </c>
      <c r="U14">
        <f t="shared" si="31"/>
        <v>0.28458490718877116</v>
      </c>
      <c r="V14">
        <f t="shared" si="32"/>
        <v>0.37438108767581402</v>
      </c>
      <c r="W14">
        <f t="shared" si="33"/>
        <v>0.14660917050485023</v>
      </c>
      <c r="X14">
        <f t="shared" si="34"/>
        <v>0.19910915871886059</v>
      </c>
      <c r="Y14">
        <f t="shared" si="35"/>
        <v>0.46883046753736946</v>
      </c>
      <c r="Z14">
        <f t="shared" si="36"/>
        <v>0.59096780417806882</v>
      </c>
      <c r="AA14">
        <f t="shared" si="37"/>
        <v>0.26743710923082042</v>
      </c>
      <c r="AB14">
        <f t="shared" si="38"/>
        <v>0.355790148274439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2.1409403237861335E-2</v>
      </c>
      <c r="AD14">
        <f t="shared" si="39"/>
        <v>0.44762367418090354</v>
      </c>
      <c r="AE14">
        <f t="shared" si="5"/>
        <v>2.3725136340891774E-2</v>
      </c>
      <c r="AF14">
        <f t="shared" si="6"/>
        <v>1.9864207782875195E-3</v>
      </c>
      <c r="AG14">
        <f t="shared" si="7"/>
        <v>6.8503475206720434E-3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1.2236987088924528E-3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5.587626732889193E-3</v>
      </c>
      <c r="AJ14">
        <f t="shared" si="10"/>
        <v>2.5254671475897877E-5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1.988051875048885E-5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7.1549208446080806E-5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4.6298825092161747E-4</v>
      </c>
      <c r="AN14">
        <f t="shared" si="14"/>
        <v>1.5988402438074228E-3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7.3011909839488527E-6</v>
      </c>
      <c r="AP14">
        <f>AM13*T13*p_Stroke*p_Stroke_rec*(1-I13) + AN13*T13*p_Stroke*p_Stroke_rec*(1-I13) + AO13*(p_recur_Stroke*p_Stroke_rec)*(1-I13) + AP13*(p_recur_Stroke*p_Stroke_rec)*(1-I13) + AQ13*(p_recur_Stroke*p_Stroke_rec)*(1-I13)</f>
        <v>6.3049153197646816E-6</v>
      </c>
      <c r="AQ14">
        <f>AO13*(1-p_recur_Stroke-H13*rr_Stroke*rr_HF)*(1-I13) + AP13*(1-p_recur_Stroke-H13*rr_Stroke*rr_HF)*(1-I13) + AQ13*(1-p_recur_Stroke-H13*rr_Stroke*rr_HF)*(1-I13)</f>
        <v>1.9549520807108423E-5</v>
      </c>
      <c r="AR14">
        <f>AR13*(1-AC13-H13*rr_DM) + AD13*(1-T13-H13)*I13</f>
        <v>0.38467129698128805</v>
      </c>
      <c r="AS14">
        <f>AR13*AC13*p_Other + AD13*T13*p_Other*I13 + AE13*(1-T13*p_Stroke-T13*p_MI-H13*rr_Other)*I13 + AS13*(1-AC13*p_Stroke-AC13*p_MI-H13*rr_Other*rr_DM)</f>
        <v>3.0871852386078931E-2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2.9124044169122742E-3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8.8425208128839455E-3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1.8533018242405793E-3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7.2612861139419865E-3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5.5643751265187412E-5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4.4865984980125049E-5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1.3929556316789077E-4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6.6002435973685374E-4</v>
      </c>
      <c r="BB14">
        <f>AM13*(1-T13*p_Stroke - H13*rr_HF)*I13 + AN13*(1-T13*p_Stroke - H13*rr_HF)*I13 + BA13*(1-AC13*p_Stroke - H13*rr_HF*rr_DM) + BB13*(1-AC13*p_Stroke - H13*rr_HF*rr_DM)</f>
        <v>2.0018246507229535E-3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1.5588509353906669E-5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1.340023969035808E-5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3.6565447483710608E-5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4.6411556175203955E-2</v>
      </c>
      <c r="BG14">
        <f t="shared" si="16"/>
        <v>0.97499999999999987</v>
      </c>
      <c r="BH14">
        <f>(0.9442 - 0.0007*$B14 - dis_BMI*($C14-21.75))*AD14</f>
        <v>0.38109560560576677</v>
      </c>
      <c r="BI14">
        <f>0.959*(0.9442 - 0.0007*$B14 - dis_BMI*($C14-21.75))*AE14</f>
        <v>1.9370829446185438E-2</v>
      </c>
      <c r="BJ14">
        <f>(0.943*(0.9442 - 0.0007*$B14 - dis_BMI*($C14-21.75)) - 0.19*0.5)*AF14</f>
        <v>1.4060812437406939E-3</v>
      </c>
      <c r="BK14">
        <f>(0.943*(0.9442 - 0.0007*$B14 - dis_BMI*($C14-21.75)))*AG14</f>
        <v>5.4997783870486669E-3</v>
      </c>
      <c r="BL14">
        <f>(0.955*(0.9442 - 0.0007*$B14 - dis_BMI*($C14-21.75)) - 0.15*0.5)*AH14</f>
        <v>9.031668931436291E-4</v>
      </c>
      <c r="BM14">
        <f>(0.955*(0.9442 - 0.0007*$B14 - dis_BMI*($C14-21.75)))*AI14</f>
        <v>4.5430932527764272E-3</v>
      </c>
      <c r="BN14">
        <f>(0.955*0.943*(0.9442 - 0.0007*$B14 - dis_BMI*($C14-21.75)) - 0.19*0.5)*AJ14</f>
        <v>1.6964030720502204E-5</v>
      </c>
      <c r="BO14">
        <f>(0.955*0.943*(0.9442 - 0.0007*$B14 - dis_BMI*($C14-21.75)) - 0.15*0.5)*AK14</f>
        <v>1.3751723143598963E-5</v>
      </c>
      <c r="BP14">
        <f>(0.955*0.943*(0.9442 - 0.0007*$B14 - dis_BMI*($C14-21.75)))*AL14</f>
        <v>5.4858103698851381E-5</v>
      </c>
      <c r="BQ14">
        <f>(0.93*(0.9442 - 0.0007*$B14 - dis_BMI*($C14-21.75)))*AM14</f>
        <v>3.6658425857940467E-4</v>
      </c>
      <c r="BR14">
        <f>(0.93*(0.9442 - 0.0007*$B14 - dis_BMI*($C14-21.75)))*AN14</f>
        <v>1.2659277296915366E-3</v>
      </c>
      <c r="BS14">
        <f>(0.93*0.943*(0.9442 - 0.0007*$B14 - dis_BMI*($C14-21.75)))*AO14</f>
        <v>5.4514149821477026E-6</v>
      </c>
      <c r="BT14">
        <f>(0.93*0.943*(0.9442 - 0.0007*$B14 - dis_BMI*($C14-21.75))-0.19*0.5)*AP14</f>
        <v>4.1085814310293556E-6</v>
      </c>
      <c r="BU14">
        <f>(0.93*0.943*(0.9442 - 0.0007*$B14 - dis_BMI*($C14-21.75)))*AQ14</f>
        <v>1.4596598124329476E-5</v>
      </c>
      <c r="BV14">
        <f>0.962*(0.9442 - 0.0007*$B14 - dis_BMI*($C14-21.75))*AR14</f>
        <v>0.31505454349968121</v>
      </c>
      <c r="BW14">
        <f>0.962*0.959*(0.9442 - 0.0007*$B14 - dis_BMI*($C14-21.75))*AS14</f>
        <v>2.4248074711847967E-2</v>
      </c>
      <c r="BX14">
        <f>0.962*(0.943*(0.9442 - 0.0007*$B14 - dis_BMI*($C14-21.75)) - 0.19*0.5)*AT14</f>
        <v>1.9831972829348812E-3</v>
      </c>
      <c r="BY14">
        <f>0.962*(0.943*(0.9442 - 0.0007*$B14 - dis_BMI*($C14-21.75)))*AU14</f>
        <v>6.8294188474537186E-3</v>
      </c>
      <c r="BZ14">
        <f>0.962*(0.955*(0.9442 - 0.0007*$B14 - dis_BMI*($C14-21.75)) - 0.15*0.5)*AV14</f>
        <v>1.315875294000449E-3</v>
      </c>
      <c r="CA14">
        <f>0.962*(0.955*(0.9442 - 0.0007*$B14 - dis_BMI*($C14-21.75)))*AW14</f>
        <v>5.6795363881065875E-3</v>
      </c>
      <c r="CB14">
        <f>0.962*(0.955*0.943*(0.9442 - 0.0007*$B14 - dis_BMI*($C14-21.75)) - 0.19*0.5)*AX14</f>
        <v>3.5956614961723884E-5</v>
      </c>
      <c r="CC14">
        <f>0.962*(0.955*0.943*(0.9442 - 0.0007*$B14 - dis_BMI*($C14-21.75)) - 0.15*0.5)*AY14</f>
        <v>2.9855316981832551E-5</v>
      </c>
      <c r="CD14">
        <f>0.962*(0.955*0.943*(0.9442 - 0.0007*$B14 - dis_BMI*($C14-21.75)))*AZ14</f>
        <v>1.0274207041060099E-4</v>
      </c>
      <c r="CE14">
        <f>0.962*(0.93*(0.9442 - 0.0007*$B14 - dis_BMI*($C14-21.75)))*BA14</f>
        <v>5.0273471854616052E-4</v>
      </c>
      <c r="CF14">
        <f>0.962*(0.93*(0.9442 - 0.0007*$B14 - dis_BMI*($C14-21.75)))*BB14</f>
        <v>1.5247721353211998E-3</v>
      </c>
      <c r="CG14">
        <f>0.962*(0.93*0.943*(0.9442 - 0.0007*$B14 - dis_BMI*($C14-21.75)))*BC14</f>
        <v>1.1196832838668573E-5</v>
      </c>
      <c r="CH14">
        <f>0.962*(0.93*0.943*(0.9442 - 0.0007*$B14 - dis_BMI*($C14-21.75))-0.19*0.5)*BD14</f>
        <v>8.400406062634466E-6</v>
      </c>
      <c r="CI14">
        <f>0.962*(0.93*0.943*(0.9442 - 0.0007*$B14 - dis_BMI*($C14-21.75)))*BE14</f>
        <v>2.6264038071325736E-5</v>
      </c>
      <c r="CJ14">
        <f t="shared" si="17"/>
        <v>0</v>
      </c>
      <c r="CK14">
        <f t="shared" si="18"/>
        <v>0.771913365426252</v>
      </c>
      <c r="CL14">
        <f>CK14/(1+r_)^A14</f>
        <v>0.55764663887487986</v>
      </c>
      <c r="CM14">
        <f t="shared" si="19"/>
        <v>0</v>
      </c>
      <c r="CN14">
        <f>AE14*c_Other</f>
        <v>338.77122181159365</v>
      </c>
      <c r="CO14">
        <f>AF14*(c_Stroke1+c_Stroke2)</f>
        <v>47.308597255695567</v>
      </c>
      <c r="CP14">
        <f>AG14*c_Stroke2</f>
        <v>44.52725888436828</v>
      </c>
      <c r="CQ14">
        <f>AH14*(c_MI1+c_MI2)</f>
        <v>35.672041062923896</v>
      </c>
      <c r="CR14">
        <f>AI14*c_MI2</f>
        <v>17.416632526415615</v>
      </c>
      <c r="CS14">
        <f>AJ14*(c_Stroke1+c_Stroke2+c_MI2)</f>
        <v>0.68018406686035748</v>
      </c>
      <c r="CT14">
        <f>AK14*(c_Stroke2+c_MI1+c_MI2)</f>
        <v>0.70876037397367797</v>
      </c>
      <c r="CU14">
        <f>AL14*(c_Stroke2+c_MI2)</f>
        <v>0.68808873762595912</v>
      </c>
      <c r="CV14">
        <f>AM14*(c_HF1)</f>
        <v>12.51457242241132</v>
      </c>
      <c r="CW14">
        <f>AN14*(c_HF2)</f>
        <v>24.949902004614835</v>
      </c>
      <c r="CX14">
        <f>AO14*(c_Stroke2+c_HF1)</f>
        <v>0.24480893369180504</v>
      </c>
      <c r="CY14">
        <f>AP14*(c_Stroke1+c_Stroke2+c_HF2)</f>
        <v>0.2485460668204435</v>
      </c>
      <c r="CZ14">
        <f>AQ14*(c_Stroke2+c_HF2)</f>
        <v>0.43214215744113171</v>
      </c>
      <c r="DA14">
        <f>AR14*c_DM</f>
        <v>4394.869568011216</v>
      </c>
      <c r="DB14">
        <f>AS14*(c_Other+c_DM)</f>
        <v>793.53009373177281</v>
      </c>
      <c r="DC14">
        <f>AT14*(c_Stroke1+c_Stroke2+c_DM)</f>
        <v>102.63604405640545</v>
      </c>
      <c r="DD14">
        <f>AU14*(c_Stroke2+c_DM)</f>
        <v>158.50218557094473</v>
      </c>
      <c r="DE14">
        <f>AV14*(c_MI1+c_MI2+c_DM)</f>
        <v>75.199574820385749</v>
      </c>
      <c r="DF14">
        <f>AW14*(c_MI2+c_DM)</f>
        <v>105.59362266894436</v>
      </c>
      <c r="DG14">
        <f>AX14*(c_Stroke1+c_Stroke2+c_MI2+c_DM)</f>
        <v>2.1343830110300588</v>
      </c>
      <c r="DH14">
        <f>AY14*(c_Stroke2+c_MI1+c_MI2+c_DM)</f>
        <v>2.1121111089243669</v>
      </c>
      <c r="DI14">
        <f>AZ14*(c_Stroke2+c_MI2+c_DM)</f>
        <v>2.9310572401787574</v>
      </c>
      <c r="DJ14">
        <f>BA14*(c_HF1+c_DM)</f>
        <v>25.38123675368071</v>
      </c>
      <c r="DK14">
        <f>BB14*(c_HF2+c_DM)</f>
        <v>54.109320309041436</v>
      </c>
      <c r="DL14">
        <f>BC14*(c_Stroke2+c_HF1+c_DM)</f>
        <v>0.70078143800487425</v>
      </c>
      <c r="DM14">
        <f>BD14*(c_Stroke1+c_Stroke2+c_HF2+c_DM)</f>
        <v>0.68134858729594694</v>
      </c>
      <c r="DN14">
        <f>BE14*(c_Stroke2+c_HF2+c_DM)</f>
        <v>1.2260394541288167</v>
      </c>
      <c r="DO14">
        <f t="shared" si="20"/>
        <v>0</v>
      </c>
      <c r="DP14">
        <f t="shared" si="21"/>
        <v>6243.7701230663915</v>
      </c>
      <c r="DQ14">
        <f>DP14/(1+r_)^A14</f>
        <v>4510.632383094834</v>
      </c>
    </row>
    <row r="15" spans="1:121" x14ac:dyDescent="0.3">
      <c r="A15">
        <v>12</v>
      </c>
      <c r="B15">
        <v>57</v>
      </c>
      <c r="C15">
        <f t="shared" si="40"/>
        <v>38</v>
      </c>
      <c r="D15">
        <f t="shared" si="1"/>
        <v>125</v>
      </c>
      <c r="E15">
        <f t="shared" si="41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2"/>
        <v>5.6857293942168513E-2</v>
      </c>
      <c r="J15">
        <f t="shared" si="23"/>
        <v>0.14911090634593571</v>
      </c>
      <c r="K15">
        <f t="shared" si="24"/>
        <v>0.20239534427462924</v>
      </c>
      <c r="L15">
        <f t="shared" si="25"/>
        <v>7.3592763344100476E-2</v>
      </c>
      <c r="M15">
        <f t="shared" si="26"/>
        <v>0.10152416432900568</v>
      </c>
      <c r="N15">
        <f t="shared" si="27"/>
        <v>0.32487695705321507</v>
      </c>
      <c r="O15">
        <f t="shared" si="28"/>
        <v>0.42598932108248644</v>
      </c>
      <c r="P15">
        <f t="shared" si="29"/>
        <v>0.17571925247212461</v>
      </c>
      <c r="Q15">
        <f t="shared" si="30"/>
        <v>0.23894660869123441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1.2065961763477406E-2</v>
      </c>
      <c r="U15">
        <f t="shared" si="31"/>
        <v>0.29630910041368475</v>
      </c>
      <c r="V15">
        <f t="shared" si="32"/>
        <v>0.38869251451399112</v>
      </c>
      <c r="W15">
        <f t="shared" si="33"/>
        <v>0.15325861996171286</v>
      </c>
      <c r="X15">
        <f t="shared" si="34"/>
        <v>0.20783509986911508</v>
      </c>
      <c r="Y15">
        <f t="shared" si="35"/>
        <v>0.48752935734505176</v>
      </c>
      <c r="Z15">
        <f t="shared" si="36"/>
        <v>0.61116486450624397</v>
      </c>
      <c r="AA15">
        <f t="shared" si="37"/>
        <v>0.2802377639101985</v>
      </c>
      <c r="AB15">
        <f t="shared" si="38"/>
        <v>0.37163828091634599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2.2335774895703035E-2</v>
      </c>
      <c r="AD15">
        <f t="shared" si="39"/>
        <v>0.4148445411366361</v>
      </c>
      <c r="AE15">
        <f t="shared" si="5"/>
        <v>2.4687609026474856E-2</v>
      </c>
      <c r="AF15">
        <f t="shared" si="6"/>
        <v>2.0040312868175657E-3</v>
      </c>
      <c r="AG15">
        <f t="shared" si="7"/>
        <v>7.1608450675325272E-3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1.2105645314625573E-3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5.6726231773471325E-3</v>
      </c>
      <c r="AJ15">
        <f t="shared" si="10"/>
        <v>2.781295147517835E-5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2.2114200231857308E-5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8.2101582430743898E-5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4.6331541159569476E-4</v>
      </c>
      <c r="AN15">
        <f t="shared" si="14"/>
        <v>1.9187902053018784E-3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8.2373194960141E-6</v>
      </c>
      <c r="AP15">
        <f>AM14*T14*p_Stroke*p_Stroke_rec*(1-I14) + AN14*T14*p_Stroke*p_Stroke_rec*(1-I14) + AO14*(p_recur_Stroke*p_Stroke_rec)*(1-I14) + AP14*(p_recur_Stroke*p_Stroke_rec)*(1-I14) + AQ14*(p_recur_Stroke*p_Stroke_rec)*(1-I14)</f>
        <v>8.1936738847762072E-6</v>
      </c>
      <c r="AQ15">
        <f>AO14*(1-p_recur_Stroke-H14*rr_Stroke*rr_HF)*(1-I14) + AP14*(1-p_recur_Stroke-H14*rr_Stroke*rr_HF)*(1-I14) + AQ14*(1-p_recur_Stroke-H14*rr_Stroke*rr_HF)*(1-I14)</f>
        <v>2.6478430777714552E-5</v>
      </c>
      <c r="AR15">
        <f>AR14*(1-AC14-H14*rr_DM) + AD14*(1-T14-H14)*I14</f>
        <v>0.3988629060987291</v>
      </c>
      <c r="AS15">
        <f>AR14*AC14*p_Other + AD14*T14*p_Other*I14 + AE14*(1-T14*p_Stroke-T14*p_MI-H14*rr_Other)*I14 + AS14*(1-AC14*p_Stroke-AC14*p_MI-H14*rr_Other*rr_DM)</f>
        <v>3.6198619883074858E-2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3.3010625626474525E-3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1.0473726778715296E-2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2.0611392793356744E-3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8.3570855344051228E-3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6.9442384154711653E-5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5.656551933532416E-5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1.8281534323943846E-4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7.4434021782772528E-4</v>
      </c>
      <c r="BB15">
        <f>AM14*(1-T14*p_Stroke - H14*rr_HF)*I14 + AN14*(1-T14*p_Stroke - H14*rr_HF)*I14 + BA14*(1-AC14*p_Stroke - H14*rr_HF*rr_DM) + BB14*(1-AC14*p_Stroke - H14*rr_HF*rr_DM)</f>
        <v>2.7319019549863085E-3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1.9983376219683413E-5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1.9789925881016888E-5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5.677766473305935E-5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5.3726585475250221E-2</v>
      </c>
      <c r="BG15">
        <f t="shared" si="16"/>
        <v>0.97499999999999976</v>
      </c>
      <c r="BH15">
        <f>(0.9442 - 0.0007*$B15 - dis_BMI*($C15-21.75))*AD15</f>
        <v>0.35289788003140787</v>
      </c>
      <c r="BI15">
        <f>0.959*(0.9442 - 0.0007*$B15 - dis_BMI*($C15-21.75))*AE15</f>
        <v>2.0140085404444039E-2</v>
      </c>
      <c r="BJ15">
        <f>(0.943*(0.9442 - 0.0007*$B15 - dis_BMI*($C15-21.75)) - 0.19*0.5)*AF15</f>
        <v>1.4172239217157925E-3</v>
      </c>
      <c r="BK15">
        <f>(0.943*(0.9442 - 0.0007*$B15 - dis_BMI*($C15-21.75)))*AG15</f>
        <v>5.7443334207873077E-3</v>
      </c>
      <c r="BL15">
        <f>(0.955*(0.9442 - 0.0007*$B15 - dis_BMI*($C15-21.75)) - 0.15*0.5)*AH15</f>
        <v>8.9266377871613305E-4</v>
      </c>
      <c r="BM15">
        <f>(0.955*(0.9442 - 0.0007*$B15 - dis_BMI*($C15-21.75)))*AI15</f>
        <v>4.6084085789272321E-3</v>
      </c>
      <c r="BN15">
        <f>(0.955*0.943*(0.9442 - 0.0007*$B15 - dis_BMI*($C15-21.75)) - 0.19*0.5)*AJ15</f>
        <v>1.8664941633500986E-5</v>
      </c>
      <c r="BO15">
        <f>(0.955*0.943*(0.9442 - 0.0007*$B15 - dis_BMI*($C15-21.75)) - 0.15*0.5)*AK15</f>
        <v>1.5282861315086857E-5</v>
      </c>
      <c r="BP15">
        <f>(0.955*0.943*(0.9442 - 0.0007*$B15 - dis_BMI*($C15-21.75)))*AL15</f>
        <v>6.2897047867299118E-5</v>
      </c>
      <c r="BQ15">
        <f>(0.93*(0.9442 - 0.0007*$B15 - dis_BMI*($C15-21.75)))*AM15</f>
        <v>3.6654167911602591E-4</v>
      </c>
      <c r="BR15">
        <f>(0.93*(0.9442 - 0.0007*$B15 - dis_BMI*($C15-21.75)))*AN15</f>
        <v>1.5180081778425132E-3</v>
      </c>
      <c r="BS15">
        <f>(0.93*0.943*(0.9442 - 0.0007*$B15 - dis_BMI*($C15-21.75)))*AO15</f>
        <v>6.1453160326947415E-6</v>
      </c>
      <c r="BT15">
        <f>(0.93*0.943*(0.9442 - 0.0007*$B15 - dis_BMI*($C15-21.75))-0.19*0.5)*AP15</f>
        <v>5.334355926915306E-6</v>
      </c>
      <c r="BU15">
        <f>(0.93*0.943*(0.9442 - 0.0007*$B15 - dis_BMI*($C15-21.75)))*AQ15</f>
        <v>1.9753795546915933E-5</v>
      </c>
      <c r="BV15">
        <f>0.962*(0.9442 - 0.0007*$B15 - dis_BMI*($C15-21.75))*AR15</f>
        <v>0.326409199945006</v>
      </c>
      <c r="BW15">
        <f>0.962*0.959*(0.9442 - 0.0007*$B15 - dis_BMI*($C15-21.75))*AS15</f>
        <v>2.8408569253070712E-2</v>
      </c>
      <c r="BX15">
        <f>0.962*(0.943*(0.9442 - 0.0007*$B15 - dis_BMI*($C15-21.75)) - 0.19*0.5)*AT15</f>
        <v>2.2457572179117691E-3</v>
      </c>
      <c r="BY15">
        <f>0.962*(0.943*(0.9442 - 0.0007*$B15 - dis_BMI*($C15-21.75)))*AU15</f>
        <v>8.0826109538572177E-3</v>
      </c>
      <c r="BZ15">
        <f>0.962*(0.955*(0.9442 - 0.0007*$B15 - dis_BMI*($C15-21.75)) - 0.15*0.5)*AV15</f>
        <v>1.4621178509720766E-3</v>
      </c>
      <c r="CA15">
        <f>0.962*(0.955*(0.9442 - 0.0007*$B15 - dis_BMI*($C15-21.75)))*AW15</f>
        <v>6.5312598168009665E-3</v>
      </c>
      <c r="CB15">
        <f>0.962*(0.955*0.943*(0.9442 - 0.0007*$B15 - dis_BMI*($C15-21.75)) - 0.19*0.5)*AX15</f>
        <v>4.4831085347427156E-5</v>
      </c>
      <c r="CC15">
        <f>0.962*(0.955*0.943*(0.9442 - 0.0007*$B15 - dis_BMI*($C15-21.75)) - 0.15*0.5)*AY15</f>
        <v>3.7606272213512791E-5</v>
      </c>
      <c r="CD15">
        <f>0.962*(0.955*0.943*(0.9442 - 0.0007*$B15 - dis_BMI*($C15-21.75)))*AZ15</f>
        <v>1.3473066343079937E-4</v>
      </c>
      <c r="CE15">
        <f>0.962*(0.93*(0.9442 - 0.0007*$B15 - dis_BMI*($C15-21.75)))*BA15</f>
        <v>5.6649121009750495E-4</v>
      </c>
      <c r="CF15">
        <f>0.962*(0.93*(0.9442 - 0.0007*$B15 - dis_BMI*($C15-21.75)))*BB15</f>
        <v>2.0791546758879005E-3</v>
      </c>
      <c r="CG15">
        <f>0.962*(0.93*0.943*(0.9442 - 0.0007*$B15 - dis_BMI*($C15-21.75)))*BC15</f>
        <v>1.4341753304711421E-5</v>
      </c>
      <c r="CH15">
        <f>0.962*(0.93*0.943*(0.9442 - 0.0007*$B15 - dis_BMI*($C15-21.75))-0.19*0.5)*BD15</f>
        <v>1.2394315727585166E-5</v>
      </c>
      <c r="CI15">
        <f>0.962*(0.93*0.943*(0.9442 - 0.0007*$B15 - dis_BMI*($C15-21.75)))*BE15</f>
        <v>4.0748432690622261E-5</v>
      </c>
      <c r="CJ15">
        <f t="shared" si="17"/>
        <v>0</v>
      </c>
      <c r="CK15">
        <f t="shared" si="18"/>
        <v>0.76378303675759818</v>
      </c>
      <c r="CL15">
        <f>CK15/(1+r_)^A15</f>
        <v>0.53570205481446942</v>
      </c>
      <c r="CM15">
        <f t="shared" si="19"/>
        <v>0</v>
      </c>
      <c r="CN15">
        <f>AE15*c_Other</f>
        <v>352.51436928903445</v>
      </c>
      <c r="CO15">
        <f>AF15*(c_Stroke1+c_Stroke2)</f>
        <v>47.728009126847141</v>
      </c>
      <c r="CP15">
        <f>AG15*c_Stroke2</f>
        <v>46.545492938961424</v>
      </c>
      <c r="CQ15">
        <f>AH15*(c_MI1+c_MI2)</f>
        <v>35.289166656665003</v>
      </c>
      <c r="CR15">
        <f>AI15*c_MI2</f>
        <v>17.681566443791013</v>
      </c>
      <c r="CS15">
        <f>AJ15*(c_Stroke1+c_Stroke2+c_MI2)</f>
        <v>0.74908622208097853</v>
      </c>
      <c r="CT15">
        <f>AK15*(c_Stroke2+c_MI1+c_MI2)</f>
        <v>0.78839335246594489</v>
      </c>
      <c r="CU15">
        <f>AL15*(c_Stroke2+c_MI2)</f>
        <v>0.78957091823646408</v>
      </c>
      <c r="CV15">
        <f>AM15*(c_HF1)</f>
        <v>12.523415575431629</v>
      </c>
      <c r="CW15">
        <f>AN15*(c_HF2)</f>
        <v>29.942721153735814</v>
      </c>
      <c r="CX15">
        <f>AO15*(c_Stroke2+c_HF1)</f>
        <v>0.27619732270135278</v>
      </c>
      <c r="CY15">
        <f>AP15*(c_Stroke1+c_Stroke2+c_HF2)</f>
        <v>0.32300281821176285</v>
      </c>
      <c r="CZ15">
        <f>AQ15*(c_Stroke2+c_HF2)</f>
        <v>0.58530571234138018</v>
      </c>
      <c r="DA15">
        <f>AR15*c_DM</f>
        <v>4557.00870217798</v>
      </c>
      <c r="DB15">
        <f>AS15*(c_Other+c_DM)</f>
        <v>930.44932547455619</v>
      </c>
      <c r="DC15">
        <f>AT15*(c_Stroke1+c_Stroke2+c_DM)</f>
        <v>116.33274577025887</v>
      </c>
      <c r="DD15">
        <f>AU15*(c_Stroke2+c_DM)</f>
        <v>187.7415525084717</v>
      </c>
      <c r="DE15">
        <f>AV15*(c_MI1+c_MI2+c_DM)</f>
        <v>83.632787398324325</v>
      </c>
      <c r="DF15">
        <f>AW15*(c_MI2+c_DM)</f>
        <v>121.5287378413193</v>
      </c>
      <c r="DG15">
        <f>AX15*(c_Stroke1+c_Stroke2+c_MI2+c_DM)</f>
        <v>2.6636709714064297</v>
      </c>
      <c r="DH15">
        <f>AY15*(c_Stroke2+c_MI1+c_MI2+c_DM)</f>
        <v>2.66287838822972</v>
      </c>
      <c r="DI15">
        <f>AZ15*(c_Stroke2+c_MI2+c_DM)</f>
        <v>3.8468004524442643</v>
      </c>
      <c r="DJ15">
        <f>BA15*(c_HF1+c_DM)</f>
        <v>28.623603076565175</v>
      </c>
      <c r="DK15">
        <f>BB15*(c_HF2+c_DM)</f>
        <v>73.843309843279911</v>
      </c>
      <c r="DL15">
        <f>BC15*(c_Stroke2+c_HF1+c_DM)</f>
        <v>0.89835267795586782</v>
      </c>
      <c r="DM15">
        <f>BD15*(c_Stroke1+c_Stroke2+c_HF2+c_DM)</f>
        <v>1.0062385713461848</v>
      </c>
      <c r="DN15">
        <f>BE15*(c_Stroke2+c_HF2+c_DM)</f>
        <v>1.90375509849948</v>
      </c>
      <c r="DO15">
        <f t="shared" si="20"/>
        <v>0</v>
      </c>
      <c r="DP15">
        <f t="shared" si="21"/>
        <v>6657.8787577811408</v>
      </c>
      <c r="DQ15">
        <f>DP15/(1+r_)^A15</f>
        <v>4669.7022054718782</v>
      </c>
    </row>
    <row r="16" spans="1:121" x14ac:dyDescent="0.3">
      <c r="A16">
        <v>13</v>
      </c>
      <c r="B16">
        <v>58</v>
      </c>
      <c r="C16">
        <f t="shared" si="40"/>
        <v>38</v>
      </c>
      <c r="D16">
        <f t="shared" si="1"/>
        <v>125</v>
      </c>
      <c r="E16">
        <f t="shared" si="41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22"/>
        <v>5.6857293942168513E-2</v>
      </c>
      <c r="J16">
        <f t="shared" si="23"/>
        <v>0.1557433823682417</v>
      </c>
      <c r="K16">
        <f t="shared" si="24"/>
        <v>0.21108877880744714</v>
      </c>
      <c r="L16">
        <f t="shared" si="25"/>
        <v>7.7018277977324967E-2</v>
      </c>
      <c r="M16">
        <f t="shared" si="26"/>
        <v>0.10617347757750195</v>
      </c>
      <c r="N16">
        <f t="shared" si="27"/>
        <v>0.33947234022153427</v>
      </c>
      <c r="O16">
        <f t="shared" si="28"/>
        <v>0.44344512613347153</v>
      </c>
      <c r="P16">
        <f t="shared" si="29"/>
        <v>0.18453340798008655</v>
      </c>
      <c r="Q16">
        <f t="shared" si="30"/>
        <v>0.25042014778718646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1.2621663382859924E-2</v>
      </c>
      <c r="U16">
        <f t="shared" si="31"/>
        <v>0.30819167070411946</v>
      </c>
      <c r="V16">
        <f t="shared" si="32"/>
        <v>0.40310014668754612</v>
      </c>
      <c r="W16">
        <f t="shared" si="33"/>
        <v>0.16005769404458148</v>
      </c>
      <c r="X16">
        <f t="shared" si="34"/>
        <v>0.2167290570032917</v>
      </c>
      <c r="Y16">
        <f t="shared" si="35"/>
        <v>0.50623871494937189</v>
      </c>
      <c r="Z16">
        <f t="shared" si="36"/>
        <v>0.63107085513354821</v>
      </c>
      <c r="AA16">
        <f t="shared" si="37"/>
        <v>0.29328539045867963</v>
      </c>
      <c r="AB16">
        <f t="shared" si="38"/>
        <v>0.3876728161522971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2.3276711825252067E-2</v>
      </c>
      <c r="AD16">
        <f t="shared" si="39"/>
        <v>0.3840749110031626</v>
      </c>
      <c r="AE16">
        <f t="shared" si="5"/>
        <v>2.5475653760545666E-2</v>
      </c>
      <c r="AF16">
        <f t="shared" si="6"/>
        <v>2.0126638554691561E-3</v>
      </c>
      <c r="AG16">
        <f t="shared" si="7"/>
        <v>7.4133565190493715E-3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1.1943108899504025E-3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5.7269835926242133E-3</v>
      </c>
      <c r="AJ16">
        <f t="shared" si="10"/>
        <v>3.0321882036456236E-5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2.4296374779258401E-5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9.2617367948378008E-5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4.6186960399784008E-4</v>
      </c>
      <c r="AN16">
        <f t="shared" si="14"/>
        <v>2.214703100523365E-3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9.1621432057439717E-6</v>
      </c>
      <c r="AP16">
        <f>AM15*T15*p_Stroke*p_Stroke_rec*(1-I15) + AN15*T15*p_Stroke*p_Stroke_rec*(1-I15) + AO15*(p_recur_Stroke*p_Stroke_rec)*(1-I15) + AP15*(p_recur_Stroke*p_Stroke_rec)*(1-I15) + AQ15*(p_recur_Stroke*p_Stroke_rec)*(1-I15)</f>
        <v>1.0203947017921229E-5</v>
      </c>
      <c r="AQ16">
        <f>AO15*(1-p_recur_Stroke-H15*rr_Stroke*rr_HF)*(1-I15) + AP15*(1-p_recur_Stroke-H15*rr_Stroke*rr_HF)*(1-I15) + AQ15*(1-p_recur_Stroke-H15*rr_Stroke*rr_HF)*(1-I15)</f>
        <v>3.4162789044456247E-5</v>
      </c>
      <c r="AR16">
        <f>AR15*(1-AC15-H15*rr_DM) + AD15*(1-T15-H15)*I15</f>
        <v>0.41022183170741255</v>
      </c>
      <c r="AS16">
        <f>AR15*AC15*p_Other + AD15*T15*p_Other*I15 + AE15*(1-T15*p_Stroke-T15*p_MI-H15*rr_Other)*I15 + AS15*(1-AC15*p_Stroke-AC15*p_MI-H15*rr_Other*rr_DM)</f>
        <v>4.1772824333989586E-2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3.6982795702595432E-3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1.2189068610851544E-2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2.2694998835555576E-3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9.4958923819855705E-3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8.5161173728775472E-5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6.9864176176517758E-5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2.3383965762545266E-4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8.3034814536883921E-4</v>
      </c>
      <c r="BB16">
        <f>AM15*(1-T15*p_Stroke - H15*rr_HF)*I15 + AN15*(1-T15*p_Stroke - H15*rr_HF)*I15 + BA15*(1-AC15*p_Stroke - H15*rr_HF*rr_DM) + BB15*(1-AC15*p_Stroke - H15*rr_HF*rr_DM)</f>
        <v>3.5461179738477651E-3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2.5052015549541198E-5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2.7703960448781432E-5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8.3044573680377562E-5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6.1676255006164332E-2</v>
      </c>
      <c r="BG16">
        <f t="shared" si="16"/>
        <v>0.97499999999999953</v>
      </c>
      <c r="BH16">
        <f>(0.9442 - 0.0007*$B16 - dis_BMI*($C16-21.75))*AD16</f>
        <v>0.32645407247991315</v>
      </c>
      <c r="BI16">
        <f>0.959*(0.9442 - 0.0007*$B16 - dis_BMI*($C16-21.75))*AE16</f>
        <v>2.076586838410989E-2</v>
      </c>
      <c r="BJ16">
        <f>(0.943*(0.9442 - 0.0007*$B16 - dis_BMI*($C16-21.75)) - 0.19*0.5)*AF16</f>
        <v>1.4220001985313397E-3</v>
      </c>
      <c r="BK16">
        <f>(0.943*(0.9442 - 0.0007*$B16 - dis_BMI*($C16-21.75)))*AG16</f>
        <v>5.9420011479640877E-3</v>
      </c>
      <c r="BL16">
        <f>(0.955*(0.9442 - 0.0007*$B16 - dis_BMI*($C16-21.75)) - 0.15*0.5)*AH16</f>
        <v>8.7988003399846147E-4</v>
      </c>
      <c r="BM16">
        <f>(0.955*(0.9442 - 0.0007*$B16 - dis_BMI*($C16-21.75)))*AI16</f>
        <v>4.6487421995794311E-3</v>
      </c>
      <c r="BN16">
        <f>(0.955*0.943*(0.9442 - 0.0007*$B16 - dis_BMI*($C16-21.75)) - 0.19*0.5)*AJ16</f>
        <v>2.0329540377631285E-5</v>
      </c>
      <c r="BO16">
        <f>(0.955*0.943*(0.9442 - 0.0007*$B16 - dis_BMI*($C16-21.75)) - 0.15*0.5)*AK16</f>
        <v>1.6775619920057211E-5</v>
      </c>
      <c r="BP16">
        <f>(0.955*0.943*(0.9442 - 0.0007*$B16 - dis_BMI*($C16-21.75)))*AL16</f>
        <v>7.0894680772467223E-5</v>
      </c>
      <c r="BQ16">
        <f>(0.93*(0.9442 - 0.0007*$B16 - dis_BMI*($C16-21.75)))*AM16</f>
        <v>3.6509718349199969E-4</v>
      </c>
      <c r="BR16">
        <f>(0.93*(0.9442 - 0.0007*$B16 - dis_BMI*($C16-21.75)))*AN16</f>
        <v>1.750671309116633E-3</v>
      </c>
      <c r="BS16">
        <f>(0.93*0.943*(0.9442 - 0.0007*$B16 - dis_BMI*($C16-21.75)))*AO16</f>
        <v>6.8296408968053453E-6</v>
      </c>
      <c r="BT16">
        <f>(0.93*0.943*(0.9442 - 0.0007*$B16 - dis_BMI*($C16-21.75))-0.19*0.5)*AP16</f>
        <v>6.6368468852698302E-6</v>
      </c>
      <c r="BU16">
        <f>(0.93*0.943*(0.9442 - 0.0007*$B16 - dis_BMI*($C16-21.75)))*AQ16</f>
        <v>2.5465611698873931E-5</v>
      </c>
      <c r="BV16">
        <f>0.962*(0.9442 - 0.0007*$B16 - dis_BMI*($C16-21.75))*AR16</f>
        <v>0.33542852595209871</v>
      </c>
      <c r="BW16">
        <f>0.962*0.959*(0.9442 - 0.0007*$B16 - dis_BMI*($C16-21.75))*AS16</f>
        <v>3.2756211834797447E-2</v>
      </c>
      <c r="BX16">
        <f>0.962*(0.943*(0.9442 - 0.0007*$B16 - dis_BMI*($C16-21.75)) - 0.19*0.5)*AT16</f>
        <v>2.5136408181758232E-3</v>
      </c>
      <c r="BY16">
        <f>0.962*(0.943*(0.9442 - 0.0007*$B16 - dis_BMI*($C16-21.75)))*AU16</f>
        <v>9.3986058854016036E-3</v>
      </c>
      <c r="BZ16">
        <f>0.962*(0.955*(0.9442 - 0.0007*$B16 - dis_BMI*($C16-21.75)) - 0.15*0.5)*AV16</f>
        <v>1.6084638604136432E-3</v>
      </c>
      <c r="CA16">
        <f>0.962*(0.955*(0.9442 - 0.0007*$B16 - dis_BMI*($C16-21.75)))*AW16</f>
        <v>7.415157497433612E-3</v>
      </c>
      <c r="CB16">
        <f>0.962*(0.955*0.943*(0.9442 - 0.0007*$B16 - dis_BMI*($C16-21.75)) - 0.19*0.5)*AX16</f>
        <v>5.4927282949191547E-5</v>
      </c>
      <c r="CC16">
        <f>0.962*(0.955*0.943*(0.9442 - 0.0007*$B16 - dis_BMI*($C16-21.75)) - 0.15*0.5)*AY16</f>
        <v>4.6405206987349366E-5</v>
      </c>
      <c r="CD16">
        <f>0.962*(0.955*0.943*(0.9442 - 0.0007*$B16 - dis_BMI*($C16-21.75)))*AZ16</f>
        <v>1.7219258863818113E-4</v>
      </c>
      <c r="CE16">
        <f>0.962*(0.93*(0.9442 - 0.0007*$B16 - dis_BMI*($C16-21.75)))*BA16</f>
        <v>6.3142880899353954E-4</v>
      </c>
      <c r="CF16">
        <f>0.962*(0.93*(0.9442 - 0.0007*$B16 - dis_BMI*($C16-21.75)))*BB16</f>
        <v>2.6966051062625833E-3</v>
      </c>
      <c r="CG16">
        <f>0.962*(0.93*0.943*(0.9442 - 0.0007*$B16 - dis_BMI*($C16-21.75)))*BC16</f>
        <v>1.7964640804071768E-5</v>
      </c>
      <c r="CH16">
        <f>0.962*(0.93*0.943*(0.9442 - 0.0007*$B16 - dis_BMI*($C16-21.75))-0.19*0.5)*BD16</f>
        <v>1.7334468656701328E-5</v>
      </c>
      <c r="CI16">
        <f>0.962*(0.93*0.943*(0.9442 - 0.0007*$B16 - dis_BMI*($C16-21.75)))*BE16</f>
        <v>5.9550734907737886E-5</v>
      </c>
      <c r="CJ16">
        <f t="shared" si="17"/>
        <v>0</v>
      </c>
      <c r="CK16">
        <f t="shared" si="18"/>
        <v>0.75519227956377655</v>
      </c>
      <c r="CL16">
        <f>CK16/(1+r_)^A16</f>
        <v>0.51424919472145625</v>
      </c>
      <c r="CM16">
        <f t="shared" si="19"/>
        <v>0</v>
      </c>
      <c r="CN16">
        <f>AE16*c_Other</f>
        <v>363.76686004683154</v>
      </c>
      <c r="CO16">
        <f>AF16*(c_Stroke1+c_Stroke2)</f>
        <v>47.933602381853419</v>
      </c>
      <c r="CP16">
        <f>AG16*c_Stroke2</f>
        <v>48.186817373820915</v>
      </c>
      <c r="CQ16">
        <f>AH16*(c_MI1+c_MI2)</f>
        <v>34.815356752944183</v>
      </c>
      <c r="CR16">
        <f>AI16*c_MI2</f>
        <v>17.851007858209673</v>
      </c>
      <c r="CS16">
        <f>AJ16*(c_Stroke1+c_Stroke2+c_MI2)</f>
        <v>0.81665924888787578</v>
      </c>
      <c r="CT16">
        <f>AK16*(c_Stroke2+c_MI1+c_MI2)</f>
        <v>0.86619005725534126</v>
      </c>
      <c r="CU16">
        <f>AL16*(c_Stroke2+c_MI2)</f>
        <v>0.89070122755955128</v>
      </c>
      <c r="CV16">
        <f>AM16*(c_HF1)</f>
        <v>12.484335396061617</v>
      </c>
      <c r="CW16">
        <f>AN16*(c_HF2)</f>
        <v>34.56044188366711</v>
      </c>
      <c r="CX16">
        <f>AO16*(c_Stroke2+c_HF1)</f>
        <v>0.30720666168859539</v>
      </c>
      <c r="CY16">
        <f>AP16*(c_Stroke1+c_Stroke2+c_HF2)</f>
        <v>0.40224979539347278</v>
      </c>
      <c r="CZ16">
        <f>AQ16*(c_Stroke2+c_HF2)</f>
        <v>0.75516845182770531</v>
      </c>
      <c r="DA16">
        <f>AR16*c_DM</f>
        <v>4686.7844272571883</v>
      </c>
      <c r="DB16">
        <f>AS16*(c_Other+c_DM)</f>
        <v>1073.7286766808684</v>
      </c>
      <c r="DC16">
        <f>AT16*(c_Stroke1+c_Stroke2+c_DM)</f>
        <v>130.33107033551656</v>
      </c>
      <c r="DD16">
        <f>AU16*(c_Stroke2+c_DM)</f>
        <v>218.48905484951393</v>
      </c>
      <c r="DE16">
        <f>AV16*(c_MI1+c_MI2+c_DM)</f>
        <v>92.087227275150312</v>
      </c>
      <c r="DF16">
        <f>AW16*(c_MI2+c_DM)</f>
        <v>138.08926701883416</v>
      </c>
      <c r="DG16">
        <f>AX16*(c_Stroke1+c_Stroke2+c_MI2+c_DM)</f>
        <v>3.2666123018883697</v>
      </c>
      <c r="DH16">
        <f>AY16*(c_Stroke2+c_MI1+c_MI2+c_DM)</f>
        <v>3.2889259576857501</v>
      </c>
      <c r="DI16">
        <f>AZ16*(c_Stroke2+c_MI2+c_DM)</f>
        <v>4.9204540757547752</v>
      </c>
      <c r="DJ16">
        <f>BA16*(c_HF1+c_DM)</f>
        <v>31.931037930158713</v>
      </c>
      <c r="DK16">
        <f>BB16*(c_HF2+c_DM)</f>
        <v>95.851568833105091</v>
      </c>
      <c r="DL16">
        <f>BC16*(c_Stroke2+c_HF1+c_DM)</f>
        <v>1.1262133590296246</v>
      </c>
      <c r="DM16">
        <f>BD16*(c_Stroke1+c_Stroke2+c_HF2+c_DM)</f>
        <v>1.4086355729787408</v>
      </c>
      <c r="DN16">
        <f>BE16*(c_Stroke2+c_HF2+c_DM)</f>
        <v>2.7844845555030595</v>
      </c>
      <c r="DO16">
        <f t="shared" si="20"/>
        <v>0</v>
      </c>
      <c r="DP16">
        <f t="shared" si="21"/>
        <v>7047.7242531391767</v>
      </c>
      <c r="DQ16">
        <f>DP16/(1+r_)^A16</f>
        <v>4799.1572740775409</v>
      </c>
    </row>
    <row r="17" spans="1:121" x14ac:dyDescent="0.3">
      <c r="A17">
        <v>14</v>
      </c>
      <c r="B17">
        <v>59</v>
      </c>
      <c r="C17">
        <f t="shared" si="40"/>
        <v>38</v>
      </c>
      <c r="D17">
        <f t="shared" si="1"/>
        <v>125</v>
      </c>
      <c r="E17">
        <f t="shared" si="41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2"/>
        <v>5.6857293942168513E-2</v>
      </c>
      <c r="J17">
        <f t="shared" si="23"/>
        <v>0.16252156510334681</v>
      </c>
      <c r="K17">
        <f t="shared" si="24"/>
        <v>0.21994498006695473</v>
      </c>
      <c r="L17">
        <f t="shared" si="25"/>
        <v>8.0533720122064612E-2</v>
      </c>
      <c r="M17">
        <f t="shared" si="26"/>
        <v>0.11093766591234644</v>
      </c>
      <c r="N17">
        <f t="shared" si="27"/>
        <v>0.35427602730300467</v>
      </c>
      <c r="O17">
        <f t="shared" si="28"/>
        <v>0.46098805685556188</v>
      </c>
      <c r="P17">
        <f t="shared" si="29"/>
        <v>0.19357504401760717</v>
      </c>
      <c r="Q17">
        <f t="shared" si="30"/>
        <v>0.26213670075718443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1.318981019607195E-2</v>
      </c>
      <c r="U17">
        <f t="shared" si="31"/>
        <v>0.32022235591117032</v>
      </c>
      <c r="V17">
        <f t="shared" si="32"/>
        <v>0.417586737449408</v>
      </c>
      <c r="W17">
        <f t="shared" si="33"/>
        <v>0.1670044648217448</v>
      </c>
      <c r="X17">
        <f t="shared" si="34"/>
        <v>0.22578648578709981</v>
      </c>
      <c r="Y17">
        <f t="shared" si="35"/>
        <v>0.52492103997738415</v>
      </c>
      <c r="Z17">
        <f t="shared" si="36"/>
        <v>0.6506396193484929</v>
      </c>
      <c r="AA17">
        <f t="shared" si="37"/>
        <v>0.30656732547089294</v>
      </c>
      <c r="AB17">
        <f t="shared" si="38"/>
        <v>0.40387018989728529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2.4231446191988627E-2</v>
      </c>
      <c r="AD17">
        <f t="shared" si="39"/>
        <v>0.35523117605261667</v>
      </c>
      <c r="AE17">
        <f t="shared" si="5"/>
        <v>2.6098551250237832E-2</v>
      </c>
      <c r="AF17">
        <f t="shared" si="6"/>
        <v>2.0130790194557878E-3</v>
      </c>
      <c r="AG17">
        <f t="shared" si="7"/>
        <v>7.6115963654276916E-3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1.1752982027948709E-3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5.7534407162603447E-3</v>
      </c>
      <c r="AJ17">
        <f t="shared" si="10"/>
        <v>3.2764606419027393E-5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2.6413509366486452E-5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1.0299098653104209E-4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4.5883479285934267E-4</v>
      </c>
      <c r="AN17">
        <f t="shared" si="14"/>
        <v>2.4861874635007599E-3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1.0068755340298439E-5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1.2315584511562769E-5</v>
      </c>
      <c r="AQ17">
        <f>AO16*(1-p_recur_Stroke-H16*rr_Stroke*rr_HF)*(1-I16) + AP16*(1-p_recur_Stroke-H16*rr_Stroke*rr_HF)*(1-I16) + AQ16*(1-p_recur_Stroke-H16*rr_Stroke*rr_HF)*(1-I16)</f>
        <v>4.2494489198719487E-5</v>
      </c>
      <c r="AR17">
        <f>AR16*(1-AC16-H16*rr_DM) + AD16*(1-T16-H16)*I16</f>
        <v>0.41891810933901807</v>
      </c>
      <c r="AS17">
        <f>AR16*AC16*p_Other + AD16*T16*p_Other*I16 + AE16*(1-T16*p_Stroke-T16*p_MI-H16*rr_Other)*I16 + AS16*(1-AC16*p_Stroke-AC16*p_MI-H16*rr_Other*rr_DM)</f>
        <v>4.7547003139514432E-2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4.1015544546476636E-3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1.3974080473742356E-2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2.4772404980670038E-3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1.0669049339359835E-2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1.028546098432149E-4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8.4794266224197759E-5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2.9267863619200976E-4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9.1751072978303594E-4</v>
      </c>
      <c r="BB17">
        <f>AM16*(1-T16*p_Stroke - H16*rr_HF)*I16 + AN16*(1-T16*p_Stroke - H16*rr_HF)*I16 + BA16*(1-AC16*p_Stroke - H16*rr_HF*rr_DM) + BB16*(1-AC16*p_Stroke - H16*rr_HF*rr_DM)</f>
        <v>4.4413609002393103E-3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3.0818162747791713E-5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3.7290461985654644E-5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1.16087869404307E-4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7.0234355324710271E-2</v>
      </c>
      <c r="BG17">
        <f t="shared" si="16"/>
        <v>0.97499999999999953</v>
      </c>
      <c r="BH17">
        <f>(0.9442 - 0.0007*$B17 - dis_BMI*($C17-21.75))*AD17</f>
        <v>0.30168895704208604</v>
      </c>
      <c r="BI17">
        <f>0.959*(0.9442 - 0.0007*$B17 - dis_BMI*($C17-21.75))*AE17</f>
        <v>2.1256088381410857E-2</v>
      </c>
      <c r="BJ17">
        <f>(0.943*(0.9442 - 0.0007*$B17 - dis_BMI*($C17-21.75)) - 0.19*0.5)*AF17</f>
        <v>1.4209646893978605E-3</v>
      </c>
      <c r="BK17">
        <f>(0.943*(0.9442 - 0.0007*$B17 - dis_BMI*($C17-21.75)))*AG17</f>
        <v>6.0958712085634323E-3</v>
      </c>
      <c r="BL17">
        <f>(0.955*(0.9442 - 0.0007*$B17 - dis_BMI*($C17-21.75)) - 0.15*0.5)*AH17</f>
        <v>8.6508720381596113E-4</v>
      </c>
      <c r="BM17">
        <f>(0.955*(0.9442 - 0.0007*$B17 - dis_BMI*($C17-21.75)))*AI17</f>
        <v>4.6663719629084143E-3</v>
      </c>
      <c r="BN17">
        <f>(0.955*0.943*(0.9442 - 0.0007*$B17 - dis_BMI*($C17-21.75)) - 0.19*0.5)*AJ17</f>
        <v>2.1946629176090774E-5</v>
      </c>
      <c r="BO17">
        <f>(0.955*0.943*(0.9442 - 0.0007*$B17 - dis_BMI*($C17-21.75)) - 0.15*0.5)*AK17</f>
        <v>1.82207609162535E-5</v>
      </c>
      <c r="BP17">
        <f>(0.955*0.943*(0.9442 - 0.0007*$B17 - dis_BMI*($C17-21.75)))*AL17</f>
        <v>7.8770322311134372E-5</v>
      </c>
      <c r="BQ17">
        <f>(0.93*(0.9442 - 0.0007*$B17 - dis_BMI*($C17-21.75)))*AM17</f>
        <v>3.6239953439622498E-4</v>
      </c>
      <c r="BR17">
        <f>(0.93*(0.9442 - 0.0007*$B17 - dis_BMI*($C17-21.75)))*AN17</f>
        <v>1.9636548780000854E-3</v>
      </c>
      <c r="BS17">
        <f>(0.93*0.943*(0.9442 - 0.0007*$B17 - dis_BMI*($C17-21.75)))*AO17</f>
        <v>7.4992661906393099E-6</v>
      </c>
      <c r="BT17">
        <f>(0.93*0.943*(0.9442 - 0.0007*$B17 - dis_BMI*($C17-21.75))-0.19*0.5)*AP17</f>
        <v>8.002736795843579E-6</v>
      </c>
      <c r="BU17">
        <f>(0.93*0.943*(0.9442 - 0.0007*$B17 - dis_BMI*($C17-21.75)))*AQ17</f>
        <v>3.1650137019517521E-5</v>
      </c>
      <c r="BV17">
        <f>0.962*(0.9442 - 0.0007*$B17 - dis_BMI*($C17-21.75))*AR17</f>
        <v>0.3422571635711566</v>
      </c>
      <c r="BW17">
        <f>0.962*0.959*(0.9442 - 0.0007*$B17 - dis_BMI*($C17-21.75))*AS17</f>
        <v>3.7253335874637798E-2</v>
      </c>
      <c r="BX17">
        <f>0.962*(0.943*(0.9442 - 0.0007*$B17 - dis_BMI*($C17-21.75)) - 0.19*0.5)*AT17</f>
        <v>2.7851335012413236E-3</v>
      </c>
      <c r="BY17">
        <f>0.962*(0.943*(0.9442 - 0.0007*$B17 - dis_BMI*($C17-21.75)))*AU17</f>
        <v>1.0766098396238408E-2</v>
      </c>
      <c r="BZ17">
        <f>0.962*(0.955*(0.9442 - 0.0007*$B17 - dis_BMI*($C17-21.75)) - 0.15*0.5)*AV17</f>
        <v>1.7541028707736975E-3</v>
      </c>
      <c r="CA17">
        <f>0.962*(0.955*(0.9442 - 0.0007*$B17 - dis_BMI*($C17-21.75)))*AW17</f>
        <v>8.3243916930978244E-3</v>
      </c>
      <c r="CB17">
        <f>0.962*(0.955*0.943*(0.9442 - 0.0007*$B17 - dis_BMI*($C17-21.75)) - 0.19*0.5)*AX17</f>
        <v>6.6276826225838547E-5</v>
      </c>
      <c r="CC17">
        <f>0.962*(0.955*0.943*(0.9442 - 0.0007*$B17 - dis_BMI*($C17-21.75)) - 0.15*0.5)*AY17</f>
        <v>5.6270653828845491E-5</v>
      </c>
      <c r="CD17">
        <f>0.962*(0.955*0.943*(0.9442 - 0.0007*$B17 - dis_BMI*($C17-21.75)))*AZ17</f>
        <v>2.1534237523299099E-4</v>
      </c>
      <c r="CE17">
        <f>0.962*(0.93*(0.9442 - 0.0007*$B17 - dis_BMI*($C17-21.75)))*BA17</f>
        <v>6.9713600347314419E-4</v>
      </c>
      <c r="CF17">
        <f>0.962*(0.93*(0.9442 - 0.0007*$B17 - dis_BMI*($C17-21.75)))*BB17</f>
        <v>3.3746009582982048E-3</v>
      </c>
      <c r="CG17">
        <f>0.962*(0.93*0.943*(0.9442 - 0.0007*$B17 - dis_BMI*($C17-21.75)))*BC17</f>
        <v>2.208130810728024E-5</v>
      </c>
      <c r="CH17">
        <f>0.962*(0.93*0.943*(0.9442 - 0.0007*$B17 - dis_BMI*($C17-21.75))-0.19*0.5)*BD17</f>
        <v>2.3310755036509777E-5</v>
      </c>
      <c r="CI17">
        <f>0.962*(0.93*0.943*(0.9442 - 0.0007*$B17 - dis_BMI*($C17-21.75)))*BE17</f>
        <v>8.3177314391264074E-5</v>
      </c>
      <c r="CJ17">
        <f t="shared" si="17"/>
        <v>0</v>
      </c>
      <c r="CK17">
        <f t="shared" si="18"/>
        <v>0.746163906854728</v>
      </c>
      <c r="CL17">
        <f>CK17/(1+r_)^A17</f>
        <v>0.49330224488084634</v>
      </c>
      <c r="CM17">
        <f t="shared" si="19"/>
        <v>0</v>
      </c>
      <c r="CN17">
        <f>AE17*c_Other</f>
        <v>372.661213302146</v>
      </c>
      <c r="CO17">
        <f>AF17*(c_Stroke1+c_Stroke2)</f>
        <v>47.943489927359039</v>
      </c>
      <c r="CP17">
        <f>AG17*c_Stroke2</f>
        <v>49.475376375279993</v>
      </c>
      <c r="CQ17">
        <f>AH17*(c_MI1+c_MI2)</f>
        <v>34.261117909673281</v>
      </c>
      <c r="CR17">
        <f>AI17*c_MI2</f>
        <v>17.933474712583493</v>
      </c>
      <c r="CS17">
        <f>AJ17*(c_Stroke1+c_Stroke2+c_MI2)</f>
        <v>0.88244914468366475</v>
      </c>
      <c r="CT17">
        <f>AK17*(c_Stroke2+c_MI1+c_MI2)</f>
        <v>0.94166802242460845</v>
      </c>
      <c r="CU17">
        <f>AL17*(c_Stroke2+c_MI2)</f>
        <v>0.99046431746903185</v>
      </c>
      <c r="CV17">
        <f>AM17*(c_HF1)</f>
        <v>12.402304450988032</v>
      </c>
      <c r="CW17">
        <f>AN17*(c_HF2)</f>
        <v>38.796955367929357</v>
      </c>
      <c r="CX17">
        <f>AO17*(c_Stroke2+c_HF1)</f>
        <v>0.33760536656020668</v>
      </c>
      <c r="CY17">
        <f>AP17*(c_Stroke1+c_Stroke2+c_HF2)</f>
        <v>0.48549265703031591</v>
      </c>
      <c r="CZ17">
        <f>AQ17*(c_Stroke2+c_HF2)</f>
        <v>0.9393406837376943</v>
      </c>
      <c r="DA17">
        <f>AR17*c_DM</f>
        <v>4786.1393991982814</v>
      </c>
      <c r="DB17">
        <f>AS17*(c_Other+c_DM)</f>
        <v>1222.148168698079</v>
      </c>
      <c r="DC17">
        <f>AT17*(c_Stroke1+c_Stroke2+c_DM)</f>
        <v>144.5428805362383</v>
      </c>
      <c r="DD17">
        <f>AU17*(c_Stroke2+c_DM)</f>
        <v>250.48539249183173</v>
      </c>
      <c r="DE17">
        <f>AV17*(c_MI1+c_MI2+c_DM)</f>
        <v>100.51651044956675</v>
      </c>
      <c r="DF17">
        <f>AW17*(c_MI2+c_DM)</f>
        <v>155.14931549297071</v>
      </c>
      <c r="DG17">
        <f>AX17*(c_Stroke1+c_Stroke2+c_MI2+c_DM)</f>
        <v>3.9452971243660371</v>
      </c>
      <c r="DH17">
        <f>AY17*(c_Stroke2+c_MI1+c_MI2+c_DM)</f>
        <v>3.9917748767703336</v>
      </c>
      <c r="DI17">
        <f>AZ17*(c_Stroke2+c_MI2+c_DM)</f>
        <v>6.1585438627522695</v>
      </c>
      <c r="DJ17">
        <f>BA17*(c_HF1+c_DM)</f>
        <v>35.282875113806647</v>
      </c>
      <c r="DK17">
        <f>BB17*(c_HF2+c_DM)</f>
        <v>120.04998513346855</v>
      </c>
      <c r="DL17">
        <f>BC17*(c_Stroke2+c_HF1+c_DM)</f>
        <v>1.3854305063269765</v>
      </c>
      <c r="DM17">
        <f>BD17*(c_Stroke1+c_Stroke2+c_HF2+c_DM)</f>
        <v>1.8960708301225961</v>
      </c>
      <c r="DN17">
        <f>BE17*(c_Stroke2+c_HF2+c_DM)</f>
        <v>3.8924262611264138</v>
      </c>
      <c r="DO17">
        <f t="shared" si="20"/>
        <v>0</v>
      </c>
      <c r="DP17">
        <f t="shared" si="21"/>
        <v>7413.6350228135716</v>
      </c>
      <c r="DQ17">
        <f>DP17/(1+r_)^A17</f>
        <v>4901.2861194225779</v>
      </c>
    </row>
    <row r="18" spans="1:121" x14ac:dyDescent="0.3">
      <c r="A18">
        <v>15</v>
      </c>
      <c r="B18">
        <v>60</v>
      </c>
      <c r="C18">
        <f t="shared" si="40"/>
        <v>38</v>
      </c>
      <c r="D18">
        <f t="shared" si="1"/>
        <v>125</v>
      </c>
      <c r="E18">
        <f t="shared" si="41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22"/>
        <v>5.6857293942168513E-2</v>
      </c>
      <c r="J18">
        <f t="shared" si="23"/>
        <v>0.16944353073349439</v>
      </c>
      <c r="K18">
        <f t="shared" si="24"/>
        <v>0.22895946471811479</v>
      </c>
      <c r="L18">
        <f t="shared" si="25"/>
        <v>8.4139231724856378E-2</v>
      </c>
      <c r="M18">
        <f t="shared" si="26"/>
        <v>0.11581634580887656</v>
      </c>
      <c r="N18">
        <f t="shared" si="27"/>
        <v>0.36926944386695126</v>
      </c>
      <c r="O18">
        <f t="shared" si="28"/>
        <v>0.47858729727860949</v>
      </c>
      <c r="P18">
        <f t="shared" si="29"/>
        <v>0.20284057436943737</v>
      </c>
      <c r="Q18">
        <f t="shared" si="30"/>
        <v>0.2740872275377001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1.3770183216979901E-2</v>
      </c>
      <c r="U18">
        <f t="shared" si="31"/>
        <v>0.332390596174717</v>
      </c>
      <c r="V18">
        <f t="shared" si="32"/>
        <v>0.43213487702222586</v>
      </c>
      <c r="W18">
        <f t="shared" si="33"/>
        <v>0.17409683881768612</v>
      </c>
      <c r="X18">
        <f t="shared" si="34"/>
        <v>0.23500259889329544</v>
      </c>
      <c r="Y18">
        <f t="shared" si="35"/>
        <v>0.54353890503009594</v>
      </c>
      <c r="Z18">
        <f t="shared" si="36"/>
        <v>0.66982719681992742</v>
      </c>
      <c r="AA18">
        <f t="shared" si="37"/>
        <v>0.32007017521152192</v>
      </c>
      <c r="AB18">
        <f t="shared" si="38"/>
        <v>0.42020613242730909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2.5199187563845041E-2</v>
      </c>
      <c r="AD18">
        <f t="shared" si="39"/>
        <v>0.32819035804284186</v>
      </c>
      <c r="AE18">
        <f t="shared" si="5"/>
        <v>2.6560614829685109E-2</v>
      </c>
      <c r="AF18">
        <f t="shared" si="6"/>
        <v>2.0059151811706618E-3</v>
      </c>
      <c r="AG18">
        <f t="shared" si="7"/>
        <v>7.756216669810358E-3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1.1538251261835686E-3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5.7534474186162702E-3</v>
      </c>
      <c r="AJ18">
        <f t="shared" si="10"/>
        <v>3.5123887487914276E-5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2.8451431215948144E-5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1.1304662201446899E-4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4.5436658694720421E-4</v>
      </c>
      <c r="AN18">
        <f t="shared" si="14"/>
        <v>2.7325707023069961E-3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1.0950087750429141E-5</v>
      </c>
      <c r="AP18">
        <f>AM17*T17*p_Stroke*p_Stroke_rec*(1-I17) + AN17*T17*p_Stroke*p_Stroke_rec*(1-I17) + AO17*(p_recur_Stroke*p_Stroke_rec)*(1-I17) + AP17*(p_recur_Stroke*p_Stroke_rec)*(1-I17) + AQ17*(p_recur_Stroke*p_Stroke_rec)*(1-I17)</f>
        <v>1.450749027965204E-5</v>
      </c>
      <c r="AQ18">
        <f>AO17*(1-p_recur_Stroke-H17*rr_Stroke*rr_HF)*(1-I17) + AP17*(1-p_recur_Stroke-H17*rr_Stroke*rr_HF)*(1-I17) + AQ17*(1-p_recur_Stroke-H17*rr_Stroke*rr_HF)*(1-I17)</f>
        <v>5.1324906932863091E-5</v>
      </c>
      <c r="AR18">
        <f>AR17*(1-AC17-H17*rr_DM) + AD17*(1-T17-H17)*I17</f>
        <v>0.42506606599066299</v>
      </c>
      <c r="AS18">
        <f>AR17*AC17*p_Other + AD17*T17*p_Other*I17 + AE17*(1-T17*p_Stroke-T17*p_MI-H17*rr_Other)*I17 + AS17*(1-AC17*p_Stroke-AC17*p_MI-H17*rr_Other*rr_DM)</f>
        <v>5.3461044201141443E-2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4.5082176527413472E-3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1.580698433932148E-2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2.6831751347277128E-3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1.1865348683472745E-2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1.2255154341964813E-4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1.0136534238731149E-4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3.5925404642904018E-4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1.0052708021178539E-3</v>
      </c>
      <c r="BB18">
        <f>AM17*(1-T17*p_Stroke - H17*rr_HF)*I17 + AN17*(1-T17*p_Stroke - H17*rr_HF)*I17 + BA17*(1-AC17*p_Stroke - H17*rr_HF*rr_DM) + BB17*(1-AC17*p_Stroke - H17*rr_HF*rr_DM)</f>
        <v>5.4125783987429401E-3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3.7295967642815472E-5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4.8686815159783872E-5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1.5645544036900716E-4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7.9504986658420165E-2</v>
      </c>
      <c r="BG18">
        <f t="shared" si="16"/>
        <v>0.97499999999999964</v>
      </c>
      <c r="BH18">
        <f>(0.9442 - 0.0007*$B18 - dis_BMI*($C18-21.75))*AD18</f>
        <v>0.27849413307620452</v>
      </c>
      <c r="BI18">
        <f>0.959*(0.9442 - 0.0007*$B18 - dis_BMI*($C18-21.75))*AE18</f>
        <v>2.1614588106206936E-2</v>
      </c>
      <c r="BJ18">
        <f>(0.943*(0.9442 - 0.0007*$B18 - dis_BMI*($C18-21.75)) - 0.19*0.5)*AF18</f>
        <v>1.4145838725835534E-3</v>
      </c>
      <c r="BK18">
        <f>(0.943*(0.9442 - 0.0007*$B18 - dis_BMI*($C18-21.75)))*AG18</f>
        <v>6.2065728616310179E-3</v>
      </c>
      <c r="BL18">
        <f>(0.955*(0.9442 - 0.0007*$B18 - dis_BMI*($C18-21.75)) - 0.15*0.5)*AH18</f>
        <v>8.4851044994714911E-4</v>
      </c>
      <c r="BM18">
        <f>(0.955*(0.9442 - 0.0007*$B18 - dis_BMI*($C18-21.75)))*AI18</f>
        <v>4.6625312193059477E-3</v>
      </c>
      <c r="BN18">
        <f>(0.955*0.943*(0.9442 - 0.0007*$B18 - dis_BMI*($C18-21.75)) - 0.19*0.5)*AJ18</f>
        <v>2.3504798199045468E-5</v>
      </c>
      <c r="BO18">
        <f>(0.955*0.943*(0.9442 - 0.0007*$B18 - dis_BMI*($C18-21.75)) - 0.15*0.5)*AK18</f>
        <v>1.9608639471352667E-5</v>
      </c>
      <c r="BP18">
        <f>(0.955*0.943*(0.9442 - 0.0007*$B18 - dis_BMI*($C18-21.75)))*AL18</f>
        <v>8.6389883171896105E-5</v>
      </c>
      <c r="BQ18">
        <f>(0.93*(0.9442 - 0.0007*$B18 - dis_BMI*($C18-21.75)))*AM18</f>
        <v>3.5857463766241317E-4</v>
      </c>
      <c r="BR18">
        <f>(0.93*(0.9442 - 0.0007*$B18 - dis_BMI*($C18-21.75)))*AN18</f>
        <v>2.1564758008504482E-3</v>
      </c>
      <c r="BS18">
        <f>(0.93*0.943*(0.9442 - 0.0007*$B18 - dis_BMI*($C18-21.75)))*AO18</f>
        <v>8.1489653954363695E-6</v>
      </c>
      <c r="BT18">
        <f>(0.93*0.943*(0.9442 - 0.0007*$B18 - dis_BMI*($C18-21.75))-0.19*0.5)*AP18</f>
        <v>9.4181435721742895E-6</v>
      </c>
      <c r="BU18">
        <f>(0.93*0.943*(0.9442 - 0.0007*$B18 - dis_BMI*($C18-21.75)))*AQ18</f>
        <v>3.8195574323457108E-5</v>
      </c>
      <c r="BV18">
        <f>0.962*(0.9442 - 0.0007*$B18 - dis_BMI*($C18-21.75))*AR18</f>
        <v>0.34699382034400178</v>
      </c>
      <c r="BW18">
        <f>0.962*0.959*(0.9442 - 0.0007*$B18 - dis_BMI*($C18-21.75))*AS18</f>
        <v>4.1852494611226178E-2</v>
      </c>
      <c r="BX18">
        <f>0.962*(0.943*(0.9442 - 0.0007*$B18 - dis_BMI*($C18-21.75)) - 0.19*0.5)*AT18</f>
        <v>3.0584126725780991E-3</v>
      </c>
      <c r="BY18">
        <f>0.962*(0.943*(0.9442 - 0.0007*$B18 - dis_BMI*($C18-21.75)))*AU18</f>
        <v>1.2168191070664061E-2</v>
      </c>
      <c r="BZ18">
        <f>0.962*(0.955*(0.9442 - 0.0007*$B18 - dis_BMI*($C18-21.75)) - 0.15*0.5)*AV18</f>
        <v>1.8981970575963013E-3</v>
      </c>
      <c r="CA18">
        <f>0.962*(0.955*(0.9442 - 0.0007*$B18 - dis_BMI*($C18-21.75)))*AW18</f>
        <v>9.2501586549974413E-3</v>
      </c>
      <c r="CB18">
        <f>0.962*(0.955*0.943*(0.9442 - 0.0007*$B18 - dis_BMI*($C18-21.75)) - 0.19*0.5)*AX18</f>
        <v>7.8894695945190942E-5</v>
      </c>
      <c r="CC18">
        <f>0.962*(0.955*0.943*(0.9442 - 0.0007*$B18 - dis_BMI*($C18-21.75)) - 0.15*0.5)*AY18</f>
        <v>6.7205978286540756E-5</v>
      </c>
      <c r="CD18">
        <f>0.962*(0.955*0.943*(0.9442 - 0.0007*$B18 - dis_BMI*($C18-21.75)))*AZ18</f>
        <v>2.6410829261588181E-4</v>
      </c>
      <c r="CE18">
        <f>0.962*(0.93*(0.9442 - 0.0007*$B18 - dis_BMI*($C18-21.75)))*BA18</f>
        <v>7.6318762925379785E-4</v>
      </c>
      <c r="CF18">
        <f>0.962*(0.93*(0.9442 - 0.0007*$B18 - dis_BMI*($C18-21.75)))*BB18</f>
        <v>4.1091543369053919E-3</v>
      </c>
      <c r="CG18">
        <f>0.962*(0.93*0.943*(0.9442 - 0.0007*$B18 - dis_BMI*($C18-21.75)))*BC18</f>
        <v>2.6700649482024103E-5</v>
      </c>
      <c r="CH18">
        <f>0.962*(0.93*0.943*(0.9442 - 0.0007*$B18 - dis_BMI*($C18-21.75))-0.19*0.5)*BD18</f>
        <v>3.0406011581898479E-5</v>
      </c>
      <c r="CI18">
        <f>0.962*(0.93*0.943*(0.9442 - 0.0007*$B18 - dis_BMI*($C18-21.75)))*BE18</f>
        <v>1.12008405650076E-4</v>
      </c>
      <c r="CJ18">
        <f t="shared" si="17"/>
        <v>0</v>
      </c>
      <c r="CK18">
        <f t="shared" si="18"/>
        <v>0.73661417643931015</v>
      </c>
      <c r="CL18">
        <f>CK18/(1+r_)^A18</f>
        <v>0.472804609769365</v>
      </c>
      <c r="CM18">
        <f t="shared" si="19"/>
        <v>0</v>
      </c>
      <c r="CN18">
        <f>AE18*c_Other</f>
        <v>379.25901915307367</v>
      </c>
      <c r="CO18">
        <f>AF18*(c_Stroke1+c_Stroke2)</f>
        <v>47.77287595476048</v>
      </c>
      <c r="CP18">
        <f>AG18*c_Stroke2</f>
        <v>50.415408353767326</v>
      </c>
      <c r="CQ18">
        <f>AH18*(c_MI1+c_MI2)</f>
        <v>33.635156253377211</v>
      </c>
      <c r="CR18">
        <f>AI18*c_MI2</f>
        <v>17.933495603826913</v>
      </c>
      <c r="CS18">
        <f>AJ18*(c_Stroke1+c_Stroke2+c_MI2)</f>
        <v>0.94599166171199522</v>
      </c>
      <c r="CT18">
        <f>AK18*(c_Stroke2+c_MI1+c_MI2)</f>
        <v>1.0143219742797673</v>
      </c>
      <c r="CU18">
        <f>AL18*(c_Stroke2+c_MI2)</f>
        <v>1.0871693639131483</v>
      </c>
      <c r="CV18">
        <f>AM18*(c_HF1)</f>
        <v>12.28152884518293</v>
      </c>
      <c r="CW18">
        <f>AN18*(c_HF2)</f>
        <v>42.641765809500676</v>
      </c>
      <c r="CX18">
        <f>AO18*(c_Stroke2+c_HF1)</f>
        <v>0.36715644227188909</v>
      </c>
      <c r="CY18">
        <f>AP18*(c_Stroke1+c_Stroke2+c_HF2)</f>
        <v>0.57189977431416306</v>
      </c>
      <c r="CZ18">
        <f>AQ18*(c_Stroke2+c_HF2)</f>
        <v>1.1345370677509385</v>
      </c>
      <c r="DA18">
        <f>AR18*c_DM</f>
        <v>4856.379803943325</v>
      </c>
      <c r="DB18">
        <f>AS18*(c_Other+c_DM)</f>
        <v>1374.1626801461396</v>
      </c>
      <c r="DC18">
        <f>AT18*(c_Stroke1+c_Stroke2+c_DM)</f>
        <v>158.87409830025783</v>
      </c>
      <c r="DD18">
        <f>AU18*(c_Stroke2+c_DM)</f>
        <v>283.34019428233751</v>
      </c>
      <c r="DE18">
        <f>AV18*(c_MI1+c_MI2+c_DM)</f>
        <v>108.87251426671168</v>
      </c>
      <c r="DF18">
        <f>AW18*(c_MI2+c_DM)</f>
        <v>172.54590055506065</v>
      </c>
      <c r="DG18">
        <f>AX18*(c_Stroke1+c_Stroke2+c_MI2+c_DM)</f>
        <v>4.700832102490863</v>
      </c>
      <c r="DH18">
        <f>AY18*(c_Stroke2+c_MI1+c_MI2+c_DM)</f>
        <v>4.7718748582250754</v>
      </c>
      <c r="DI18">
        <f>AZ18*(c_Stroke2+c_MI2+c_DM)</f>
        <v>7.5594236449598631</v>
      </c>
      <c r="DJ18">
        <f>BA18*(c_HF1+c_DM)</f>
        <v>38.657688695442069</v>
      </c>
      <c r="DK18">
        <f>BB18*(c_HF2+c_DM)</f>
        <v>146.30199411802167</v>
      </c>
      <c r="DL18">
        <f>BC18*(c_Stroke2+c_HF1+c_DM)</f>
        <v>1.6766402253827695</v>
      </c>
      <c r="DM18">
        <f>BD18*(c_Stroke1+c_Stroke2+c_HF2+c_DM)</f>
        <v>2.4755298036143709</v>
      </c>
      <c r="DN18">
        <f>BE18*(c_Stroke2+c_HF2+c_DM)</f>
        <v>5.2459509155728101</v>
      </c>
      <c r="DO18">
        <f t="shared" si="20"/>
        <v>0</v>
      </c>
      <c r="DP18">
        <f t="shared" si="21"/>
        <v>7754.6254521152723</v>
      </c>
      <c r="DQ18">
        <f>DP18/(1+r_)^A18</f>
        <v>4977.3989940268611</v>
      </c>
    </row>
    <row r="19" spans="1:121" x14ac:dyDescent="0.3">
      <c r="A19">
        <v>16</v>
      </c>
      <c r="B19">
        <v>61</v>
      </c>
      <c r="C19">
        <f t="shared" si="40"/>
        <v>38</v>
      </c>
      <c r="D19">
        <f t="shared" si="1"/>
        <v>125</v>
      </c>
      <c r="E19">
        <f t="shared" si="41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22"/>
        <v>5.6857293942168513E-2</v>
      </c>
      <c r="J19">
        <f t="shared" si="23"/>
        <v>0.17650719745473487</v>
      </c>
      <c r="K19">
        <f t="shared" si="24"/>
        <v>0.23812751895721851</v>
      </c>
      <c r="L19">
        <f t="shared" si="25"/>
        <v>8.7834903016497989E-2</v>
      </c>
      <c r="M19">
        <f t="shared" si="26"/>
        <v>0.12080904564181083</v>
      </c>
      <c r="N19">
        <f t="shared" si="27"/>
        <v>0.38443330512479745</v>
      </c>
      <c r="O19">
        <f t="shared" si="28"/>
        <v>0.49621170717274032</v>
      </c>
      <c r="P19">
        <f t="shared" si="29"/>
        <v>0.21232598427209914</v>
      </c>
      <c r="Q19">
        <f t="shared" si="30"/>
        <v>0.28626206580165348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1.4362547337072817E-2</v>
      </c>
      <c r="U19">
        <f t="shared" si="31"/>
        <v>0.34468555719966509</v>
      </c>
      <c r="V19">
        <f t="shared" si="32"/>
        <v>0.44672704551613773</v>
      </c>
      <c r="W19">
        <f t="shared" si="33"/>
        <v>0.18133255844045704</v>
      </c>
      <c r="X19">
        <f t="shared" si="34"/>
        <v>0.24437237233875142</v>
      </c>
      <c r="Y19">
        <f t="shared" si="35"/>
        <v>0.56205516034703007</v>
      </c>
      <c r="Z19">
        <f t="shared" si="36"/>
        <v>0.68859211604288417</v>
      </c>
      <c r="AA19">
        <f t="shared" si="37"/>
        <v>0.33377984648983594</v>
      </c>
      <c r="AB19">
        <f t="shared" si="38"/>
        <v>0.43665576073864132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2.6179125236601337E-2</v>
      </c>
      <c r="AD19">
        <f t="shared" si="39"/>
        <v>0.30285990679696845</v>
      </c>
      <c r="AE19">
        <f t="shared" si="5"/>
        <v>2.6869186450543984E-2</v>
      </c>
      <c r="AF19">
        <f t="shared" si="6"/>
        <v>1.9913537460228793E-3</v>
      </c>
      <c r="AG19">
        <f t="shared" si="7"/>
        <v>7.850135755061171E-3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1.13002103671095E-3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5.7291533113224555E-3</v>
      </c>
      <c r="AJ19">
        <f t="shared" si="10"/>
        <v>3.7372285402093622E-5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3.0386125346845334E-5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1.2267341666257882E-4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4.4854442898986804E-4</v>
      </c>
      <c r="AN19">
        <f t="shared" si="14"/>
        <v>2.9536570349924496E-3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1.1794841122236524E-5</v>
      </c>
      <c r="AP19">
        <f>AM18*T18*p_Stroke*p_Stroke_rec*(1-I18) + AN18*T18*p_Stroke*p_Stroke_rec*(1-I18) + AO18*(p_recur_Stroke*p_Stroke_rec)*(1-I18) + AP18*(p_recur_Stroke*p_Stroke_rec)*(1-I18) + AQ18*(p_recur_Stroke*p_Stroke_rec)*(1-I18)</f>
        <v>1.6752846822808394E-5</v>
      </c>
      <c r="AQ19">
        <f>AO18*(1-p_recur_Stroke-H18*rr_Stroke*rr_HF)*(1-I18) + AP18*(1-p_recur_Stroke-H18*rr_Stroke*rr_HF)*(1-I18) + AQ18*(1-p_recur_Stroke-H18*rr_Stroke*rr_HF)*(1-I18)</f>
        <v>6.0517338123290783E-5</v>
      </c>
      <c r="AR19">
        <f>AR18*(1-AC18-H18*rr_DM) + AD18*(1-T18-H18)*I18</f>
        <v>0.42880956927432401</v>
      </c>
      <c r="AS19">
        <f>AR18*AC18*p_Other + AD18*T18*p_Other*I18 + AE18*(1-T18*p_Stroke-T18*p_MI-H18*rr_Other)*I18 + AS18*(1-AC18*p_Stroke-AC18*p_MI-H18*rr_Other*rr_DM)</f>
        <v>5.9457047993768247E-2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4.9144243410868685E-3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1.766908965349771E-2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2.8857097840762668E-3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1.3074873342129553E-2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1.4420994007248992E-4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1.1951978808816114E-4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4.3349124493922281E-4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1.0928993992400126E-3</v>
      </c>
      <c r="BB19">
        <f>AM18*(1-T18*p_Stroke - H18*rr_HF)*I18 + AN18*(1-T18*p_Stroke - H18*rr_HF)*I18 + BA18*(1-AC18*p_Stroke - H18*rr_HF*rr_DM) + BB18*(1-AC18*p_Stroke - H18*rr_HF*rr_DM)</f>
        <v>6.4542082555925414E-3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4.447125718469873E-5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6.1996046419109002E-5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2.046374546680174E-4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8.9522396810820609E-2</v>
      </c>
      <c r="BG19">
        <f t="shared" si="16"/>
        <v>0.97499999999999942</v>
      </c>
      <c r="BH19">
        <f>(0.9442 - 0.0007*$B19 - dis_BMI*($C19-21.75))*AD19</f>
        <v>0.25678734347547966</v>
      </c>
      <c r="BI19">
        <f>0.959*(0.9442 - 0.0007*$B19 - dis_BMI*($C19-21.75))*AE19</f>
        <v>2.1847661291823025E-2</v>
      </c>
      <c r="BJ19">
        <f>(0.943*(0.9442 - 0.0007*$B19 - dis_BMI*($C19-21.75)) - 0.19*0.5)*AF19</f>
        <v>1.4030005652646538E-3</v>
      </c>
      <c r="BK19">
        <f>(0.943*(0.9442 - 0.0007*$B19 - dis_BMI*($C19-21.75)))*AG19</f>
        <v>6.2765456236831083E-3</v>
      </c>
      <c r="BL19">
        <f>(0.955*(0.9442 - 0.0007*$B19 - dis_BMI*($C19-21.75)) - 0.15*0.5)*AH19</f>
        <v>8.302497623554171E-4</v>
      </c>
      <c r="BM19">
        <f>(0.955*(0.9442 - 0.0007*$B19 - dis_BMI*($C19-21.75)))*AI19</f>
        <v>4.6390135999648382E-3</v>
      </c>
      <c r="BN19">
        <f>(0.955*0.943*(0.9442 - 0.0007*$B19 - dis_BMI*($C19-21.75)) - 0.19*0.5)*AJ19</f>
        <v>2.4985859893535417E-5</v>
      </c>
      <c r="BO19">
        <f>(0.955*0.943*(0.9442 - 0.0007*$B19 - dis_BMI*($C19-21.75)) - 0.15*0.5)*AK19</f>
        <v>2.0922869478953517E-5</v>
      </c>
      <c r="BP19">
        <f>(0.955*0.943*(0.9442 - 0.0007*$B19 - dis_BMI*($C19-21.75)))*AL19</f>
        <v>9.3669317461086946E-5</v>
      </c>
      <c r="BQ19">
        <f>(0.93*(0.9442 - 0.0007*$B19 - dis_BMI*($C19-21.75)))*AM19</f>
        <v>3.5368793518869947E-4</v>
      </c>
      <c r="BR19">
        <f>(0.93*(0.9442 - 0.0007*$B19 - dis_BMI*($C19-21.75)))*AN19</f>
        <v>2.329028721446128E-3</v>
      </c>
      <c r="BS19">
        <f>(0.93*0.943*(0.9442 - 0.0007*$B19 - dis_BMI*($C19-21.75)))*AO19</f>
        <v>8.7703831482756247E-6</v>
      </c>
      <c r="BT19">
        <f>(0.93*0.943*(0.9442 - 0.0007*$B19 - dis_BMI*($C19-21.75))-0.19*0.5)*AP19</f>
        <v>1.0865526148535566E-5</v>
      </c>
      <c r="BU19">
        <f>(0.93*0.943*(0.9442 - 0.0007*$B19 - dis_BMI*($C19-21.75)))*AQ19</f>
        <v>4.4999354968366489E-5</v>
      </c>
      <c r="BV19">
        <f>0.962*(0.9442 - 0.0007*$B19 - dis_BMI*($C19-21.75))*AR19</f>
        <v>0.34976099083362572</v>
      </c>
      <c r="BW19">
        <f>0.962*0.959*(0.9442 - 0.0007*$B19 - dis_BMI*($C19-21.75))*AS19</f>
        <v>4.6508127268103168E-2</v>
      </c>
      <c r="BX19">
        <f>0.962*(0.943*(0.9442 - 0.0007*$B19 - dis_BMI*($C19-21.75)) - 0.19*0.5)*AT19</f>
        <v>3.3308659583259313E-3</v>
      </c>
      <c r="BY19">
        <f>0.962*(0.943*(0.9442 - 0.0007*$B19 - dis_BMI*($C19-21.75)))*AU19</f>
        <v>1.3590416582471882E-2</v>
      </c>
      <c r="BZ19">
        <f>0.962*(0.955*(0.9442 - 0.0007*$B19 - dis_BMI*($C19-21.75)) - 0.15*0.5)*AV19</f>
        <v>2.0396232572723748E-3</v>
      </c>
      <c r="CA19">
        <f>0.962*(0.955*(0.9442 - 0.0007*$B19 - dis_BMI*($C19-21.75)))*AW19</f>
        <v>1.018468881903835E-2</v>
      </c>
      <c r="CB19">
        <f>0.962*(0.955*0.943*(0.9442 - 0.0007*$B19 - dis_BMI*($C19-21.75)) - 0.19*0.5)*AX19</f>
        <v>9.2750212223086196E-5</v>
      </c>
      <c r="CC19">
        <f>0.962*(0.955*0.943*(0.9442 - 0.0007*$B19 - dis_BMI*($C19-21.75)) - 0.15*0.5)*AY19</f>
        <v>7.9170029599392289E-5</v>
      </c>
      <c r="CD19">
        <f>0.962*(0.955*0.943*(0.9442 - 0.0007*$B19 - dis_BMI*($C19-21.75)))*AZ19</f>
        <v>3.1842143634737972E-4</v>
      </c>
      <c r="CE19">
        <f>0.962*(0.93*(0.9442 - 0.0007*$B19 - dis_BMI*($C19-21.75)))*BA19</f>
        <v>8.2902960162034567E-4</v>
      </c>
      <c r="CF19">
        <f>0.962*(0.93*(0.9442 - 0.0007*$B19 - dis_BMI*($C19-21.75)))*BB19</f>
        <v>4.89590323009552E-3</v>
      </c>
      <c r="CG19">
        <f>0.962*(0.93*0.943*(0.9442 - 0.0007*$B19 - dis_BMI*($C19-21.75)))*BC19</f>
        <v>3.1811265794273327E-5</v>
      </c>
      <c r="CH19">
        <f>0.962*(0.93*0.943*(0.9442 - 0.0007*$B19 - dis_BMI*($C19-21.75))-0.19*0.5)*BD19</f>
        <v>3.8681313278554795E-5</v>
      </c>
      <c r="CI19">
        <f>0.962*(0.93*0.943*(0.9442 - 0.0007*$B19 - dis_BMI*($C19-21.75)))*BE19</f>
        <v>1.4638166029063118E-4</v>
      </c>
      <c r="CJ19">
        <f t="shared" si="17"/>
        <v>0</v>
      </c>
      <c r="CK19">
        <f t="shared" si="18"/>
        <v>0.72651760575439084</v>
      </c>
      <c r="CL19">
        <f>CK19/(1+r_)^A19</f>
        <v>0.45274175266748951</v>
      </c>
      <c r="CM19">
        <f t="shared" si="19"/>
        <v>0</v>
      </c>
      <c r="CN19">
        <f>AE19*c_Other</f>
        <v>383.66511332731756</v>
      </c>
      <c r="CO19">
        <f>AF19*(c_Stroke1+c_Stroke2)</f>
        <v>47.426080815280891</v>
      </c>
      <c r="CP19">
        <f>AG19*c_Stroke2</f>
        <v>51.025882407897612</v>
      </c>
      <c r="CQ19">
        <f>AH19*(c_MI1+c_MI2)</f>
        <v>32.941243241160905</v>
      </c>
      <c r="CR19">
        <f>AI19*c_MI2</f>
        <v>17.857770871392095</v>
      </c>
      <c r="CS19">
        <f>AJ19*(c_Stroke1+c_Stroke2+c_MI2)</f>
        <v>1.0065477627345876</v>
      </c>
      <c r="CT19">
        <f>AK19*(c_Stroke2+c_MI1+c_MI2)</f>
        <v>1.083295754740383</v>
      </c>
      <c r="CU19">
        <f>AL19*(c_Stroke2+c_MI2)</f>
        <v>1.1797502480440205</v>
      </c>
      <c r="CV19">
        <f>AM19*(c_HF1)</f>
        <v>12.124155915596132</v>
      </c>
      <c r="CW19">
        <f>AN19*(c_HF2)</f>
        <v>46.09181803105718</v>
      </c>
      <c r="CX19">
        <f>AO19*(c_Stroke2+c_HF1)</f>
        <v>0.39548102282859066</v>
      </c>
      <c r="CY19">
        <f>AP19*(c_Stroke1+c_Stroke2+c_HF2)</f>
        <v>0.66041397460192963</v>
      </c>
      <c r="CZ19">
        <f>AQ19*(c_Stroke2+c_HF2)</f>
        <v>1.3377357592153427</v>
      </c>
      <c r="DA19">
        <f>AR19*c_DM</f>
        <v>4899.1493289591517</v>
      </c>
      <c r="DB19">
        <f>AS19*(c_Other+c_DM)</f>
        <v>1528.283961631819</v>
      </c>
      <c r="DC19">
        <f>AT19*(c_Stroke1+c_Stroke2+c_DM)</f>
        <v>173.18922820424234</v>
      </c>
      <c r="DD19">
        <f>AU19*(c_Stroke2+c_DM)</f>
        <v>316.71843203894645</v>
      </c>
      <c r="DE19">
        <f>AV19*(c_MI1+c_MI2+c_DM)</f>
        <v>117.0905601986786</v>
      </c>
      <c r="DF19">
        <f>AW19*(c_MI2+c_DM)</f>
        <v>190.13480814124796</v>
      </c>
      <c r="DG19">
        <f>AX19*(c_Stroke1+c_Stroke2+c_MI2+c_DM)</f>
        <v>5.5316048813005683</v>
      </c>
      <c r="DH19">
        <f>AY19*(c_Stroke2+c_MI1+c_MI2+c_DM)</f>
        <v>5.6265135440382741</v>
      </c>
      <c r="DI19">
        <f>AZ19*(c_Stroke2+c_MI2+c_DM)</f>
        <v>9.1215227760111262</v>
      </c>
      <c r="DJ19">
        <f>BA19*(c_HF1+c_DM)</f>
        <v>42.027446397774682</v>
      </c>
      <c r="DK19">
        <f>BB19*(c_HF2+c_DM)</f>
        <v>174.45724914866639</v>
      </c>
      <c r="DL19">
        <f>BC19*(c_Stroke2+c_HF1+c_DM)</f>
        <v>1.9992053667381313</v>
      </c>
      <c r="DM19">
        <f>BD19*(c_Stroke1+c_Stroke2+c_HF2+c_DM)</f>
        <v>3.1522509762260165</v>
      </c>
      <c r="DN19">
        <f>BE19*(c_Stroke2+c_HF2+c_DM)</f>
        <v>6.8614938550186233</v>
      </c>
      <c r="DO19">
        <f t="shared" si="20"/>
        <v>0</v>
      </c>
      <c r="DP19">
        <f t="shared" si="21"/>
        <v>8070.1388952517273</v>
      </c>
      <c r="DQ19">
        <f>DP19/(1+r_)^A19</f>
        <v>5029.0437544352144</v>
      </c>
    </row>
    <row r="20" spans="1:121" x14ac:dyDescent="0.3">
      <c r="A20">
        <v>17</v>
      </c>
      <c r="B20">
        <v>62</v>
      </c>
      <c r="C20">
        <f t="shared" si="40"/>
        <v>38</v>
      </c>
      <c r="D20">
        <f t="shared" si="1"/>
        <v>125</v>
      </c>
      <c r="E20">
        <f t="shared" si="41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2"/>
        <v>5.6857293942168513E-2</v>
      </c>
      <c r="J20">
        <f t="shared" si="23"/>
        <v>0.18371032691240885</v>
      </c>
      <c r="K20">
        <f t="shared" si="24"/>
        <v>0.24744420468978656</v>
      </c>
      <c r="L20">
        <f t="shared" si="25"/>
        <v>9.1620772150942442E-2</v>
      </c>
      <c r="M20">
        <f t="shared" si="26"/>
        <v>0.12591520549769275</v>
      </c>
      <c r="N20">
        <f t="shared" si="27"/>
        <v>0.39974767732337146</v>
      </c>
      <c r="O20">
        <f t="shared" si="28"/>
        <v>0.51382996844569806</v>
      </c>
      <c r="P20">
        <f t="shared" si="29"/>
        <v>0.22202683102575449</v>
      </c>
      <c r="Q20">
        <f t="shared" si="30"/>
        <v>0.29865094728417563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1.4966651808364591E-2</v>
      </c>
      <c r="U20">
        <f t="shared" si="31"/>
        <v>0.35709615448462551</v>
      </c>
      <c r="V20">
        <f t="shared" si="32"/>
        <v>0.46134566641002273</v>
      </c>
      <c r="W20">
        <f t="shared" si="33"/>
        <v>0.18870920366291344</v>
      </c>
      <c r="X20">
        <f t="shared" si="34"/>
        <v>0.25389055235605928</v>
      </c>
      <c r="Y20">
        <f t="shared" si="35"/>
        <v>0.58043313846874378</v>
      </c>
      <c r="Z20">
        <f t="shared" si="36"/>
        <v>0.70689566289179329</v>
      </c>
      <c r="AA20">
        <f t="shared" si="37"/>
        <v>0.34768158109126879</v>
      </c>
      <c r="AB20">
        <f t="shared" si="38"/>
        <v>0.45319367584219483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2.7170430613183548E-2</v>
      </c>
      <c r="AD20">
        <f t="shared" si="39"/>
        <v>0.27912450475556561</v>
      </c>
      <c r="AE20">
        <f t="shared" si="5"/>
        <v>2.7027316221543821E-2</v>
      </c>
      <c r="AF20">
        <f t="shared" si="6"/>
        <v>1.9698337837995772E-3</v>
      </c>
      <c r="AG20">
        <f t="shared" si="7"/>
        <v>7.8933338876519578E-3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1.1040975457824078E-3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5.6815496292802288E-3</v>
      </c>
      <c r="AJ20">
        <f t="shared" si="10"/>
        <v>3.9488907408689135E-5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3.2199732137302757E-5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1.316717961268088E-4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4.4148112864471882E-4</v>
      </c>
      <c r="AN20">
        <f t="shared" si="14"/>
        <v>3.1488258547099179E-3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1.2594372521923187E-5</v>
      </c>
      <c r="AP20">
        <f>AM19*T19*p_Stroke*p_Stroke_rec*(1-I19) + AN19*T19*p_Stroke*p_Stroke_rec*(1-I19) + AO19*(p_recur_Stroke*p_Stroke_rec)*(1-I19) + AP19*(p_recur_Stroke*p_Stroke_rec)*(1-I19) + AQ19*(p_recur_Stroke*p_Stroke_rec)*(1-I19)</f>
        <v>1.9025508923807195E-5</v>
      </c>
      <c r="AQ20">
        <f>AO19*(1-p_recur_Stroke-H19*rr_Stroke*rr_HF)*(1-I19) + AP19*(1-p_recur_Stroke-H19*rr_Stroke*rr_HF)*(1-I19) + AQ19*(1-p_recur_Stroke-H19*rr_Stroke*rr_HF)*(1-I19)</f>
        <v>6.9878366931613807E-5</v>
      </c>
      <c r="AR20">
        <f>AR19*(1-AC19-H19*rr_DM) + AD19*(1-T19-H19)*I19</f>
        <v>0.43024474093113352</v>
      </c>
      <c r="AS20">
        <f>AR19*AC19*p_Other + AD19*T19*p_Other*I19 + AE19*(1-T19*p_Stroke-T19*p_MI-H19*rr_Other)*I19 + AS19*(1-AC19*p_Stroke-AC19*p_MI-H19*rr_Other*rr_DM)</f>
        <v>6.546266000308E-2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5.316725583157246E-3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1.9532541249545756E-2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3.0834376743309249E-3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1.42845406225515E-2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1.6776747804418037E-4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1.3918496505579034E-4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5.1471599215676712E-4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1.1797367082932932E-3</v>
      </c>
      <c r="BB20">
        <f>AM19*(1-T19*p_Stroke - H19*rr_HF)*I19 + AN19*(1-T19*p_Stroke - H19*rr_HF)*I19 + BA19*(1-AC19*p_Stroke - H19*rr_HF*rr_DM) + BB19*(1-AC19*p_Stroke - H19*rr_HF*rr_DM)</f>
        <v>7.5580463501883841E-3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5.2322491011914258E-5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7.7300141566823743E-5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2.6076713999271617E-4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0.10042971117886228</v>
      </c>
      <c r="BG20">
        <f t="shared" si="16"/>
        <v>0.97499999999999942</v>
      </c>
      <c r="BH20">
        <f>(0.9442 - 0.0007*$B20 - dis_BMI*($C20-21.75))*AD20</f>
        <v>0.23646730231629629</v>
      </c>
      <c r="BI20">
        <f>0.959*(0.9442 - 0.0007*$B20 - dis_BMI*($C20-21.75))*AE20</f>
        <v>2.1958095088566946E-2</v>
      </c>
      <c r="BJ20">
        <f>(0.943*(0.9442 - 0.0007*$B20 - dis_BMI*($C20-21.75)) - 0.19*0.5)*AF20</f>
        <v>1.3865384719893936E-3</v>
      </c>
      <c r="BK20">
        <f>(0.943*(0.9442 - 0.0007*$B20 - dis_BMI*($C20-21.75)))*AG20</f>
        <v>6.3058741335040684E-3</v>
      </c>
      <c r="BL20">
        <f>(0.955*(0.9442 - 0.0007*$B20 - dis_BMI*($C20-21.75)) - 0.15*0.5)*AH20</f>
        <v>8.1046514968886136E-4</v>
      </c>
      <c r="BM20">
        <f>(0.955*(0.9442 - 0.0007*$B20 - dis_BMI*($C20-21.75)))*AI20</f>
        <v>4.5966698008621312E-3</v>
      </c>
      <c r="BN20">
        <f>(0.955*0.943*(0.9442 - 0.0007*$B20 - dis_BMI*($C20-21.75)) - 0.19*0.5)*AJ20</f>
        <v>2.637606893528581E-5</v>
      </c>
      <c r="BO20">
        <f>(0.955*0.943*(0.9442 - 0.0007*$B20 - dis_BMI*($C20-21.75)) - 0.15*0.5)*AK20</f>
        <v>2.2151359882341289E-5</v>
      </c>
      <c r="BP20">
        <f>(0.955*0.943*(0.9442 - 0.0007*$B20 - dis_BMI*($C20-21.75)))*AL20</f>
        <v>1.0045717371080062E-4</v>
      </c>
      <c r="BQ20">
        <f>(0.93*(0.9442 - 0.0007*$B20 - dis_BMI*($C20-21.75)))*AM20</f>
        <v>3.4783095089841842E-4</v>
      </c>
      <c r="BR20">
        <f>(0.93*(0.9442 - 0.0007*$B20 - dis_BMI*($C20-21.75)))*AN20</f>
        <v>2.4808740854214036E-3</v>
      </c>
      <c r="BS20">
        <f>(0.93*0.943*(0.9442 - 0.0007*$B20 - dis_BMI*($C20-21.75)))*AO20</f>
        <v>9.3571654273098497E-6</v>
      </c>
      <c r="BT20">
        <f>(0.93*0.943*(0.9442 - 0.0007*$B20 - dis_BMI*($C20-21.75))-0.19*0.5)*AP20</f>
        <v>1.2327844926138711E-5</v>
      </c>
      <c r="BU20">
        <f>(0.93*0.943*(0.9442 - 0.0007*$B20 - dis_BMI*($C20-21.75)))*AQ20</f>
        <v>5.1917111236084211E-5</v>
      </c>
      <c r="BV20">
        <f>0.962*(0.9442 - 0.0007*$B20 - dis_BMI*($C20-21.75))*AR20</f>
        <v>0.35064187003919639</v>
      </c>
      <c r="BW20">
        <f>0.962*0.959*(0.9442 - 0.0007*$B20 - dis_BMI*($C20-21.75))*AS20</f>
        <v>5.116352507461213E-2</v>
      </c>
      <c r="BX20">
        <f>0.962*(0.943*(0.9442 - 0.0007*$B20 - dis_BMI*($C20-21.75)) - 0.19*0.5)*AT20</f>
        <v>3.6001588209480747E-3</v>
      </c>
      <c r="BY20">
        <f>0.962*(0.943*(0.9442 - 0.0007*$B20 - dis_BMI*($C20-21.75)))*AU20</f>
        <v>1.5011311815992211E-2</v>
      </c>
      <c r="BZ20">
        <f>0.962*(0.955*(0.9442 - 0.0007*$B20 - dis_BMI*($C20-21.75)) - 0.15*0.5)*AV20</f>
        <v>2.1773946260160619E-3</v>
      </c>
      <c r="CA20">
        <f>0.962*(0.955*(0.9442 - 0.0007*$B20 - dis_BMI*($C20-21.75)))*AW20</f>
        <v>1.1117774303401797E-2</v>
      </c>
      <c r="CB20">
        <f>0.962*(0.955*0.943*(0.9442 - 0.0007*$B20 - dis_BMI*($C20-21.75)) - 0.19*0.5)*AX20</f>
        <v>1.0779976139699306E-4</v>
      </c>
      <c r="CC20">
        <f>0.962*(0.955*0.943*(0.9442 - 0.0007*$B20 - dis_BMI*($C20-21.75)) - 0.15*0.5)*AY20</f>
        <v>9.2111855495273824E-5</v>
      </c>
      <c r="CD20">
        <f>0.962*(0.955*0.943*(0.9442 - 0.0007*$B20 - dis_BMI*($C20-21.75)))*AZ20</f>
        <v>3.7777301269706506E-4</v>
      </c>
      <c r="CE20">
        <f>0.962*(0.93*(0.9442 - 0.0007*$B20 - dis_BMI*($C20-21.75)))*BA20</f>
        <v>8.941620732627033E-4</v>
      </c>
      <c r="CF20">
        <f>0.962*(0.93*(0.9442 - 0.0007*$B20 - dis_BMI*($C20-21.75)))*BB20</f>
        <v>5.7284971695734706E-3</v>
      </c>
      <c r="CG20">
        <f>0.962*(0.93*0.943*(0.9442 - 0.0007*$B20 - dis_BMI*($C20-21.75)))*BC20</f>
        <v>3.7396525741699449E-5</v>
      </c>
      <c r="CH20">
        <f>0.962*(0.93*0.943*(0.9442 - 0.0007*$B20 - dis_BMI*($C20-21.75))-0.19*0.5)*BD20</f>
        <v>4.818437623253647E-5</v>
      </c>
      <c r="CI20">
        <f>0.962*(0.93*0.943*(0.9442 - 0.0007*$B20 - dis_BMI*($C20-21.75)))*BE20</f>
        <v>1.8637845551172999E-4</v>
      </c>
      <c r="CJ20">
        <f t="shared" si="17"/>
        <v>0</v>
      </c>
      <c r="CK20">
        <f t="shared" si="18"/>
        <v>0.71576057463142373</v>
      </c>
      <c r="CL20">
        <f>CK20/(1+r_)^A20</f>
        <v>0.43304691893931513</v>
      </c>
      <c r="CM20">
        <f t="shared" si="19"/>
        <v>0</v>
      </c>
      <c r="CN20">
        <f>AE20*c_Other</f>
        <v>385.92304832742423</v>
      </c>
      <c r="CO20">
        <f>AF20*(c_Stroke1+c_Stroke2)</f>
        <v>46.913561394970728</v>
      </c>
      <c r="CP20">
        <f>AG20*c_Stroke2</f>
        <v>51.306670269737722</v>
      </c>
      <c r="CQ20">
        <f>AH20*(c_MI1+c_MI2)</f>
        <v>32.185547557102971</v>
      </c>
      <c r="CR20">
        <f>AI20*c_MI2</f>
        <v>17.709390194466472</v>
      </c>
      <c r="CS20">
        <f>AJ20*(c_Stroke1+c_Stroke2+c_MI2)</f>
        <v>1.0635547432382244</v>
      </c>
      <c r="CT20">
        <f>AK20*(c_Stroke2+c_MI1+c_MI2)</f>
        <v>1.1479526504269806</v>
      </c>
      <c r="CU20">
        <f>AL20*(c_Stroke2+c_MI2)</f>
        <v>1.2662876633515203</v>
      </c>
      <c r="CV20">
        <f>AM20*(c_HF1)</f>
        <v>11.933234907266749</v>
      </c>
      <c r="CW20">
        <f>AN20*(c_HF2)</f>
        <v>49.137427462748271</v>
      </c>
      <c r="CX20">
        <f>AO20*(c_Stroke2+c_HF1)</f>
        <v>0.42228931066008446</v>
      </c>
      <c r="CY20">
        <f>AP20*(c_Stroke1+c_Stroke2+c_HF2)</f>
        <v>0.75000458728540342</v>
      </c>
      <c r="CZ20">
        <f>AQ20*(c_Stroke2+c_HF2)</f>
        <v>1.5446613010233232</v>
      </c>
      <c r="DA20">
        <f>AR20*c_DM</f>
        <v>4915.5461651382002</v>
      </c>
      <c r="DB20">
        <f>AS20*(c_Other+c_DM)</f>
        <v>1682.6522127191683</v>
      </c>
      <c r="DC20">
        <f>AT20*(c_Stroke1+c_Stroke2+c_DM)</f>
        <v>187.36672627604452</v>
      </c>
      <c r="DD20">
        <f>AU20*(c_Stroke2+c_DM)</f>
        <v>350.12080189810769</v>
      </c>
      <c r="DE20">
        <f>AV20*(c_MI1+c_MI2+c_DM)</f>
        <v>125.11356707365161</v>
      </c>
      <c r="DF20">
        <f>AW20*(c_MI2+c_DM)</f>
        <v>207.72578973314393</v>
      </c>
      <c r="DG20">
        <f>AX20*(c_Stroke1+c_Stroke2+c_MI2+c_DM)</f>
        <v>6.4352249228186702</v>
      </c>
      <c r="DH20">
        <f>AY20*(c_Stroke2+c_MI1+c_MI2+c_DM)</f>
        <v>6.5522714149663859</v>
      </c>
      <c r="DI20">
        <f>AZ20*(c_Stroke2+c_MI2+c_DM)</f>
        <v>10.830653906962693</v>
      </c>
      <c r="DJ20">
        <f>BA20*(c_HF1+c_DM)</f>
        <v>45.366775117418591</v>
      </c>
      <c r="DK20">
        <f>BB20*(c_HF2+c_DM)</f>
        <v>204.29399284559202</v>
      </c>
      <c r="DL20">
        <f>BC20*(c_Stroke2+c_HF1+c_DM)</f>
        <v>2.3521575834406057</v>
      </c>
      <c r="DM20">
        <f>BD20*(c_Stroke1+c_Stroke2+c_HF2+c_DM)</f>
        <v>3.9304029981067199</v>
      </c>
      <c r="DN20">
        <f>BE20*(c_Stroke2+c_HF2+c_DM)</f>
        <v>8.7435222039557736</v>
      </c>
      <c r="DO20">
        <f t="shared" si="20"/>
        <v>0</v>
      </c>
      <c r="DP20">
        <f t="shared" si="21"/>
        <v>8358.3338942012815</v>
      </c>
      <c r="DQ20">
        <f>DP20/(1+r_)^A20</f>
        <v>5056.9294658535455</v>
      </c>
    </row>
    <row r="21" spans="1:121" x14ac:dyDescent="0.3">
      <c r="A21">
        <v>18</v>
      </c>
      <c r="B21">
        <v>63</v>
      </c>
      <c r="C21">
        <f t="shared" si="40"/>
        <v>38</v>
      </c>
      <c r="D21">
        <f t="shared" si="1"/>
        <v>125</v>
      </c>
      <c r="E21">
        <f t="shared" si="41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2"/>
        <v>5.6857293942168513E-2</v>
      </c>
      <c r="J21">
        <f t="shared" si="23"/>
        <v>0.19105052587520022</v>
      </c>
      <c r="K21">
        <f t="shared" si="24"/>
        <v>0.25690436620684087</v>
      </c>
      <c r="L21">
        <f t="shared" si="25"/>
        <v>9.5496824872994934E-2</v>
      </c>
      <c r="M21">
        <f t="shared" si="26"/>
        <v>0.13113417706784181</v>
      </c>
      <c r="N21">
        <f t="shared" si="27"/>
        <v>0.41519204339966309</v>
      </c>
      <c r="O21">
        <f t="shared" si="28"/>
        <v>0.53141073453278997</v>
      </c>
      <c r="P21">
        <f t="shared" si="29"/>
        <v>0.23193824578633826</v>
      </c>
      <c r="Q21">
        <f t="shared" si="30"/>
        <v>0.31124301664856635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1.5582230769991162E-2</v>
      </c>
      <c r="U21">
        <f t="shared" si="31"/>
        <v>0.3696110784304858</v>
      </c>
      <c r="V21">
        <f t="shared" si="32"/>
        <v>0.47597316035039894</v>
      </c>
      <c r="W21">
        <f t="shared" si="33"/>
        <v>0.19622419396021684</v>
      </c>
      <c r="X21">
        <f t="shared" si="34"/>
        <v>0.26355166279233133</v>
      </c>
      <c r="Y21">
        <f t="shared" si="35"/>
        <v>0.59863685707515391</v>
      </c>
      <c r="Z21">
        <f t="shared" si="36"/>
        <v>0.72470212207280416</v>
      </c>
      <c r="AA21">
        <f t="shared" si="37"/>
        <v>0.36175999369291867</v>
      </c>
      <c r="AB21">
        <f t="shared" si="38"/>
        <v>0.4697940644600046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2.8172259624016364E-2</v>
      </c>
      <c r="AD21">
        <f t="shared" si="39"/>
        <v>0.25695808072930926</v>
      </c>
      <c r="AE21">
        <f t="shared" si="5"/>
        <v>2.7052488108542345E-2</v>
      </c>
      <c r="AF21">
        <f t="shared" si="6"/>
        <v>1.941420815394963E-3</v>
      </c>
      <c r="AG21">
        <f t="shared" si="7"/>
        <v>7.8948680294835261E-3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1.076135300644168E-3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5.6146807372966061E-3</v>
      </c>
      <c r="AJ21">
        <f t="shared" si="10"/>
        <v>4.1442401130454259E-5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3.386453775630126E-5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1.4013497104425283E-4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4.3322945290850761E-4</v>
      </c>
      <c r="AN21">
        <f t="shared" si="14"/>
        <v>3.3193581700562192E-3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1.3335666168456275E-5</v>
      </c>
      <c r="AP21">
        <f>AM20*T20*p_Stroke*p_Stroke_rec*(1-I20) + AN20*T20*p_Stroke*p_Stroke_rec*(1-I20) + AO20*(p_recur_Stroke*p_Stroke_rec)*(1-I20) + AP20*(p_recur_Stroke*p_Stroke_rec)*(1-I20) + AQ20*(p_recur_Stroke*p_Stroke_rec)*(1-I20)</f>
        <v>2.1292112510365335E-5</v>
      </c>
      <c r="AQ21">
        <f>AO20*(1-p_recur_Stroke-H20*rr_Stroke*rr_HF)*(1-I20) + AP20*(1-p_recur_Stroke-H20*rr_Stroke*rr_HF)*(1-I20) + AQ20*(1-p_recur_Stroke-H20*rr_Stroke*rr_HF)*(1-I20)</f>
        <v>7.9359435826940601E-5</v>
      </c>
      <c r="AR21">
        <f>AR20*(1-AC20-H20*rr_DM) + AD20*(1-T20-H20)*I20</f>
        <v>0.42961721248977858</v>
      </c>
      <c r="AS21">
        <f>AR20*AC20*p_Other + AD20*T20*p_Other*I20 + AE20*(1-T20*p_Stroke-T20*p_MI-H20*rr_Other)*I20 + AS20*(1-AC20*p_Stroke-AC20*p_MI-H20*rr_Other*rr_DM)</f>
        <v>7.144241828343055E-2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5.7103497576412483E-3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2.1394227856890477E-2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3.2745167106387756E-3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1.5490107802996651E-2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1.9306362464036164E-4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1.6019701025278232E-4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6.0333553925878453E-4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1.2649336934212453E-3</v>
      </c>
      <c r="BB21">
        <f>AM20*(1-T20*p_Stroke - H20*rr_HF)*I20 + AN20*(1-T20*p_Stroke - H20*rr_HF)*I20 + BA20*(1-AC20*p_Stroke - H20*rr_HF*rr_DM) + BB20*(1-AC20*p_Stroke - H20*rr_HF*rr_DM)</f>
        <v>8.7196069842067191E-3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6.0788405620477237E-5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9.4618438316668206E-5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3.254377451687335E-4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0.11202949518966503</v>
      </c>
      <c r="BG21">
        <f t="shared" si="16"/>
        <v>0.97499999999999942</v>
      </c>
      <c r="BH21">
        <f>(0.9442 - 0.0007*$B21 - dis_BMI*($C21-21.75))*AD21</f>
        <v>0.21750859138534204</v>
      </c>
      <c r="BI21">
        <f>0.959*(0.9442 - 0.0007*$B21 - dis_BMI*($C21-21.75))*AE21</f>
        <v>2.1960385421939569E-2</v>
      </c>
      <c r="BJ21">
        <f>(0.943*(0.9442 - 0.0007*$B21 - dis_BMI*($C21-21.75)) - 0.19*0.5)*AF21</f>
        <v>1.365257448720377E-3</v>
      </c>
      <c r="BK21">
        <f>(0.943*(0.9442 - 0.0007*$B21 - dis_BMI*($C21-21.75)))*AG21</f>
        <v>6.301888335587414E-3</v>
      </c>
      <c r="BL21">
        <f>(0.955*(0.9442 - 0.0007*$B21 - dis_BMI*($C21-21.75)) - 0.15*0.5)*AH21</f>
        <v>7.892200077768847E-4</v>
      </c>
      <c r="BM21">
        <f>(0.955*(0.9442 - 0.0007*$B21 - dis_BMI*($C21-21.75)))*AI21</f>
        <v>4.5388159676335027E-3</v>
      </c>
      <c r="BN21">
        <f>(0.955*0.943*(0.9442 - 0.0007*$B21 - dis_BMI*($C21-21.75)) - 0.19*0.5)*AJ21</f>
        <v>2.7654752915238734E-5</v>
      </c>
      <c r="BO21">
        <f>(0.955*0.943*(0.9442 - 0.0007*$B21 - dis_BMI*($C21-21.75)) - 0.15*0.5)*AK21</f>
        <v>2.3275291804613459E-5</v>
      </c>
      <c r="BP21">
        <f>(0.955*0.943*(0.9442 - 0.0007*$B21 - dis_BMI*($C21-21.75)))*AL21</f>
        <v>1.0682569537674781E-4</v>
      </c>
      <c r="BQ21">
        <f>(0.93*(0.9442 - 0.0007*$B21 - dis_BMI*($C21-21.75)))*AM21</f>
        <v>3.4104764807017796E-4</v>
      </c>
      <c r="BR21">
        <f>(0.93*(0.9442 - 0.0007*$B21 - dis_BMI*($C21-21.75)))*AN21</f>
        <v>2.6130709475084548E-3</v>
      </c>
      <c r="BS21">
        <f>(0.93*0.943*(0.9442 - 0.0007*$B21 - dis_BMI*($C21-21.75)))*AO21</f>
        <v>9.8997332504107097E-6</v>
      </c>
      <c r="BT21">
        <f>(0.93*0.943*(0.9442 - 0.0007*$B21 - dis_BMI*($C21-21.75))-0.19*0.5)*AP21</f>
        <v>1.3783451381040404E-5</v>
      </c>
      <c r="BU21">
        <f>(0.93*0.943*(0.9442 - 0.0007*$B21 - dis_BMI*($C21-21.75)))*AQ21</f>
        <v>5.8912485935507152E-5</v>
      </c>
      <c r="BV21">
        <f>0.962*(0.9442 - 0.0007*$B21 - dis_BMI*($C21-21.75))*AR21</f>
        <v>0.34984114120447846</v>
      </c>
      <c r="BW21">
        <f>0.962*0.959*(0.9442 - 0.0007*$B21 - dis_BMI*($C21-21.75))*AS21</f>
        <v>5.5790976392509642E-2</v>
      </c>
      <c r="BX21">
        <f>0.962*(0.943*(0.9442 - 0.0007*$B21 - dis_BMI*($C21-21.75)) - 0.19*0.5)*AT21</f>
        <v>3.8630706827559418E-3</v>
      </c>
      <c r="BY21">
        <f>0.962*(0.943*(0.9442 - 0.0007*$B21 - dis_BMI*($C21-21.75)))*AU21</f>
        <v>1.6428485082539534E-2</v>
      </c>
      <c r="BZ21">
        <f>0.962*(0.955*(0.9442 - 0.0007*$B21 - dis_BMI*($C21-21.75)) - 0.15*0.5)*AV21</f>
        <v>2.31022081182723E-3</v>
      </c>
      <c r="CA21">
        <f>0.962*(0.955*(0.9442 - 0.0007*$B21 - dis_BMI*($C21-21.75)))*AW21</f>
        <v>1.2046115416524984E-2</v>
      </c>
      <c r="CB21">
        <f>0.962*(0.955*0.943*(0.9442 - 0.0007*$B21 - dis_BMI*($C21-21.75)) - 0.19*0.5)*AX21</f>
        <v>1.2393683465396286E-4</v>
      </c>
      <c r="CC21">
        <f>0.962*(0.955*0.943*(0.9442 - 0.0007*$B21 - dis_BMI*($C21-21.75)) - 0.15*0.5)*AY21</f>
        <v>1.0592036317159073E-4</v>
      </c>
      <c r="CD21">
        <f>0.962*(0.955*0.943*(0.9442 - 0.0007*$B21 - dis_BMI*($C21-21.75)))*AZ21</f>
        <v>4.4244896188850544E-4</v>
      </c>
      <c r="CE21">
        <f>0.962*(0.93*(0.9442 - 0.0007*$B21 - dis_BMI*($C21-21.75)))*BA21</f>
        <v>9.5794354976981295E-4</v>
      </c>
      <c r="CF21">
        <f>0.962*(0.93*(0.9442 - 0.0007*$B21 - dis_BMI*($C21-21.75)))*BB21</f>
        <v>6.6034222271814979E-3</v>
      </c>
      <c r="CG21">
        <f>0.962*(0.93*0.943*(0.9442 - 0.0007*$B21 - dis_BMI*($C21-21.75)))*BC21</f>
        <v>4.3411480988940234E-5</v>
      </c>
      <c r="CH21">
        <f>0.962*(0.93*0.943*(0.9442 - 0.0007*$B21 - dis_BMI*($C21-21.75))-0.19*0.5)*BD21</f>
        <v>5.892370872989082E-5</v>
      </c>
      <c r="CI21">
        <f>0.962*(0.93*0.943*(0.9442 - 0.0007*$B21 - dis_BMI*($C21-21.75)))*BE21</f>
        <v>2.324083736573109E-4</v>
      </c>
      <c r="CJ21">
        <f t="shared" si="17"/>
        <v>0</v>
      </c>
      <c r="CK21">
        <f t="shared" si="18"/>
        <v>0.70450705366391919</v>
      </c>
      <c r="CL21">
        <f>CK21/(1+r_)^A21</f>
        <v>0.41382364434982127</v>
      </c>
      <c r="CM21">
        <f t="shared" si="19"/>
        <v>0</v>
      </c>
      <c r="CN21">
        <f>AE21*c_Other</f>
        <v>386.28247770187613</v>
      </c>
      <c r="CO21">
        <f>AF21*(c_Stroke1+c_Stroke2)</f>
        <v>46.236878139446439</v>
      </c>
      <c r="CP21">
        <f>AG21*c_Stroke2</f>
        <v>51.31664219164292</v>
      </c>
      <c r="CQ21">
        <f>AH21*(c_MI1+c_MI2)</f>
        <v>31.370420149078139</v>
      </c>
      <c r="CR21">
        <f>AI21*c_MI2</f>
        <v>17.500959858153522</v>
      </c>
      <c r="CS21">
        <f>AJ21*(c_Stroke1+c_Stroke2+c_MI2)</f>
        <v>1.1161681896465245</v>
      </c>
      <c r="CT21">
        <f>AK21*(c_Stroke2+c_MI1+c_MI2)</f>
        <v>1.2073046355498962</v>
      </c>
      <c r="CU21">
        <f>AL21*(c_Stroke2+c_MI2)</f>
        <v>1.3476780165325795</v>
      </c>
      <c r="CV21">
        <f>AM21*(c_HF1)</f>
        <v>11.71019211211696</v>
      </c>
      <c r="CW21">
        <f>AN21*(c_HF2)</f>
        <v>51.798584243727298</v>
      </c>
      <c r="CX21">
        <f>AO21*(c_Stroke2+c_HF1)</f>
        <v>0.4471448866283389</v>
      </c>
      <c r="CY21">
        <f>AP21*(c_Stroke1+c_Stroke2+c_HF2)</f>
        <v>0.83935636727111185</v>
      </c>
      <c r="CZ21">
        <f>AQ21*(c_Stroke2+c_HF2)</f>
        <v>1.7542403289545221</v>
      </c>
      <c r="DA21">
        <f>AR21*c_DM</f>
        <v>4908.3766526957206</v>
      </c>
      <c r="DB21">
        <f>AS21*(c_Other+c_DM)</f>
        <v>1836.3559195572989</v>
      </c>
      <c r="DC21">
        <f>AT21*(c_Stroke1+c_Stroke2+c_DM)</f>
        <v>201.23843580903522</v>
      </c>
      <c r="DD21">
        <f>AU21*(c_Stroke2+c_DM)</f>
        <v>383.49153433476181</v>
      </c>
      <c r="DE21">
        <f>AV21*(c_MI1+c_MI2+c_DM)</f>
        <v>132.86679005087896</v>
      </c>
      <c r="DF21">
        <f>AW21*(c_MI2+c_DM)</f>
        <v>225.25714767117731</v>
      </c>
      <c r="DG21">
        <f>AX21*(c_Stroke1+c_Stroke2+c_MI2+c_DM)</f>
        <v>7.4055345139549917</v>
      </c>
      <c r="DH21">
        <f>AY21*(c_Stroke2+c_MI1+c_MI2+c_DM)</f>
        <v>7.5414344546599805</v>
      </c>
      <c r="DI21">
        <f>AZ21*(c_Stroke2+c_MI2+c_DM)</f>
        <v>12.695386417083345</v>
      </c>
      <c r="DJ21">
        <f>BA21*(c_HF1+c_DM)</f>
        <v>48.643025180513987</v>
      </c>
      <c r="DK21">
        <f>BB21*(c_HF2+c_DM)</f>
        <v>235.69097678310763</v>
      </c>
      <c r="DL21">
        <f>BC21*(c_Stroke2+c_HF1+c_DM)</f>
        <v>2.7327427746685542</v>
      </c>
      <c r="DM21">
        <f>BD21*(c_Stroke1+c_Stroke2+c_HF2+c_DM)</f>
        <v>4.8109691146493114</v>
      </c>
      <c r="DN21">
        <f>BE21*(c_Stroke2+c_HF2+c_DM)</f>
        <v>10.911927595507635</v>
      </c>
      <c r="DO21">
        <f t="shared" si="20"/>
        <v>0</v>
      </c>
      <c r="DP21">
        <f t="shared" si="21"/>
        <v>8620.9465237736404</v>
      </c>
      <c r="DQ21">
        <f>DP21/(1+r_)^A21</f>
        <v>5063.897500612974</v>
      </c>
    </row>
    <row r="22" spans="1:121" x14ac:dyDescent="0.3">
      <c r="A22">
        <v>19</v>
      </c>
      <c r="B22">
        <v>64</v>
      </c>
      <c r="C22">
        <f t="shared" si="40"/>
        <v>38</v>
      </c>
      <c r="D22">
        <f t="shared" si="1"/>
        <v>125</v>
      </c>
      <c r="E22">
        <f t="shared" si="41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22"/>
        <v>5.6857293942168513E-2</v>
      </c>
      <c r="J22">
        <f t="shared" si="23"/>
        <v>0.19852524814975803</v>
      </c>
      <c r="K22">
        <f t="shared" si="24"/>
        <v>0.26650263735212254</v>
      </c>
      <c r="L22">
        <f t="shared" si="25"/>
        <v>9.9462994216178546E-2</v>
      </c>
      <c r="M22">
        <f t="shared" si="26"/>
        <v>0.13646522362411928</v>
      </c>
      <c r="N22">
        <f t="shared" si="27"/>
        <v>0.43074537261737778</v>
      </c>
      <c r="O22">
        <f t="shared" si="28"/>
        <v>0.54892278167769382</v>
      </c>
      <c r="P22">
        <f t="shared" si="29"/>
        <v>0.24205493656968358</v>
      </c>
      <c r="Q22">
        <f t="shared" si="30"/>
        <v>0.3240268528839334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1.6209003816558612E-2</v>
      </c>
      <c r="U22">
        <f t="shared" si="31"/>
        <v>0.38221882025103582</v>
      </c>
      <c r="V22">
        <f t="shared" si="32"/>
        <v>0.49059199901712325</v>
      </c>
      <c r="W22">
        <f t="shared" si="33"/>
        <v>0.20387479050532364</v>
      </c>
      <c r="X22">
        <f t="shared" si="34"/>
        <v>0.27335001302590789</v>
      </c>
      <c r="Y22">
        <f t="shared" si="35"/>
        <v>0.61663121815541189</v>
      </c>
      <c r="Z22">
        <f t="shared" si="36"/>
        <v>0.74197898861652956</v>
      </c>
      <c r="AA22">
        <f t="shared" si="37"/>
        <v>0.37599911316483481</v>
      </c>
      <c r="AB22">
        <f t="shared" si="38"/>
        <v>0.4864308045377197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2.918375517545984E-2</v>
      </c>
      <c r="AD22">
        <f t="shared" si="39"/>
        <v>0.23622879315082712</v>
      </c>
      <c r="AE22">
        <f t="shared" si="5"/>
        <v>2.6943750299192375E-2</v>
      </c>
      <c r="AF22">
        <f t="shared" si="6"/>
        <v>1.9073796898473323E-3</v>
      </c>
      <c r="AG22">
        <f t="shared" si="7"/>
        <v>7.8512481673439303E-3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1.0465993365933392E-3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5.5281619432449051E-3</v>
      </c>
      <c r="AJ22">
        <f t="shared" si="10"/>
        <v>4.3239080664160285E-5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3.5387948773067481E-5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1.4773877782246558E-4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4.2401148666735124E-4</v>
      </c>
      <c r="AN22">
        <f t="shared" si="14"/>
        <v>3.464266003325534E-3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1.4021336621022184E-5</v>
      </c>
      <c r="AP22">
        <f>AM21*T21*p_Stroke*p_Stroke_rec*(1-I21) + AN21*T21*p_Stroke*p_Stroke_rec*(1-I21) + AO21*(p_recur_Stroke*p_Stroke_rec)*(1-I21) + AP21*(p_recur_Stroke*p_Stroke_rec)*(1-I21) + AQ21*(p_recur_Stroke*p_Stroke_rec)*(1-I21)</f>
        <v>2.3538220485543808E-5</v>
      </c>
      <c r="AQ22">
        <f>AO21*(1-p_recur_Stroke-H21*rr_Stroke*rr_HF)*(1-I21) + AP21*(1-p_recur_Stroke-H21*rr_Stroke*rr_HF)*(1-I21) + AQ21*(1-p_recur_Stroke-H21*rr_Stroke*rr_HF)*(1-I21)</f>
        <v>8.86845893945295E-5</v>
      </c>
      <c r="AR22">
        <f>AR21*(1-AC21-H21*rr_DM) + AD21*(1-T21-H21)*I21</f>
        <v>0.42697839149051953</v>
      </c>
      <c r="AS22">
        <f>AR21*AC21*p_Other + AD21*T21*p_Other*I21 + AE21*(1-T21*p_Stroke-T21*p_MI-H21*rr_Other)*I21 + AS21*(1-AC21*p_Stroke-AC21*p_MI-H21*rr_Other*rr_DM)</f>
        <v>7.7308625105639656E-2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6.0942734159405059E-3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2.3214110500121784E-2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3.4584542766277074E-3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1.6674506133149126E-2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2.2007550310803158E-4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1.8253188089399224E-4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6.9757536488034672E-4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1.3482014970454259E-3</v>
      </c>
      <c r="BB22">
        <f>AM21*(1-T21*p_Stroke - H21*rr_HF)*I21 + AN21*(1-T21*p_Stroke - H21*rr_HF)*I21 + BA21*(1-AC21*p_Stroke - H21*rr_HF*rr_DM) + BB21*(1-AC21*p_Stroke - H21*rr_HF*rr_DM)</f>
        <v>9.926649272919516E-3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6.9866383086623321E-5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1.1402458713650774E-4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3.9803483971719575E-4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0.12456785971841082</v>
      </c>
      <c r="BG22">
        <f t="shared" si="16"/>
        <v>0.97499999999999942</v>
      </c>
      <c r="BH22">
        <f>(0.9442 - 0.0007*$B22 - dis_BMI*($C22-21.75))*AD22</f>
        <v>0.19979640752714081</v>
      </c>
      <c r="BI22">
        <f>0.959*(0.9442 - 0.0007*$B22 - dis_BMI*($C22-21.75))*AE22</f>
        <v>2.1854028042518157E-2</v>
      </c>
      <c r="BJ22">
        <f>(0.943*(0.9442 - 0.0007*$B22 - dis_BMI*($C22-21.75)) - 0.19*0.5)*AF22</f>
        <v>1.3400597853858354E-3</v>
      </c>
      <c r="BK22">
        <f>(0.943*(0.9442 - 0.0007*$B22 - dis_BMI*($C22-21.75)))*AG22</f>
        <v>6.2618872218674002E-3</v>
      </c>
      <c r="BL22">
        <f>(0.955*(0.9442 - 0.0007*$B22 - dis_BMI*($C22-21.75)) - 0.15*0.5)*AH22</f>
        <v>7.668591637369056E-4</v>
      </c>
      <c r="BM22">
        <f>(0.955*(0.9442 - 0.0007*$B22 - dis_BMI*($C22-21.75)))*AI22</f>
        <v>4.465180015008301E-3</v>
      </c>
      <c r="BN22">
        <f>(0.955*0.943*(0.9442 - 0.0007*$B22 - dis_BMI*($C22-21.75)) - 0.19*0.5)*AJ22</f>
        <v>2.8826429792160457E-5</v>
      </c>
      <c r="BO22">
        <f>(0.955*0.943*(0.9442 - 0.0007*$B22 - dis_BMI*($C22-21.75)) - 0.15*0.5)*AK22</f>
        <v>2.4300032565148028E-5</v>
      </c>
      <c r="BP22">
        <f>(0.955*0.943*(0.9442 - 0.0007*$B22 - dis_BMI*($C22-21.75)))*AL22</f>
        <v>1.1252898720863548E-4</v>
      </c>
      <c r="BQ22">
        <f>(0.93*(0.9442 - 0.0007*$B22 - dis_BMI*($C22-21.75)))*AM22</f>
        <v>3.3351503307655348E-4</v>
      </c>
      <c r="BR22">
        <f>(0.93*(0.9442 - 0.0007*$B22 - dis_BMI*($C22-21.75)))*AN22</f>
        <v>2.724890308435268E-3</v>
      </c>
      <c r="BS22">
        <f>(0.93*0.943*(0.9442 - 0.0007*$B22 - dis_BMI*($C22-21.75)))*AO22</f>
        <v>1.0400133186065892E-5</v>
      </c>
      <c r="BT22">
        <f>(0.93*0.943*(0.9442 - 0.0007*$B22 - dis_BMI*($C22-21.75))-0.19*0.5)*AP22</f>
        <v>1.5223019677617063E-5</v>
      </c>
      <c r="BU22">
        <f>(0.93*0.943*(0.9442 - 0.0007*$B22 - dis_BMI*($C22-21.75)))*AQ22</f>
        <v>6.5780571865867781E-5</v>
      </c>
      <c r="BV22">
        <f>0.962*(0.9442 - 0.0007*$B22 - dis_BMI*($C22-21.75))*AR22</f>
        <v>0.34740479839850419</v>
      </c>
      <c r="BW22">
        <f>0.962*0.959*(0.9442 - 0.0007*$B22 - dis_BMI*($C22-21.75))*AS22</f>
        <v>6.0322102833560522E-2</v>
      </c>
      <c r="BX22">
        <f>0.962*(0.943*(0.9442 - 0.0007*$B22 - dis_BMI*($C22-21.75)) - 0.19*0.5)*AT22</f>
        <v>4.1189263574964692E-3</v>
      </c>
      <c r="BY22">
        <f>0.962*(0.943*(0.9442 - 0.0007*$B22 - dis_BMI*($C22-21.75)))*AU22</f>
        <v>1.7811219507349305E-2</v>
      </c>
      <c r="BZ22">
        <f>0.962*(0.955*(0.9442 - 0.0007*$B22 - dis_BMI*($C22-21.75)) - 0.15*0.5)*AV22</f>
        <v>2.4377674108170253E-3</v>
      </c>
      <c r="CA22">
        <f>0.962*(0.955*(0.9442 - 0.0007*$B22 - dis_BMI*($C22-21.75)))*AW22</f>
        <v>1.2956457275035119E-2</v>
      </c>
      <c r="CB22">
        <f>0.962*(0.955*0.943*(0.9442 - 0.0007*$B22 - dis_BMI*($C22-21.75)) - 0.19*0.5)*AX22</f>
        <v>1.4114359709045622E-4</v>
      </c>
      <c r="CC22">
        <f>0.962*(0.955*0.943*(0.9442 - 0.0007*$B22 - dis_BMI*($C22-21.75)) - 0.15*0.5)*AY22</f>
        <v>1.2057722001827115E-4</v>
      </c>
      <c r="CD22">
        <f>0.962*(0.955*0.943*(0.9442 - 0.0007*$B22 - dis_BMI*($C22-21.75)))*AZ22</f>
        <v>5.1113558234913844E-4</v>
      </c>
      <c r="CE22">
        <f>0.962*(0.93*(0.9442 - 0.0007*$B22 - dis_BMI*($C22-21.75)))*BA22</f>
        <v>1.0201585399002219E-3</v>
      </c>
      <c r="CF22">
        <f>0.962*(0.93*(0.9442 - 0.0007*$B22 - dis_BMI*($C22-21.75)))*BB22</f>
        <v>7.5113075089709427E-3</v>
      </c>
      <c r="CG22">
        <f>0.962*(0.93*0.943*(0.9442 - 0.0007*$B22 - dis_BMI*($C22-21.75)))*BC22</f>
        <v>4.9853174488874133E-5</v>
      </c>
      <c r="CH22">
        <f>0.962*(0.93*0.943*(0.9442 - 0.0007*$B22 - dis_BMI*($C22-21.75))-0.19*0.5)*BD22</f>
        <v>7.0941564612148021E-5</v>
      </c>
      <c r="CI22">
        <f>0.962*(0.93*0.943*(0.9442 - 0.0007*$B22 - dis_BMI*($C22-21.75)))*BE22</f>
        <v>2.8401785580441221E-4</v>
      </c>
      <c r="CJ22">
        <f t="shared" si="17"/>
        <v>0</v>
      </c>
      <c r="CK22">
        <f t="shared" si="18"/>
        <v>0.69256029309746203</v>
      </c>
      <c r="CL22">
        <f>CK22/(1+r_)^A22</f>
        <v>0.39495745787825387</v>
      </c>
      <c r="CM22">
        <f t="shared" si="19"/>
        <v>0</v>
      </c>
      <c r="CN22">
        <f>AE22*c_Other</f>
        <v>384.7298105221679</v>
      </c>
      <c r="CO22">
        <f>AF22*(c_Stroke1+c_Stroke2)</f>
        <v>45.426154693404065</v>
      </c>
      <c r="CP22">
        <f>AG22*c_Stroke2</f>
        <v>51.033113087735543</v>
      </c>
      <c r="CQ22">
        <f>AH22*(c_MI1+c_MI2)</f>
        <v>30.509417261032432</v>
      </c>
      <c r="CR22">
        <f>AI22*c_MI2</f>
        <v>17.231280777094369</v>
      </c>
      <c r="CS22">
        <f>AJ22*(c_Stroke1+c_Stroke2+c_MI2)</f>
        <v>1.1645581595278289</v>
      </c>
      <c r="CT22">
        <f>AK22*(c_Stroke2+c_MI1+c_MI2)</f>
        <v>1.2616157617086288</v>
      </c>
      <c r="CU22">
        <f>AL22*(c_Stroke2+c_MI2)</f>
        <v>1.4208038263186515</v>
      </c>
      <c r="CV22">
        <f>AM22*(c_HF1)</f>
        <v>11.461030484618504</v>
      </c>
      <c r="CW22">
        <f>AN22*(c_HF2)</f>
        <v>54.05987098189496</v>
      </c>
      <c r="CX22">
        <f>AO22*(c_Stroke2+c_HF1)</f>
        <v>0.47013541690287386</v>
      </c>
      <c r="CY22">
        <f>AP22*(c_Stroke1+c_Stroke2+c_HF2)</f>
        <v>0.9279001897606225</v>
      </c>
      <c r="CZ22">
        <f>AQ22*(c_Stroke2+c_HF2)</f>
        <v>1.9603728485660745</v>
      </c>
      <c r="DA22">
        <f>AR22*c_DM</f>
        <v>4878.2281227791855</v>
      </c>
      <c r="DB22">
        <f>AS22*(c_Other+c_DM)</f>
        <v>1987.1408997153617</v>
      </c>
      <c r="DC22">
        <f>AT22*(c_Stroke1+c_Stroke2+c_DM)</f>
        <v>214.76828945115938</v>
      </c>
      <c r="DD22">
        <f>AU22*(c_Stroke2+c_DM)</f>
        <v>416.11293071468299</v>
      </c>
      <c r="DE22">
        <f>AV22*(c_MI1+c_MI2+c_DM)</f>
        <v>140.33024072844586</v>
      </c>
      <c r="DF22">
        <f>AW22*(c_MI2+c_DM)</f>
        <v>242.48066818825458</v>
      </c>
      <c r="DG22">
        <f>AX22*(c_Stroke1+c_Stroke2+c_MI2+c_DM)</f>
        <v>8.4416561482178754</v>
      </c>
      <c r="DH22">
        <f>AY22*(c_Stroke2+c_MI1+c_MI2+c_DM)</f>
        <v>8.5928708249655781</v>
      </c>
      <c r="DI22">
        <f>AZ22*(c_Stroke2+c_MI2+c_DM)</f>
        <v>14.678380827812255</v>
      </c>
      <c r="DJ22">
        <f>BA22*(c_HF1+c_DM)</f>
        <v>51.845088568881856</v>
      </c>
      <c r="DK22">
        <f>BB22*(c_HF2+c_DM)</f>
        <v>268.31732984701449</v>
      </c>
      <c r="DL22">
        <f>BC22*(c_Stroke2+c_HF1+c_DM)</f>
        <v>3.1408432516591516</v>
      </c>
      <c r="DM22">
        <f>BD22*(c_Stroke1+c_Stroke2+c_HF2+c_DM)</f>
        <v>5.7976941575428729</v>
      </c>
      <c r="DN22">
        <f>BE22*(c_Stroke2+c_HF2+c_DM)</f>
        <v>13.346108175717573</v>
      </c>
      <c r="DO22">
        <f t="shared" si="20"/>
        <v>0</v>
      </c>
      <c r="DP22">
        <f t="shared" si="21"/>
        <v>8854.8771873896349</v>
      </c>
      <c r="DQ22">
        <f>DP22/(1+r_)^A22</f>
        <v>5049.8127291039882</v>
      </c>
    </row>
    <row r="23" spans="1:121" x14ac:dyDescent="0.3">
      <c r="A23">
        <v>20</v>
      </c>
      <c r="B23">
        <v>65</v>
      </c>
      <c r="C23">
        <f t="shared" si="40"/>
        <v>38</v>
      </c>
      <c r="D23">
        <f t="shared" si="1"/>
        <v>125</v>
      </c>
      <c r="E23">
        <f t="shared" si="41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2"/>
        <v>5.6857293942168513E-2</v>
      </c>
      <c r="J23">
        <f t="shared" si="23"/>
        <v>0.20613179673728965</v>
      </c>
      <c r="K23">
        <f t="shared" si="24"/>
        <v>0.27623344917106485</v>
      </c>
      <c r="L23">
        <f t="shared" si="25"/>
        <v>0.10351916023209251</v>
      </c>
      <c r="M23">
        <f t="shared" si="26"/>
        <v>0.14190752007968155</v>
      </c>
      <c r="N23">
        <f t="shared" si="27"/>
        <v>0.44638619386734046</v>
      </c>
      <c r="O23">
        <f t="shared" si="28"/>
        <v>0.56633516095568992</v>
      </c>
      <c r="P23">
        <f t="shared" si="29"/>
        <v>0.25237119249524065</v>
      </c>
      <c r="Q23">
        <f t="shared" si="30"/>
        <v>0.33699049321146501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1.6846676606070518E-2</v>
      </c>
      <c r="U23">
        <f t="shared" si="31"/>
        <v>0.39490769860290664</v>
      </c>
      <c r="V23">
        <f t="shared" si="32"/>
        <v>0.50518475880173264</v>
      </c>
      <c r="W23">
        <f t="shared" si="33"/>
        <v>0.21165809862351648</v>
      </c>
      <c r="X23">
        <f t="shared" si="34"/>
        <v>0.28327970638974265</v>
      </c>
      <c r="Y23">
        <f t="shared" si="35"/>
        <v>0.63438220166633008</v>
      </c>
      <c r="Z23">
        <f t="shared" si="36"/>
        <v>0.75869714695595181</v>
      </c>
      <c r="AA23">
        <f t="shared" si="37"/>
        <v>0.39038242713377103</v>
      </c>
      <c r="AB23">
        <f t="shared" si="38"/>
        <v>0.50307757393780883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3.0204049613351689E-2</v>
      </c>
      <c r="AD23">
        <f t="shared" si="39"/>
        <v>0.21691048500003754</v>
      </c>
      <c r="AE23">
        <f t="shared" si="5"/>
        <v>2.6719518617750824E-2</v>
      </c>
      <c r="AF23">
        <f t="shared" si="6"/>
        <v>1.867411559915677E-3</v>
      </c>
      <c r="AG23">
        <f t="shared" si="7"/>
        <v>7.7722615961759662E-3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1.0154411640577521E-3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5.4260305252824825E-3</v>
      </c>
      <c r="AJ23">
        <f t="shared" si="10"/>
        <v>4.4838010666879631E-5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3.6733303492292633E-5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1.5465333703472271E-4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4.1381899753770407E-4</v>
      </c>
      <c r="AN23">
        <f t="shared" si="14"/>
        <v>3.5853576188767341E-3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1.4634307000609437E-5</v>
      </c>
      <c r="AP23">
        <f>AM22*T22*p_Stroke*p_Stroke_rec*(1-I22) + AN22*T22*p_Stroke*p_Stroke_rec*(1-I22) + AO22*(p_recur_Stroke*p_Stroke_rec)*(1-I22) + AP22*(p_recur_Stroke*p_Stroke_rec)*(1-I22) + AQ22*(p_recur_Stroke*p_Stroke_rec)*(1-I22)</f>
        <v>2.572277045417467E-5</v>
      </c>
      <c r="AQ23">
        <f>AO22*(1-p_recur_Stroke-H22*rr_Stroke*rr_HF)*(1-I22) + AP22*(1-p_recur_Stroke-H22*rr_Stroke*rr_HF)*(1-I22) + AQ22*(1-p_recur_Stroke-H22*rr_Stroke*rr_HF)*(1-I22)</f>
        <v>9.7850418299115825E-5</v>
      </c>
      <c r="AR23">
        <f>AR22*(1-AC22-H22*rr_DM) + AD22*(1-T22-H22)*I22</f>
        <v>0.42257866161154606</v>
      </c>
      <c r="AS23">
        <f>AR22*AC22*p_Other + AD22*T22*p_Other*I22 + AE22*(1-T22*p_Stroke-T22*p_MI-H22*rr_Other)*I22 + AS22*(1-AC22*p_Stroke-AC22*p_MI-H22*rr_Other*rr_DM)</f>
        <v>8.3032255139922212E-2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6.4623371998552698E-3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2.499422447208046E-2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3.6330021009034815E-3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1.7835312062349382E-2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2.4848995190952127E-4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2.0588877505555141E-4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7.9794618305880716E-4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1.4285052398636832E-3</v>
      </c>
      <c r="BB23">
        <f>AM22*(1-T22*p_Stroke - H22*rr_HF)*I22 + AN22*(1-T22*p_Stroke - H22*rr_HF)*I22 + BA22*(1-AC22*p_Stroke - H22*rr_HF*rr_DM) + BB22*(1-AC22*p_Stroke - H22*rr_HF*rr_DM)</f>
        <v>1.1174281384108789E-2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7.9433770465277471E-5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1.3542069460863878E-4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4.7905531387486586E-4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0.13783042887381503</v>
      </c>
      <c r="BG23">
        <f t="shared" si="16"/>
        <v>0.97499999999999942</v>
      </c>
      <c r="BH23">
        <f>(0.9442 - 0.0007*$B23 - dis_BMI*($C23-21.75))*AD23</f>
        <v>0.18330562811140672</v>
      </c>
      <c r="BI23">
        <f>0.959*(0.9442 - 0.0007*$B23 - dis_BMI*($C23-21.75))*AE23</f>
        <v>2.165421731086405E-2</v>
      </c>
      <c r="BJ23">
        <f>(0.943*(0.9442 - 0.0007*$B23 - dis_BMI*($C23-21.75)) - 0.19*0.5)*AF23</f>
        <v>1.3107468648359943E-3</v>
      </c>
      <c r="BK23">
        <f>(0.943*(0.9442 - 0.0007*$B23 - dis_BMI*($C23-21.75)))*AG23</f>
        <v>6.1937597621902658E-3</v>
      </c>
      <c r="BL23">
        <f>(0.955*(0.9442 - 0.0007*$B23 - dis_BMI*($C23-21.75)) - 0.15*0.5)*AH23</f>
        <v>7.4335027703454888E-4</v>
      </c>
      <c r="BM23">
        <f>(0.955*(0.9442 - 0.0007*$B23 - dis_BMI*($C23-21.75)))*AI23</f>
        <v>4.3790596225762044E-3</v>
      </c>
      <c r="BN23">
        <f>(0.955*0.943*(0.9442 - 0.0007*$B23 - dis_BMI*($C23-21.75)) - 0.19*0.5)*AJ23</f>
        <v>2.9864131351781744E-5</v>
      </c>
      <c r="BO23">
        <f>(0.955*0.943*(0.9442 - 0.0007*$B23 - dis_BMI*($C23-21.75)) - 0.15*0.5)*AK23</f>
        <v>2.5200697995945872E-5</v>
      </c>
      <c r="BP23">
        <f>(0.955*0.943*(0.9442 - 0.0007*$B23 - dis_BMI*($C23-21.75)))*AL23</f>
        <v>1.1769814383802542E-4</v>
      </c>
      <c r="BQ23">
        <f>(0.93*(0.9442 - 0.0007*$B23 - dis_BMI*($C23-21.75)))*AM23</f>
        <v>3.2522852309008302E-4</v>
      </c>
      <c r="BR23">
        <f>(0.93*(0.9442 - 0.0007*$B23 - dis_BMI*($C23-21.75)))*AN23</f>
        <v>2.8178033634881981E-3</v>
      </c>
      <c r="BS23">
        <f>(0.93*0.943*(0.9442 - 0.0007*$B23 - dis_BMI*($C23-21.75)))*AO23</f>
        <v>1.0845811618079713E-5</v>
      </c>
      <c r="BT23">
        <f>(0.93*0.943*(0.9442 - 0.0007*$B23 - dis_BMI*($C23-21.75))-0.19*0.5)*AP23</f>
        <v>1.6620056232000566E-5</v>
      </c>
      <c r="BU23">
        <f>(0.93*0.943*(0.9442 - 0.0007*$B23 - dis_BMI*($C23-21.75)))*AQ23</f>
        <v>7.2519129438675451E-5</v>
      </c>
      <c r="BV23">
        <f>0.962*(0.9442 - 0.0007*$B23 - dis_BMI*($C23-21.75))*AR23</f>
        <v>0.34354045728784494</v>
      </c>
      <c r="BW23">
        <f>0.962*0.959*(0.9442 - 0.0007*$B23 - dis_BMI*($C23-21.75))*AS23</f>
        <v>6.4734495350925819E-2</v>
      </c>
      <c r="BX23">
        <f>0.962*(0.943*(0.9442 - 0.0007*$B23 - dis_BMI*($C23-21.75)) - 0.19*0.5)*AT23</f>
        <v>4.3635853213154453E-3</v>
      </c>
      <c r="BY23">
        <f>0.962*(0.943*(0.9442 - 0.0007*$B23 - dis_BMI*($C23-21.75)))*AU23</f>
        <v>1.9161155031934052E-2</v>
      </c>
      <c r="BZ23">
        <f>0.962*(0.955*(0.9442 - 0.0007*$B23 - dis_BMI*($C23-21.75)) - 0.15*0.5)*AV23</f>
        <v>2.5584649033740998E-3</v>
      </c>
      <c r="CA23">
        <f>0.962*(0.955*(0.9442 - 0.0007*$B23 - dis_BMI*($C23-21.75)))*AW23</f>
        <v>1.3846959126322705E-2</v>
      </c>
      <c r="CB23">
        <f>0.962*(0.955*0.943*(0.9442 - 0.0007*$B23 - dis_BMI*($C23-21.75)) - 0.19*0.5)*AX23</f>
        <v>1.5921627359991389E-4</v>
      </c>
      <c r="CC23">
        <f>0.962*(0.955*0.943*(0.9442 - 0.0007*$B23 - dis_BMI*($C23-21.75)) - 0.15*0.5)*AY23</f>
        <v>1.3588149756316162E-4</v>
      </c>
      <c r="CD23">
        <f>0.962*(0.955*0.943*(0.9442 - 0.0007*$B23 - dis_BMI*($C23-21.75)))*AZ23</f>
        <v>5.8419655563258176E-4</v>
      </c>
      <c r="CE23">
        <f>0.962*(0.93*(0.9442 - 0.0007*$B23 - dis_BMI*($C23-21.75)))*BA23</f>
        <v>1.0800282427098364E-3</v>
      </c>
      <c r="CF23">
        <f>0.962*(0.93*(0.9442 - 0.0007*$B23 - dis_BMI*($C23-21.75)))*BB23</f>
        <v>8.4483690714189531E-3</v>
      </c>
      <c r="CG23">
        <f>0.962*(0.93*0.943*(0.9442 - 0.0007*$B23 - dis_BMI*($C23-21.75)))*BC23</f>
        <v>5.663307524870308E-5</v>
      </c>
      <c r="CH23">
        <f>0.962*(0.93*0.943*(0.9442 - 0.0007*$B23 - dis_BMI*($C23-21.75))-0.19*0.5)*BD23</f>
        <v>8.4173397261903978E-5</v>
      </c>
      <c r="CI23">
        <f>0.962*(0.93*0.943*(0.9442 - 0.0007*$B23 - dis_BMI*($C23-21.75)))*BE23</f>
        <v>3.4154712133205019E-4</v>
      </c>
      <c r="CJ23">
        <f t="shared" si="17"/>
        <v>0</v>
      </c>
      <c r="CK23">
        <f t="shared" si="18"/>
        <v>0.68009770406244474</v>
      </c>
      <c r="CL23">
        <f>CK23/(1+r_)^A23</f>
        <v>0.37655360921716896</v>
      </c>
      <c r="CM23">
        <f t="shared" si="19"/>
        <v>0</v>
      </c>
      <c r="CN23">
        <f>AE23*c_Other</f>
        <v>381.52800634286399</v>
      </c>
      <c r="CO23">
        <f>AF23*(c_Stroke1+c_Stroke2)</f>
        <v>44.474273710951763</v>
      </c>
      <c r="CP23">
        <f>AG23*c_Stroke2</f>
        <v>50.519700375143778</v>
      </c>
      <c r="CQ23">
        <f>AH23*(c_MI1+c_MI2)</f>
        <v>29.601125373447534</v>
      </c>
      <c r="CR23">
        <f>AI23*c_MI2</f>
        <v>16.912937147305499</v>
      </c>
      <c r="CS23">
        <f>AJ23*(c_Stroke1+c_Stroke2+c_MI2)</f>
        <v>1.207622141291069</v>
      </c>
      <c r="CT23">
        <f>AK23*(c_Stroke2+c_MI1+c_MI2)</f>
        <v>1.3095790028037246</v>
      </c>
      <c r="CU23">
        <f>AL23*(c_Stroke2+c_MI2)</f>
        <v>1.4873011422629283</v>
      </c>
      <c r="CV23">
        <f>AM23*(c_HF1)</f>
        <v>11.18552750344414</v>
      </c>
      <c r="CW23">
        <f>AN23*(c_HF2)</f>
        <v>55.949505642571438</v>
      </c>
      <c r="CX23">
        <f>AO23*(c_Stroke2+c_HF1)</f>
        <v>0.49068831373043442</v>
      </c>
      <c r="CY23">
        <f>AP23*(c_Stroke1+c_Stroke2+c_HF2)</f>
        <v>1.0140173340740197</v>
      </c>
      <c r="CZ23">
        <f>AQ23*(c_Stroke2+c_HF2)</f>
        <v>2.1629834965019552</v>
      </c>
      <c r="DA23">
        <f>AR23*c_DM</f>
        <v>4827.9612089119137</v>
      </c>
      <c r="DB23">
        <f>AS23*(c_Other+c_DM)</f>
        <v>2134.2610861165604</v>
      </c>
      <c r="DC23">
        <f>AT23*(c_Stroke1+c_Stroke2+c_DM)</f>
        <v>227.73922526009957</v>
      </c>
      <c r="DD23">
        <f>AU23*(c_Stroke2+c_DM)</f>
        <v>448.02147366204224</v>
      </c>
      <c r="DE23">
        <f>AV23*(c_MI1+c_MI2+c_DM)</f>
        <v>147.41269324625966</v>
      </c>
      <c r="DF23">
        <f>AW23*(c_MI2+c_DM)</f>
        <v>259.36110801068469</v>
      </c>
      <c r="DG23">
        <f>AX23*(c_Stroke1+c_Stroke2+c_MI2+c_DM)</f>
        <v>9.5315775753454162</v>
      </c>
      <c r="DH23">
        <f>AY23*(c_Stroke2+c_MI1+c_MI2+c_DM)</f>
        <v>9.692419974515138</v>
      </c>
      <c r="DI23">
        <f>AZ23*(c_Stroke2+c_MI2+c_DM)</f>
        <v>16.790383583923422</v>
      </c>
      <c r="DJ23">
        <f>BA23*(c_HF1+c_DM)</f>
        <v>54.933168998957939</v>
      </c>
      <c r="DK23">
        <f>BB23*(c_HF2+c_DM)</f>
        <v>302.04082581246058</v>
      </c>
      <c r="DL23">
        <f>BC23*(c_Stroke2+c_HF1+c_DM)</f>
        <v>3.5709451512665487</v>
      </c>
      <c r="DM23">
        <f>BD23*(c_Stroke1+c_Stroke2+c_HF2+c_DM)</f>
        <v>6.8856006380708479</v>
      </c>
      <c r="DN23">
        <f>BE23*(c_Stroke2+c_HF2+c_DM)</f>
        <v>16.062724674224253</v>
      </c>
      <c r="DO23">
        <f t="shared" si="20"/>
        <v>0</v>
      </c>
      <c r="DP23">
        <f t="shared" si="21"/>
        <v>9062.1077091427178</v>
      </c>
      <c r="DQ23">
        <f>DP23/(1+r_)^A23</f>
        <v>5017.4693203773941</v>
      </c>
    </row>
    <row r="24" spans="1:121" x14ac:dyDescent="0.3">
      <c r="A24">
        <v>21</v>
      </c>
      <c r="B24">
        <v>66</v>
      </c>
      <c r="C24">
        <f t="shared" si="40"/>
        <v>38</v>
      </c>
      <c r="D24">
        <f t="shared" si="1"/>
        <v>125</v>
      </c>
      <c r="E24">
        <f t="shared" si="41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22"/>
        <v>5.6857293942168513E-2</v>
      </c>
      <c r="J24">
        <f t="shared" si="23"/>
        <v>0.21386732623289251</v>
      </c>
      <c r="K24">
        <f t="shared" si="24"/>
        <v>0.28609103803054747</v>
      </c>
      <c r="L24">
        <f t="shared" si="25"/>
        <v>0.10766514975253938</v>
      </c>
      <c r="M24">
        <f t="shared" si="26"/>
        <v>0.14746015313673289</v>
      </c>
      <c r="N24">
        <f t="shared" si="27"/>
        <v>0.46209267227680184</v>
      </c>
      <c r="O24">
        <f t="shared" si="28"/>
        <v>0.58361734985565961</v>
      </c>
      <c r="P24">
        <f t="shared" si="29"/>
        <v>0.26288088929252929</v>
      </c>
      <c r="Q24">
        <f t="shared" si="30"/>
        <v>0.35012145946127471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1.749494150504045E-2</v>
      </c>
      <c r="U24">
        <f t="shared" si="31"/>
        <v>0.4076658868474915</v>
      </c>
      <c r="V24">
        <f t="shared" si="32"/>
        <v>0.51973417404264943</v>
      </c>
      <c r="W24">
        <f t="shared" si="33"/>
        <v>0.21957107050633728</v>
      </c>
      <c r="X24">
        <f t="shared" si="34"/>
        <v>0.29333464908830365</v>
      </c>
      <c r="Y24">
        <f t="shared" si="35"/>
        <v>0.6518570518616047</v>
      </c>
      <c r="Z24">
        <f t="shared" si="36"/>
        <v>0.77483101558464695</v>
      </c>
      <c r="AA24">
        <f t="shared" si="37"/>
        <v>0.40489292966082036</v>
      </c>
      <c r="AB24">
        <f t="shared" si="38"/>
        <v>0.51970796163352184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3.1232267188788299E-2</v>
      </c>
      <c r="AD24">
        <f t="shared" si="39"/>
        <v>0.19887541813192813</v>
      </c>
      <c r="AE24">
        <f t="shared" si="5"/>
        <v>2.6376892225241942E-2</v>
      </c>
      <c r="AF24">
        <f t="shared" si="6"/>
        <v>1.8228134369891172E-3</v>
      </c>
      <c r="AG24">
        <f t="shared" si="7"/>
        <v>7.6531378390710617E-3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9.8311396233539223E-4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5.3073437632754307E-3</v>
      </c>
      <c r="AJ24">
        <f t="shared" si="10"/>
        <v>4.6253115386274387E-5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3.7914717718595157E-5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1.6049424444036591E-4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4.0286750036225662E-4</v>
      </c>
      <c r="AN24">
        <f t="shared" si="14"/>
        <v>3.6814897481460456E-3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1.5180362812700422E-5</v>
      </c>
      <c r="AP24">
        <f>AM23*T23*p_Stroke*p_Stroke_rec*(1-I23) + AN23*T23*p_Stroke*p_Stroke_rec*(1-I23) + AO23*(p_recur_Stroke*p_Stroke_rec)*(1-I23) + AP23*(p_recur_Stroke*p_Stroke_rec)*(1-I23) + AQ23*(p_recur_Stroke*p_Stroke_rec)*(1-I23)</f>
        <v>2.7836101934892485E-5</v>
      </c>
      <c r="AQ24">
        <f>AO23*(1-p_recur_Stroke-H23*rr_Stroke*rr_HF)*(1-I23) + AP23*(1-p_recur_Stroke-H23*rr_Stroke*rr_HF)*(1-I23) + AQ23*(1-p_recur_Stroke-H23*rr_Stroke*rr_HF)*(1-I23)</f>
        <v>1.0652012651824142E-4</v>
      </c>
      <c r="AR24">
        <f>AR23*(1-AC23-H23*rr_DM) + AD23*(1-T23-H23)*I23</f>
        <v>0.4164460106465564</v>
      </c>
      <c r="AS24">
        <f>AR23*AC23*p_Other + AD23*T23*p_Other*I23 + AE23*(1-T23*p_Stroke-T23*p_MI-H23*rr_Other)*I23 + AS23*(1-AC23*p_Stroke-AC23*p_MI-H23*rr_Other*rr_DM)</f>
        <v>8.8513400094824085E-2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6.8141414033710953E-3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2.6685666988626927E-2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3.7979083220714815E-3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1.8952706895514305E-2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2.7825282950766963E-4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2.3022218673030606E-4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9.0157219702654428E-4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1.5056521646569176E-3</v>
      </c>
      <c r="BB24">
        <f>AM23*(1-T23*p_Stroke - H23*rr_HF)*I23 + AN23*(1-T23*p_Stroke - H23*rr_HF)*I23 + BA23*(1-AC23*p_Stroke - H23*rr_HF*rr_DM) + BB23*(1-AC23*p_Stroke - H23*rr_HF*rr_DM)</f>
        <v>1.2446334514107562E-2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8.9477599767755721E-5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1.5883237583334142E-4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5.6693945201109492E-4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0.1521156070532336</v>
      </c>
      <c r="BG24">
        <f t="shared" si="16"/>
        <v>0.97499999999999976</v>
      </c>
      <c r="BH24">
        <f>(0.9442 - 0.0007*$B24 - dis_BMI*($C24-21.75))*AD24</f>
        <v>0.16792543118514683</v>
      </c>
      <c r="BI24">
        <f>0.959*(0.9442 - 0.0007*$B24 - dis_BMI*($C24-21.75))*AE24</f>
        <v>2.1358836849408428E-2</v>
      </c>
      <c r="BJ24">
        <f>(0.943*(0.9442 - 0.0007*$B24 - dis_BMI*($C24-21.75)) - 0.19*0.5)*AF24</f>
        <v>1.2782399478798315E-3</v>
      </c>
      <c r="BK24">
        <f>(0.943*(0.9442 - 0.0007*$B24 - dis_BMI*($C24-21.75)))*AG24</f>
        <v>6.0937775218822864E-3</v>
      </c>
      <c r="BL24">
        <f>(0.955*(0.9442 - 0.0007*$B24 - dis_BMI*($C24-21.75)) - 0.15*0.5)*AH24</f>
        <v>7.1902804643417977E-4</v>
      </c>
      <c r="BM24">
        <f>(0.955*(0.9442 - 0.0007*$B24 - dis_BMI*($C24-21.75)))*AI24</f>
        <v>4.2797259125604854E-3</v>
      </c>
      <c r="BN24">
        <f>(0.955*0.943*(0.9442 - 0.0007*$B24 - dis_BMI*($C24-21.75)) - 0.19*0.5)*AJ24</f>
        <v>3.0777496972642747E-5</v>
      </c>
      <c r="BO24">
        <f>(0.955*0.943*(0.9442 - 0.0007*$B24 - dis_BMI*($C24-21.75)) - 0.15*0.5)*AK24</f>
        <v>2.5987300012852378E-5</v>
      </c>
      <c r="BP24">
        <f>(0.955*0.943*(0.9442 - 0.0007*$B24 - dis_BMI*($C24-21.75)))*AL24</f>
        <v>1.2204216217452244E-4</v>
      </c>
      <c r="BQ24">
        <f>(0.93*(0.9442 - 0.0007*$B24 - dis_BMI*($C24-21.75)))*AM24</f>
        <v>3.1635925842509382E-4</v>
      </c>
      <c r="BR24">
        <f>(0.93*(0.9442 - 0.0007*$B24 - dis_BMI*($C24-21.75)))*AN24</f>
        <v>2.8909588526644602E-3</v>
      </c>
      <c r="BS24">
        <f>(0.93*0.943*(0.9442 - 0.0007*$B24 - dis_BMI*($C24-21.75)))*AO24</f>
        <v>1.1241186652238627E-5</v>
      </c>
      <c r="BT24">
        <f>(0.93*0.943*(0.9442 - 0.0007*$B24 - dis_BMI*($C24-21.75))-0.19*0.5)*AP24</f>
        <v>1.7968438492107538E-5</v>
      </c>
      <c r="BU24">
        <f>(0.93*0.943*(0.9442 - 0.0007*$B24 - dis_BMI*($C24-21.75)))*AQ24</f>
        <v>7.8879051784574473E-5</v>
      </c>
      <c r="BV24">
        <f>0.962*(0.9442 - 0.0007*$B24 - dis_BMI*($C24-21.75))*AR24</f>
        <v>0.33827440943057802</v>
      </c>
      <c r="BW24">
        <f>0.962*0.959*(0.9442 - 0.0007*$B24 - dis_BMI*($C24-21.75))*AS24</f>
        <v>6.8950603117302278E-2</v>
      </c>
      <c r="BX24">
        <f>0.962*(0.943*(0.9442 - 0.0007*$B24 - dis_BMI*($C24-21.75)) - 0.19*0.5)*AT24</f>
        <v>4.5968081470500171E-3</v>
      </c>
      <c r="BY24">
        <f>0.962*(0.943*(0.9442 - 0.0007*$B24 - dis_BMI*($C24-21.75)))*AU24</f>
        <v>2.044090845748487E-2</v>
      </c>
      <c r="BZ24">
        <f>0.962*(0.955*(0.9442 - 0.0007*$B24 - dis_BMI*($C24-21.75)) - 0.15*0.5)*AV24</f>
        <v>2.6721541989528316E-3</v>
      </c>
      <c r="CA24">
        <f>0.962*(0.955*(0.9442 - 0.0007*$B24 - dis_BMI*($C24-21.75)))*AW24</f>
        <v>1.4702292416576378E-2</v>
      </c>
      <c r="CB24">
        <f>0.962*(0.955*0.943*(0.9442 - 0.0007*$B24 - dis_BMI*($C24-21.75)) - 0.19*0.5)*AX24</f>
        <v>1.7811765489789892E-4</v>
      </c>
      <c r="CC24">
        <f>0.962*(0.955*0.943*(0.9442 - 0.0007*$B24 - dis_BMI*($C24-21.75)) - 0.15*0.5)*AY24</f>
        <v>1.5180133117483161E-4</v>
      </c>
      <c r="CD24">
        <f>0.962*(0.955*0.943*(0.9442 - 0.0007*$B24 - dis_BMI*($C24-21.75)))*AZ24</f>
        <v>6.5951702804012175E-4</v>
      </c>
      <c r="CE24">
        <f>0.962*(0.93*(0.9442 - 0.0007*$B24 - dis_BMI*($C24-21.75)))*BA24</f>
        <v>1.1374126127304846E-3</v>
      </c>
      <c r="CF24">
        <f>0.962*(0.93*(0.9442 - 0.0007*$B24 - dis_BMI*($C24-21.75)))*BB24</f>
        <v>9.4023162792280495E-3</v>
      </c>
      <c r="CG24">
        <f>0.962*(0.93*0.943*(0.9442 - 0.0007*$B24 - dis_BMI*($C24-21.75)))*BC24</f>
        <v>6.3741078188666775E-5</v>
      </c>
      <c r="CH24">
        <f>0.962*(0.93*0.943*(0.9442 - 0.0007*$B24 - dis_BMI*($C24-21.75))-0.19*0.5)*BD24</f>
        <v>9.8631587521166793E-5</v>
      </c>
      <c r="CI24">
        <f>0.962*(0.93*0.943*(0.9442 - 0.0007*$B24 - dis_BMI*($C24-21.75)))*BE24</f>
        <v>4.0387015334201668E-4</v>
      </c>
      <c r="CJ24">
        <f t="shared" si="17"/>
        <v>0</v>
      </c>
      <c r="CK24">
        <f t="shared" si="18"/>
        <v>0.66688183670355827</v>
      </c>
      <c r="CL24">
        <f>CK24/(1+r_)^A24</f>
        <v>0.35848184843690384</v>
      </c>
      <c r="CM24">
        <f t="shared" si="19"/>
        <v>0</v>
      </c>
      <c r="CN24">
        <f>AE24*c_Other</f>
        <v>376.63564408422968</v>
      </c>
      <c r="CO24">
        <f>AF24*(c_Stroke1+c_Stroke2)</f>
        <v>43.412124815332817</v>
      </c>
      <c r="CP24">
        <f>AG24*c_Stroke2</f>
        <v>49.745395953961904</v>
      </c>
      <c r="CQ24">
        <f>AH24*(c_MI1+c_MI2)</f>
        <v>28.658755116039018</v>
      </c>
      <c r="CR24">
        <f>AI24*c_MI2</f>
        <v>16.542990510129517</v>
      </c>
      <c r="CS24">
        <f>AJ24*(c_Stroke1+c_Stroke2+c_MI2)</f>
        <v>1.245735156698528</v>
      </c>
      <c r="CT24">
        <f>AK24*(c_Stroke2+c_MI1+c_MI2)</f>
        <v>1.3516976013856359</v>
      </c>
      <c r="CU24">
        <f>AL24*(c_Stroke2+c_MI2)</f>
        <v>1.5434731487829989</v>
      </c>
      <c r="CV24">
        <f>AM24*(c_HF1)</f>
        <v>10.889508534791796</v>
      </c>
      <c r="CW24">
        <f>AN24*(c_HF2)</f>
        <v>57.449647519819038</v>
      </c>
      <c r="CX24">
        <f>AO24*(c_Stroke2+c_HF1)</f>
        <v>0.50899756510984517</v>
      </c>
      <c r="CY24">
        <f>AP24*(c_Stroke1+c_Stroke2+c_HF2)</f>
        <v>1.0973269743753966</v>
      </c>
      <c r="CZ24">
        <f>AQ24*(c_Stroke2+c_HF2)</f>
        <v>2.3546273966857263</v>
      </c>
      <c r="DA24">
        <f>AR24*c_DM</f>
        <v>4757.8956716369066</v>
      </c>
      <c r="DB24">
        <f>AS24*(c_Other+c_DM)</f>
        <v>2275.1484360373584</v>
      </c>
      <c r="DC24">
        <f>AT24*(c_Stroke1+c_Stroke2+c_DM)</f>
        <v>240.13715719620077</v>
      </c>
      <c r="DD24">
        <f>AU24*(c_Stroke2+c_DM)</f>
        <v>478.3405807711377</v>
      </c>
      <c r="DE24">
        <f>AV24*(c_MI1+c_MI2+c_DM)</f>
        <v>154.10392807637243</v>
      </c>
      <c r="DF24">
        <f>AW24*(c_MI2+c_DM)</f>
        <v>275.61026367456901</v>
      </c>
      <c r="DG24">
        <f>AX24*(c_Stroke1+c_Stroke2+c_MI2+c_DM)</f>
        <v>10.673222034255192</v>
      </c>
      <c r="DH24">
        <f>AY24*(c_Stroke2+c_MI1+c_MI2+c_DM)</f>
        <v>10.837939662515888</v>
      </c>
      <c r="DI24">
        <f>AZ24*(c_Stroke2+c_MI2+c_DM)</f>
        <v>18.970882169832546</v>
      </c>
      <c r="DJ24">
        <f>BA24*(c_HF1+c_DM)</f>
        <v>57.899853991881763</v>
      </c>
      <c r="DK24">
        <f>BB24*(c_HF2+c_DM)</f>
        <v>336.42442191632739</v>
      </c>
      <c r="DL24">
        <f>BC24*(c_Stroke2+c_HF1+c_DM)</f>
        <v>4.022465497559458</v>
      </c>
      <c r="DM24">
        <f>BD24*(c_Stroke1+c_Stroke2+c_HF2+c_DM)</f>
        <v>8.075990981622077</v>
      </c>
      <c r="DN24">
        <f>BE24*(c_Stroke2+c_HF2+c_DM)</f>
        <v>19.009479825932011</v>
      </c>
      <c r="DO24">
        <f t="shared" si="20"/>
        <v>0</v>
      </c>
      <c r="DP24">
        <f t="shared" si="21"/>
        <v>9238.5862178498101</v>
      </c>
      <c r="DQ24">
        <f>DP24/(1+r_)^A24</f>
        <v>4966.195331828616</v>
      </c>
    </row>
    <row r="25" spans="1:121" x14ac:dyDescent="0.3">
      <c r="A25">
        <v>22</v>
      </c>
      <c r="B25">
        <v>67</v>
      </c>
      <c r="C25">
        <f t="shared" si="40"/>
        <v>38</v>
      </c>
      <c r="D25">
        <f t="shared" si="1"/>
        <v>125</v>
      </c>
      <c r="E25">
        <f t="shared" si="41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22"/>
        <v>5.6857293942168513E-2</v>
      </c>
      <c r="J25">
        <f t="shared" si="23"/>
        <v>0.22172884546776117</v>
      </c>
      <c r="K25">
        <f t="shared" si="24"/>
        <v>0.29606945419669006</v>
      </c>
      <c r="L25">
        <f t="shared" si="25"/>
        <v>0.11190073618564633</v>
      </c>
      <c r="M25">
        <f t="shared" si="26"/>
        <v>0.15312212152314586</v>
      </c>
      <c r="N25">
        <f t="shared" si="27"/>
        <v>0.47784268873754021</v>
      </c>
      <c r="O25">
        <f t="shared" si="28"/>
        <v>0.6007394022144712</v>
      </c>
      <c r="P25">
        <f t="shared" si="29"/>
        <v>0.27357749608871329</v>
      </c>
      <c r="Q25">
        <f t="shared" si="30"/>
        <v>0.36340678686646066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1.8153478268199186E-2</v>
      </c>
      <c r="U25">
        <f t="shared" si="31"/>
        <v>0.42048144085334394</v>
      </c>
      <c r="V25">
        <f t="shared" si="32"/>
        <v>0.53422318956159787</v>
      </c>
      <c r="W25">
        <f t="shared" si="33"/>
        <v>0.22761050818458528</v>
      </c>
      <c r="X25">
        <f t="shared" si="34"/>
        <v>0.30350855959291878</v>
      </c>
      <c r="Y25">
        <f t="shared" si="35"/>
        <v>0.66902445452379977</v>
      </c>
      <c r="Z25">
        <f t="shared" si="36"/>
        <v>0.79035865578006415</v>
      </c>
      <c r="AA25">
        <f t="shared" si="37"/>
        <v>0.41951317185930115</v>
      </c>
      <c r="AB25">
        <f t="shared" si="38"/>
        <v>0.53629558068432526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3.2267526513491573E-2</v>
      </c>
      <c r="AD25">
        <f t="shared" si="39"/>
        <v>0.18206973314366368</v>
      </c>
      <c r="AE25">
        <f t="shared" si="5"/>
        <v>2.5927544559886516E-2</v>
      </c>
      <c r="AF25">
        <f t="shared" si="6"/>
        <v>1.7731207567890542E-3</v>
      </c>
      <c r="AG25">
        <f t="shared" si="7"/>
        <v>7.4997261171671431E-3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9.4951110170689757E-4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5.1746096588693394E-3</v>
      </c>
      <c r="AJ25">
        <f t="shared" si="10"/>
        <v>4.7437743982044306E-5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3.8890415966669633E-5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1.6532295024414051E-4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3.9111941345457379E-4</v>
      </c>
      <c r="AN25">
        <f t="shared" si="14"/>
        <v>3.7537768221041494E-3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1.5639968625896577E-5</v>
      </c>
      <c r="AP25">
        <f>AM24*T24*p_Stroke*p_Stroke_rec*(1-I24) + AN24*T24*p_Stroke*p_Stroke_rec*(1-I24) + AO24*(p_recur_Stroke*p_Stroke_rec)*(1-I24) + AP24*(p_recur_Stroke*p_Stroke_rec)*(1-I24) + AQ24*(p_recur_Stroke*p_Stroke_rec)*(1-I24)</f>
        <v>2.9830512352725439E-5</v>
      </c>
      <c r="AQ25">
        <f>AO24*(1-p_recur_Stroke-H24*rr_Stroke*rr_HF)*(1-I24) + AP24*(1-p_recur_Stroke-H24*rr_Stroke*rr_HF)*(1-I24) + AQ24*(1-p_recur_Stroke-H24*rr_Stroke*rr_HF)*(1-I24)</f>
        <v>1.1461545063794922E-4</v>
      </c>
      <c r="AR25">
        <f>AR24*(1-AC24-H24*rr_DM) + AD24*(1-T24-H24)*I24</f>
        <v>0.40875572626521683</v>
      </c>
      <c r="AS25">
        <f>AR24*AC24*p_Other + AD24*T24*p_Other*I24 + AE24*(1-T24*p_Stroke-T24*p_MI-H24*rr_Other)*I24 + AS24*(1-AC24*p_Stroke-AC24*p_MI-H24*rr_Other*rr_DM)</f>
        <v>9.3700408948127867E-2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7.1424206738932954E-3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2.827672667394578E-2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3.9506344690734899E-3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2.0019518370166901E-2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3.0888207035460096E-4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2.5508350738263078E-4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1.007840753737739E-3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1.5784652753065126E-3</v>
      </c>
      <c r="BB25">
        <f>AM24*(1-T24*p_Stroke - H24*rr_HF)*I24 + AN24*(1-T24*p_Stroke - H24*rr_HF)*I24 + BA24*(1-AC24*p_Stroke - H24*rr_HF*rr_DM) + BB24*(1-AC24*p_Stroke - H24*rr_HF*rr_DM)</f>
        <v>1.3732956436019751E-2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9.9807108594667589E-5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1.8400702761039582E-4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6.6121183305059756E-4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0.16737543197206772</v>
      </c>
      <c r="BG25">
        <f t="shared" si="16"/>
        <v>0.97499999999999953</v>
      </c>
      <c r="BH25">
        <f>(0.9442 - 0.0007*$B25 - dis_BMI*($C25-21.75))*AD25</f>
        <v>0.15360768210998044</v>
      </c>
      <c r="BI25">
        <f>0.959*(0.9442 - 0.0007*$B25 - dis_BMI*($C25-21.75))*AE25</f>
        <v>2.0977569889143202E-2</v>
      </c>
      <c r="BJ25">
        <f>(0.943*(0.9442 - 0.0007*$B25 - dis_BMI*($C25-21.75)) - 0.19*0.5)*AF25</f>
        <v>1.2422227362834568E-3</v>
      </c>
      <c r="BK25">
        <f>(0.943*(0.9442 - 0.0007*$B25 - dis_BMI*($C25-21.75)))*AG25</f>
        <v>5.9666735402826325E-3</v>
      </c>
      <c r="BL25">
        <f>(0.955*(0.9442 - 0.0007*$B25 - dis_BMI*($C25-21.75)) - 0.15*0.5)*AH25</f>
        <v>6.9381690106158395E-4</v>
      </c>
      <c r="BM25">
        <f>(0.955*(0.9442 - 0.0007*$B25 - dis_BMI*($C25-21.75)))*AI25</f>
        <v>4.1692328077689925E-3</v>
      </c>
      <c r="BN25">
        <f>(0.955*0.943*(0.9442 - 0.0007*$B25 - dis_BMI*($C25-21.75)) - 0.19*0.5)*AJ25</f>
        <v>3.1535861562191438E-5</v>
      </c>
      <c r="BO25">
        <f>(0.955*0.943*(0.9442 - 0.0007*$B25 - dis_BMI*($C25-21.75)) - 0.15*0.5)*AK25</f>
        <v>2.6631541466617013E-5</v>
      </c>
      <c r="BP25">
        <f>(0.955*0.943*(0.9442 - 0.0007*$B25 - dis_BMI*($C25-21.75)))*AL25</f>
        <v>1.256097615871294E-4</v>
      </c>
      <c r="BQ25">
        <f>(0.93*(0.9442 - 0.0007*$B25 - dis_BMI*($C25-21.75)))*AM25</f>
        <v>3.0687923416604742E-4</v>
      </c>
      <c r="BR25">
        <f>(0.93*(0.9442 - 0.0007*$B25 - dis_BMI*($C25-21.75)))*AN25</f>
        <v>2.945279924161508E-3</v>
      </c>
      <c r="BS25">
        <f>(0.93*0.943*(0.9442 - 0.0007*$B25 - dis_BMI*($C25-21.75)))*AO25</f>
        <v>1.1571927364702233E-5</v>
      </c>
      <c r="BT25">
        <f>(0.93*0.943*(0.9442 - 0.0007*$B25 - dis_BMI*($C25-21.75))-0.19*0.5)*AP25</f>
        <v>1.9237534489471792E-5</v>
      </c>
      <c r="BU25">
        <f>(0.93*0.943*(0.9442 - 0.0007*$B25 - dis_BMI*($C25-21.75)))*AQ25</f>
        <v>8.4803345926081109E-5</v>
      </c>
      <c r="BV25">
        <f>0.962*(0.9442 - 0.0007*$B25 - dis_BMI*($C25-21.75))*AR25</f>
        <v>0.33175242183724812</v>
      </c>
      <c r="BW25">
        <f>0.962*0.959*(0.9442 - 0.0007*$B25 - dis_BMI*($C25-21.75))*AS25</f>
        <v>7.2930693905231228E-2</v>
      </c>
      <c r="BX25">
        <f>0.962*(0.943*(0.9442 - 0.0007*$B25 - dis_BMI*($C25-21.75)) - 0.19*0.5)*AT25</f>
        <v>4.8137292291619525E-3</v>
      </c>
      <c r="BY25">
        <f>0.962*(0.943*(0.9442 - 0.0007*$B25 - dis_BMI*($C25-21.75)))*AU25</f>
        <v>2.1641685367598092E-2</v>
      </c>
      <c r="BZ25">
        <f>0.962*(0.955*(0.9442 - 0.0007*$B25 - dis_BMI*($C25-21.75)) - 0.15*0.5)*AV25</f>
        <v>2.7770694994152302E-3</v>
      </c>
      <c r="CA25">
        <f>0.962*(0.955*(0.9442 - 0.0007*$B25 - dis_BMI*($C25-21.75)))*AW25</f>
        <v>1.5516981730436885E-2</v>
      </c>
      <c r="CB25">
        <f>0.962*(0.955*0.943*(0.9442 - 0.0007*$B25 - dis_BMI*($C25-21.75)) - 0.19*0.5)*AX25</f>
        <v>1.9753699605365606E-4</v>
      </c>
      <c r="CC25">
        <f>0.962*(0.955*0.943*(0.9442 - 0.0007*$B25 - dis_BMI*($C25-21.75)) - 0.15*0.5)*AY25</f>
        <v>1.6803941782848631E-4</v>
      </c>
      <c r="CD25">
        <f>0.962*(0.955*0.943*(0.9442 - 0.0007*$B25 - dis_BMI*($C25-21.75)))*AZ25</f>
        <v>7.3664328162994727E-4</v>
      </c>
      <c r="CE25">
        <f>0.962*(0.93*(0.9442 - 0.0007*$B25 - dis_BMI*($C25-21.75)))*BA25</f>
        <v>1.1914291815990896E-3</v>
      </c>
      <c r="CF25">
        <f>0.962*(0.93*(0.9442 - 0.0007*$B25 - dis_BMI*($C25-21.75)))*BB25</f>
        <v>1.0365666767250079E-2</v>
      </c>
      <c r="CG25">
        <f>0.962*(0.93*0.943*(0.9442 - 0.0007*$B25 - dis_BMI*($C25-21.75)))*BC25</f>
        <v>7.1040558615665847E-5</v>
      </c>
      <c r="CH25">
        <f>0.962*(0.93*0.943*(0.9442 - 0.0007*$B25 - dis_BMI*($C25-21.75))-0.19*0.5)*BD25</f>
        <v>1.1415585227554988E-4</v>
      </c>
      <c r="CI25">
        <f>0.962*(0.93*0.943*(0.9442 - 0.0007*$B25 - dis_BMI*($C25-21.75)))*BE25</f>
        <v>4.706363969921924E-4</v>
      </c>
      <c r="CJ25">
        <f t="shared" si="17"/>
        <v>0</v>
      </c>
      <c r="CK25">
        <f t="shared" si="18"/>
        <v>0.65295647713658012</v>
      </c>
      <c r="CL25">
        <f>CK25/(1+r_)^A25</f>
        <v>0.34077308882029256</v>
      </c>
      <c r="CM25">
        <f t="shared" si="19"/>
        <v>0</v>
      </c>
      <c r="CN25">
        <f>AE25*c_Other</f>
        <v>370.21940877061957</v>
      </c>
      <c r="CO25">
        <f>AF25*(c_Stroke1+c_Stroke2)</f>
        <v>42.228643943688112</v>
      </c>
      <c r="CP25">
        <f>AG25*c_Stroke2</f>
        <v>48.748219761586434</v>
      </c>
      <c r="CQ25">
        <f>AH25*(c_MI1+c_MI2)</f>
        <v>27.67919812585777</v>
      </c>
      <c r="CR25">
        <f>AI25*c_MI2</f>
        <v>16.129258306695732</v>
      </c>
      <c r="CS25">
        <f>AJ25*(c_Stroke1+c_Stroke2+c_MI2)</f>
        <v>1.2776407586683993</v>
      </c>
      <c r="CT25">
        <f>AK25*(c_Stroke2+c_MI1+c_MI2)</f>
        <v>1.3864822196277391</v>
      </c>
      <c r="CU25">
        <f>AL25*(c_Stroke2+c_MI2)</f>
        <v>1.5899108124978993</v>
      </c>
      <c r="CV25">
        <f>AM25*(c_HF1)</f>
        <v>10.57195774567713</v>
      </c>
      <c r="CW25">
        <f>AN25*(c_HF2)</f>
        <v>58.577687308935253</v>
      </c>
      <c r="CX25">
        <f>AO25*(c_Stroke2+c_HF1)</f>
        <v>0.52440814802631219</v>
      </c>
      <c r="CY25">
        <f>AP25*(c_Stroke1+c_Stroke2+c_HF2)</f>
        <v>1.1759486274567896</v>
      </c>
      <c r="CZ25">
        <f>AQ25*(c_Stroke2+c_HF2)</f>
        <v>2.5335745363518676</v>
      </c>
      <c r="DA25">
        <f>AR25*c_DM</f>
        <v>4670.0341725801027</v>
      </c>
      <c r="DB25">
        <f>AS25*(c_Other+c_DM)</f>
        <v>2408.4753116026786</v>
      </c>
      <c r="DC25">
        <f>AT25*(c_Stroke1+c_Stroke2+c_DM)</f>
        <v>251.70604696867363</v>
      </c>
      <c r="DD25">
        <f>AU25*(c_Stroke2+c_DM)</f>
        <v>506.86032563047809</v>
      </c>
      <c r="DE25">
        <f>AV25*(c_MI1+c_MI2+c_DM)</f>
        <v>160.30094421712593</v>
      </c>
      <c r="DF25">
        <f>AW25*(c_MI2+c_DM)</f>
        <v>291.12383613896708</v>
      </c>
      <c r="DG25">
        <f>AX25*(c_Stroke1+c_Stroke2+c_MI2+c_DM)</f>
        <v>11.848098454661784</v>
      </c>
      <c r="DH25">
        <f>AY25*(c_Stroke2+c_MI1+c_MI2+c_DM)</f>
        <v>12.008311193544726</v>
      </c>
      <c r="DI25">
        <f>AZ25*(c_Stroke2+c_MI2+c_DM)</f>
        <v>21.206985140149502</v>
      </c>
      <c r="DJ25">
        <f>BA25*(c_HF1+c_DM)</f>
        <v>60.699882161911944</v>
      </c>
      <c r="DK25">
        <f>BB25*(c_HF2+c_DM)</f>
        <v>371.20181246561384</v>
      </c>
      <c r="DL25">
        <f>BC25*(c_Stroke2+c_HF1+c_DM)</f>
        <v>4.4868285668732817</v>
      </c>
      <c r="DM25">
        <f>BD25*(c_Stroke1+c_Stroke2+c_HF2+c_DM)</f>
        <v>9.3560213258781868</v>
      </c>
      <c r="DN25">
        <f>BE25*(c_Stroke2+c_HF2+c_DM)</f>
        <v>22.170432762186536</v>
      </c>
      <c r="DO25">
        <f t="shared" si="20"/>
        <v>0</v>
      </c>
      <c r="DP25">
        <f t="shared" si="21"/>
        <v>9384.1213482745388</v>
      </c>
      <c r="DQ25">
        <f>DP25/(1+r_)^A25</f>
        <v>4897.5025590366595</v>
      </c>
    </row>
    <row r="26" spans="1:121" x14ac:dyDescent="0.3">
      <c r="A26">
        <v>23</v>
      </c>
      <c r="B26">
        <v>68</v>
      </c>
      <c r="C26">
        <f t="shared" si="40"/>
        <v>38</v>
      </c>
      <c r="D26">
        <f t="shared" si="1"/>
        <v>125</v>
      </c>
      <c r="E26">
        <f t="shared" si="41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22"/>
        <v>5.6857293942168513E-2</v>
      </c>
      <c r="J26">
        <f t="shared" si="23"/>
        <v>0.22971322039376219</v>
      </c>
      <c r="K26">
        <f t="shared" si="24"/>
        <v>0.3061625708562129</v>
      </c>
      <c r="L26">
        <f t="shared" si="25"/>
        <v>0.11622563934716068</v>
      </c>
      <c r="M26">
        <f t="shared" si="26"/>
        <v>0.1588923363196455</v>
      </c>
      <c r="N26">
        <f t="shared" si="27"/>
        <v>0.49361392192968434</v>
      </c>
      <c r="O26">
        <f t="shared" si="28"/>
        <v>0.61767209528777356</v>
      </c>
      <c r="P26">
        <f t="shared" si="29"/>
        <v>0.28445408349064571</v>
      </c>
      <c r="Q26">
        <f t="shared" si="30"/>
        <v>0.37683305520545485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1.8821954750021103E-2</v>
      </c>
      <c r="U26">
        <f t="shared" si="31"/>
        <v>0.43334232724377486</v>
      </c>
      <c r="V26">
        <f t="shared" si="32"/>
        <v>0.54863501224749978</v>
      </c>
      <c r="W26">
        <f t="shared" si="33"/>
        <v>0.23577306675933107</v>
      </c>
      <c r="X26">
        <f t="shared" si="34"/>
        <v>0.31379497849860227</v>
      </c>
      <c r="Y26">
        <f t="shared" si="35"/>
        <v>0.6858547034051703</v>
      </c>
      <c r="Z26">
        <f t="shared" si="36"/>
        <v>0.80526184339624896</v>
      </c>
      <c r="AA26">
        <f t="shared" si="37"/>
        <v>0.43422531525461283</v>
      </c>
      <c r="AB26">
        <f t="shared" si="38"/>
        <v>0.55281418224012413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3.3308942992431909E-2</v>
      </c>
      <c r="AD26">
        <f t="shared" si="39"/>
        <v>0.16642789367560656</v>
      </c>
      <c r="AE26">
        <f t="shared" si="5"/>
        <v>2.5380284398162492E-2</v>
      </c>
      <c r="AF26">
        <f t="shared" si="6"/>
        <v>1.7190636130253786E-3</v>
      </c>
      <c r="AG26">
        <f t="shared" si="7"/>
        <v>7.314882686518696E-3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9.1489235402135525E-4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5.0292928930682039E-3</v>
      </c>
      <c r="AJ26">
        <f t="shared" si="10"/>
        <v>4.838955937495107E-5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3.9659368873384028E-5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1.690666640878587E-4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3.7870163424454084E-4</v>
      </c>
      <c r="AN26">
        <f t="shared" si="14"/>
        <v>3.8028900486909993E-3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1.6012111099945855E-5</v>
      </c>
      <c r="AP26">
        <f>AM25*T25*p_Stroke*p_Stroke_rec*(1-I25) + AN25*T25*p_Stroke*p_Stroke_rec*(1-I25) + AO25*(p_recur_Stroke*p_Stroke_rec)*(1-I25) + AP25*(p_recur_Stroke*p_Stroke_rec)*(1-I25) + AQ25*(p_recur_Stroke*p_Stroke_rec)*(1-I25)</f>
        <v>3.1685046418877835E-5</v>
      </c>
      <c r="AQ26">
        <f>AO25*(1-p_recur_Stroke-H25*rr_Stroke*rr_HF)*(1-I25) + AP25*(1-p_recur_Stroke-H25*rr_Stroke*rr_HF)*(1-I25) + AQ25*(1-p_recur_Stroke-H25*rr_Stroke*rr_HF)*(1-I25)</f>
        <v>1.2198389434711586E-4</v>
      </c>
      <c r="AR26">
        <f>AR25*(1-AC25-H25*rr_DM) + AD25*(1-T25-H25)*I25</f>
        <v>0.39965197022480198</v>
      </c>
      <c r="AS26">
        <f>AR25*AC25*p_Other + AD25*T25*p_Other*I25 + AE25*(1-T25*p_Stroke-T25*p_MI-H25*rr_Other)*I25 + AS25*(1-AC25*p_Stroke-AC25*p_MI-H25*rr_Other*rr_DM)</f>
        <v>9.8533824204720219E-2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7.4445818265764284E-3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2.9745372524458163E-2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4.0902270874892573E-3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2.1025142852346791E-2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3.4010819623826781E-4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2.8023367739441065E-4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1.1150862327466552E-3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1.6464397085268786E-3</v>
      </c>
      <c r="BB26">
        <f>AM25*(1-T25*p_Stroke - H25*rr_HF)*I25 + AN25*(1-T25*p_Stroke - H25*rr_HF)*I25 + BA25*(1-AC25*p_Stroke - H25*rr_HF*rr_DM) + BB25*(1-AC25*p_Stroke - H25*rr_HF*rr_DM)</f>
        <v>1.5021588302114201E-2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1.1032223858663564E-4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2.107844548718232E-4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7.6064874208758653E-4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0.18362897177949994</v>
      </c>
      <c r="BG26">
        <f t="shared" si="16"/>
        <v>0.97499999999999964</v>
      </c>
      <c r="BH26">
        <f>(0.9442 - 0.0007*$B26 - dis_BMI*($C26-21.75))*AD26</f>
        <v>0.14029455367119445</v>
      </c>
      <c r="BI26">
        <f>0.959*(0.9442 - 0.0007*$B26 - dis_BMI*($C26-21.75))*AE26</f>
        <v>2.0517752485678845E-2</v>
      </c>
      <c r="BJ26">
        <f>(0.943*(0.9442 - 0.0007*$B26 - dis_BMI*($C26-21.75)) - 0.19*0.5)*AF26</f>
        <v>1.2032163299488237E-3</v>
      </c>
      <c r="BK26">
        <f>(0.943*(0.9442 - 0.0007*$B26 - dis_BMI*($C26-21.75)))*AG26</f>
        <v>5.8147862284060161E-3</v>
      </c>
      <c r="BL26">
        <f>(0.955*(0.9442 - 0.0007*$B26 - dis_BMI*($C26-21.75)) - 0.15*0.5)*AH26</f>
        <v>6.6790904338364851E-4</v>
      </c>
      <c r="BM26">
        <f>(0.955*(0.9442 - 0.0007*$B26 - dis_BMI*($C26-21.75)))*AI26</f>
        <v>4.0487876085901313E-3</v>
      </c>
      <c r="BN26">
        <f>(0.955*0.943*(0.9442 - 0.0007*$B26 - dis_BMI*($C26-21.75)) - 0.19*0.5)*AJ26</f>
        <v>3.2138108813749057E-5</v>
      </c>
      <c r="BO26">
        <f>(0.955*0.943*(0.9442 - 0.0007*$B26 - dis_BMI*($C26-21.75)) - 0.15*0.5)*AK26</f>
        <v>2.7133107161841971E-5</v>
      </c>
      <c r="BP26">
        <f>(0.955*0.943*(0.9442 - 0.0007*$B26 - dis_BMI*($C26-21.75)))*AL26</f>
        <v>1.2834759726222151E-4</v>
      </c>
      <c r="BQ26">
        <f>(0.93*(0.9442 - 0.0007*$B26 - dis_BMI*($C26-21.75)))*AM26</f>
        <v>2.9688948941838141E-4</v>
      </c>
      <c r="BR26">
        <f>(0.93*(0.9442 - 0.0007*$B26 - dis_BMI*($C26-21.75)))*AN26</f>
        <v>2.9813393520796245E-3</v>
      </c>
      <c r="BS26">
        <f>(0.93*0.943*(0.9442 - 0.0007*$B26 - dis_BMI*($C26-21.75)))*AO26</f>
        <v>1.183744382578266E-5</v>
      </c>
      <c r="BT26">
        <f>(0.93*0.943*(0.9442 - 0.0007*$B26 - dis_BMI*($C26-21.75))-0.19*0.5)*AP26</f>
        <v>2.0414062151530814E-5</v>
      </c>
      <c r="BU26">
        <f>(0.93*0.943*(0.9442 - 0.0007*$B26 - dis_BMI*($C26-21.75)))*AQ26</f>
        <v>9.0180332123043647E-5</v>
      </c>
      <c r="BV26">
        <f>0.962*(0.9442 - 0.0007*$B26 - dis_BMI*($C26-21.75))*AR26</f>
        <v>0.32409454805544285</v>
      </c>
      <c r="BW26">
        <f>0.962*0.959*(0.9442 - 0.0007*$B26 - dis_BMI*($C26-21.75))*AS26</f>
        <v>7.6629097868330151E-2</v>
      </c>
      <c r="BX26">
        <f>0.962*(0.943*(0.9442 - 0.0007*$B26 - dis_BMI*($C26-21.75)) - 0.19*0.5)*AT26</f>
        <v>5.0126473191550586E-3</v>
      </c>
      <c r="BY26">
        <f>0.962*(0.943*(0.9442 - 0.0007*$B26 - dis_BMI*($C26-21.75)))*AU26</f>
        <v>2.2746829485748271E-2</v>
      </c>
      <c r="BZ26">
        <f>0.962*(0.955*(0.9442 - 0.0007*$B26 - dis_BMI*($C26-21.75)) - 0.15*0.5)*AV26</f>
        <v>2.8725646930467977E-3</v>
      </c>
      <c r="CA26">
        <f>0.962*(0.955*(0.9442 - 0.0007*$B26 - dis_BMI*($C26-21.75)))*AW26</f>
        <v>1.6282912678243687E-2</v>
      </c>
      <c r="CB26">
        <f>0.962*(0.955*0.943*(0.9442 - 0.0007*$B26 - dis_BMI*($C26-21.75)) - 0.19*0.5)*AX26</f>
        <v>2.1730054694956959E-4</v>
      </c>
      <c r="CC26">
        <f>0.962*(0.955*0.943*(0.9442 - 0.0007*$B26 - dis_BMI*($C26-21.75)) - 0.15*0.5)*AY26</f>
        <v>1.8443745858101121E-4</v>
      </c>
      <c r="CD26">
        <f>0.962*(0.955*0.943*(0.9442 - 0.0007*$B26 - dis_BMI*($C26-21.75)))*AZ26</f>
        <v>8.1435409626681471E-4</v>
      </c>
      <c r="CE26">
        <f>0.962*(0.93*(0.9442 - 0.0007*$B26 - dis_BMI*($C26-21.75)))*BA26</f>
        <v>1.2417053358449032E-3</v>
      </c>
      <c r="CF26">
        <f>0.962*(0.93*(0.9442 - 0.0007*$B26 - dis_BMI*($C26-21.75)))*BB26</f>
        <v>1.1328921582126721E-2</v>
      </c>
      <c r="CG26">
        <f>0.962*(0.93*0.943*(0.9442 - 0.0007*$B26 - dis_BMI*($C26-21.75)))*BC26</f>
        <v>7.8459850090097858E-5</v>
      </c>
      <c r="CH26">
        <f>0.962*(0.93*0.943*(0.9442 - 0.0007*$B26 - dis_BMI*($C26-21.75))-0.19*0.5)*BD26</f>
        <v>1.3064377949893524E-4</v>
      </c>
      <c r="CI26">
        <f>0.962*(0.93*0.943*(0.9442 - 0.0007*$B26 - dis_BMI*($C26-21.75)))*BE26</f>
        <v>5.4096424293046557E-4</v>
      </c>
      <c r="CJ26">
        <f t="shared" si="17"/>
        <v>0</v>
      </c>
      <c r="CK26">
        <f t="shared" si="18"/>
        <v>0.6383106718522934</v>
      </c>
      <c r="CL26">
        <f>CK26/(1+r_)^A26</f>
        <v>0.32342675036217161</v>
      </c>
      <c r="CM26">
        <f t="shared" si="19"/>
        <v>0</v>
      </c>
      <c r="CN26">
        <f>AE26*c_Other</f>
        <v>362.40508092136224</v>
      </c>
      <c r="CO26">
        <f>AF26*(c_Stroke1+c_Stroke2)</f>
        <v>40.941219007812414</v>
      </c>
      <c r="CP26">
        <f>AG26*c_Stroke2</f>
        <v>47.546737462371524</v>
      </c>
      <c r="CQ26">
        <f>AH26*(c_MI1+c_MI2)</f>
        <v>26.670027012076527</v>
      </c>
      <c r="CR26">
        <f>AI26*c_MI2</f>
        <v>15.676305947693592</v>
      </c>
      <c r="CS26">
        <f>AJ26*(c_Stroke1+c_Stroke2+c_MI2)</f>
        <v>1.3032760026455572</v>
      </c>
      <c r="CT26">
        <f>AK26*(c_Stroke2+c_MI1+c_MI2)</f>
        <v>1.4138961597050139</v>
      </c>
      <c r="CU26">
        <f>AL26*(c_Stroke2+c_MI2)</f>
        <v>1.6259141085329372</v>
      </c>
      <c r="CV26">
        <f>AM26*(c_HF1)</f>
        <v>10.236305173629939</v>
      </c>
      <c r="CW26">
        <f>AN26*(c_HF2)</f>
        <v>59.344099209823042</v>
      </c>
      <c r="CX26">
        <f>AO26*(c_Stroke2+c_HF1)</f>
        <v>0.53688608518118452</v>
      </c>
      <c r="CY26">
        <f>AP26*(c_Stroke1+c_Stroke2+c_HF2)</f>
        <v>1.2490562148785831</v>
      </c>
      <c r="CZ26">
        <f>AQ26*(c_Stroke2+c_HF2)</f>
        <v>2.696453984542996</v>
      </c>
      <c r="DA26">
        <f>AR26*c_DM</f>
        <v>4566.023759818363</v>
      </c>
      <c r="DB26">
        <f>AS26*(c_Other+c_DM)</f>
        <v>2532.7134173581285</v>
      </c>
      <c r="DC26">
        <f>AT26*(c_Stroke1+c_Stroke2+c_DM)</f>
        <v>262.3545081503799</v>
      </c>
      <c r="DD26">
        <f>AU26*(c_Stroke2+c_DM)</f>
        <v>533.18580250091259</v>
      </c>
      <c r="DE26">
        <f>AV26*(c_MI1+c_MI2+c_DM)</f>
        <v>165.9650543019641</v>
      </c>
      <c r="DF26">
        <f>AW26*(c_MI2+c_DM)</f>
        <v>305.747627358827</v>
      </c>
      <c r="DG26">
        <f>AX26*(c_Stroke1+c_Stroke2+c_MI2+c_DM)</f>
        <v>13.045870191307477</v>
      </c>
      <c r="DH26">
        <f>AY26*(c_Stroke2+c_MI1+c_MI2+c_DM)</f>
        <v>13.192280597019275</v>
      </c>
      <c r="DI26">
        <f>AZ26*(c_Stroke2+c_MI2+c_DM)</f>
        <v>23.463644509455118</v>
      </c>
      <c r="DJ26">
        <f>BA26*(c_HF1+c_DM)</f>
        <v>63.31383899140112</v>
      </c>
      <c r="DK26">
        <f>BB26*(c_HF2+c_DM)</f>
        <v>406.03353180614687</v>
      </c>
      <c r="DL26">
        <f>BC26*(c_Stroke2+c_HF1+c_DM)</f>
        <v>4.9595362356622053</v>
      </c>
      <c r="DM26">
        <f>BD26*(c_Stroke1+c_Stroke2+c_HF2+c_DM)</f>
        <v>10.717546392412721</v>
      </c>
      <c r="DN26">
        <f>BE26*(c_Stroke2+c_HF2+c_DM)</f>
        <v>25.504552322196776</v>
      </c>
      <c r="DO26">
        <f t="shared" si="20"/>
        <v>0</v>
      </c>
      <c r="DP26">
        <f t="shared" si="21"/>
        <v>9497.8662278244301</v>
      </c>
      <c r="DQ26">
        <f>DP26/(1+r_)^A26</f>
        <v>4812.4904453277095</v>
      </c>
    </row>
    <row r="27" spans="1:121" x14ac:dyDescent="0.3">
      <c r="A27">
        <v>24</v>
      </c>
      <c r="B27">
        <v>69</v>
      </c>
      <c r="C27">
        <f t="shared" si="40"/>
        <v>38</v>
      </c>
      <c r="D27">
        <f t="shared" si="1"/>
        <v>125</v>
      </c>
      <c r="E27">
        <f t="shared" si="41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22"/>
        <v>5.6857293942168513E-2</v>
      </c>
      <c r="J27">
        <f t="shared" si="23"/>
        <v>0.2378171772092178</v>
      </c>
      <c r="K27">
        <f t="shared" si="24"/>
        <v>0.31636409356515138</v>
      </c>
      <c r="L27">
        <f t="shared" si="25"/>
        <v>0.12063952532804434</v>
      </c>
      <c r="M27">
        <f t="shared" si="26"/>
        <v>0.16476962137910789</v>
      </c>
      <c r="N27">
        <f t="shared" si="27"/>
        <v>0.50938393238789381</v>
      </c>
      <c r="O27">
        <f t="shared" si="28"/>
        <v>0.63438707274539841</v>
      </c>
      <c r="P27">
        <f t="shared" si="29"/>
        <v>0.2955033329694281</v>
      </c>
      <c r="Q27">
        <f t="shared" si="30"/>
        <v>0.39038642220808906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1.9500027645134969E-2</v>
      </c>
      <c r="U27">
        <f t="shared" si="31"/>
        <v>0.44623645199106932</v>
      </c>
      <c r="V27">
        <f t="shared" si="32"/>
        <v>0.56295316143777807</v>
      </c>
      <c r="W27">
        <f t="shared" si="33"/>
        <v>0.24405525788918603</v>
      </c>
      <c r="X27">
        <f t="shared" si="34"/>
        <v>0.32418727882356235</v>
      </c>
      <c r="Y27">
        <f t="shared" si="35"/>
        <v>0.70231985428150057</v>
      </c>
      <c r="Z27">
        <f t="shared" si="36"/>
        <v>0.81952610327027742</v>
      </c>
      <c r="AA27">
        <f t="shared" si="37"/>
        <v>0.44901118766381498</v>
      </c>
      <c r="AB27">
        <f t="shared" si="38"/>
        <v>0.56923776979474672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3.4355631221798355E-2</v>
      </c>
      <c r="AD27">
        <f t="shared" si="39"/>
        <v>0.15189716698608677</v>
      </c>
      <c r="AE27">
        <f t="shared" si="5"/>
        <v>2.4746957142243071E-2</v>
      </c>
      <c r="AF27">
        <f t="shared" si="6"/>
        <v>1.6611261408703525E-3</v>
      </c>
      <c r="AG27">
        <f t="shared" si="7"/>
        <v>7.1034648059155022E-3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8.794356636756108E-4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4.8734527852340023E-3</v>
      </c>
      <c r="AJ27">
        <f t="shared" si="10"/>
        <v>4.9099651164073778E-5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4.0214491898026128E-5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1.7176168099646935E-4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3.6570341237779781E-4</v>
      </c>
      <c r="AN27">
        <f t="shared" si="14"/>
        <v>3.8301085790030855E-3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1.6293017615312639E-5</v>
      </c>
      <c r="AP27">
        <f>AM26*T26*p_Stroke*p_Stroke_rec*(1-I26) + AN26*T26*p_Stroke*p_Stroke_rec*(1-I26) + AO26*(p_recur_Stroke*p_Stroke_rec)*(1-I26) + AP26*(p_recur_Stroke*p_Stroke_rec)*(1-I26) + AQ26*(p_recur_Stroke*p_Stroke_rec)*(1-I26)</f>
        <v>3.3374915936175649E-5</v>
      </c>
      <c r="AQ27">
        <f>AO26*(1-p_recur_Stroke-H26*rr_Stroke*rr_HF)*(1-I26) + AP26*(1-p_recur_Stroke-H26*rr_Stroke*rr_HF)*(1-I26) + AQ26*(1-p_recur_Stroke-H26*rr_Stroke*rr_HF)*(1-I26)</f>
        <v>1.2855320066769841E-4</v>
      </c>
      <c r="AR27">
        <f>AR26*(1-AC26-H26*rr_DM) + AD26*(1-T26-H26)*I26</f>
        <v>0.38930812547544719</v>
      </c>
      <c r="AS27">
        <f>AR26*AC26*p_Other + AD26*T26*p_Other*I26 + AE26*(1-T26*p_Stroke-T26*p_MI-H26*rr_Other)*I26 + AS26*(1-AC26*p_Stroke-AC26*p_MI-H26*rr_Other*rr_DM)</f>
        <v>0.10297117712384857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7.7172111719559962E-3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3.1080235615663161E-2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4.2154814096181771E-3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2.1962614161641261E-2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3.7156868772653345E-4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3.0535166075859306E-4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1.2222319071067706E-3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1.7089573292415996E-3</v>
      </c>
      <c r="BB27">
        <f>AM26*(1-T26*p_Stroke - H26*rr_HF)*I26 + AN26*(1-T26*p_Stroke - H26*rr_HF)*I26 + BA26*(1-AC26*p_Stroke - H26*rr_HF*rr_DM) + BB26*(1-AC26*p_Stroke - H26*rr_HF*rr_DM)</f>
        <v>1.6301453799996118E-2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1.2088540001866483E-4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2.389169385637103E-4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8.6426540885272633E-4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0.20081481143587659</v>
      </c>
      <c r="BG27">
        <f t="shared" si="16"/>
        <v>0.97499999999999964</v>
      </c>
      <c r="BH27">
        <f>(0.9442 - 0.0007*$B27 - dis_BMI*($C27-21.75))*AD27</f>
        <v>0.12793918632320622</v>
      </c>
      <c r="BI27">
        <f>0.959*(0.9442 - 0.0007*$B27 - dis_BMI*($C27-21.75))*AE27</f>
        <v>1.9989149850576489E-2</v>
      </c>
      <c r="BJ27">
        <f>(0.943*(0.9442 - 0.0007*$B27 - dis_BMI*($C27-21.75)) - 0.19*0.5)*AF27</f>
        <v>1.1615679107617027E-3</v>
      </c>
      <c r="BK27">
        <f>(0.943*(0.9442 - 0.0007*$B27 - dis_BMI*($C27-21.75)))*AG27</f>
        <v>5.6420357826965379E-3</v>
      </c>
      <c r="BL27">
        <f>(0.955*(0.9442 - 0.0007*$B27 - dis_BMI*($C27-21.75)) - 0.15*0.5)*AH27</f>
        <v>6.4143629853369744E-4</v>
      </c>
      <c r="BM27">
        <f>(0.955*(0.9442 - 0.0007*$B27 - dis_BMI*($C27-21.75)))*AI27</f>
        <v>3.9200720096722354E-3</v>
      </c>
      <c r="BN27">
        <f>(0.955*0.943*(0.9442 - 0.0007*$B27 - dis_BMI*($C27-21.75)) - 0.19*0.5)*AJ27</f>
        <v>3.2578766761117793E-5</v>
      </c>
      <c r="BO27">
        <f>(0.955*0.943*(0.9442 - 0.0007*$B27 - dis_BMI*($C27-21.75)) - 0.15*0.5)*AK27</f>
        <v>2.7487545643274327E-5</v>
      </c>
      <c r="BP27">
        <f>(0.955*0.943*(0.9442 - 0.0007*$B27 - dis_BMI*($C27-21.75)))*AL27</f>
        <v>1.3028525174714272E-4</v>
      </c>
      <c r="BQ27">
        <f>(0.93*(0.9442 - 0.0007*$B27 - dis_BMI*($C27-21.75)))*AM27</f>
        <v>2.8646124274427402E-4</v>
      </c>
      <c r="BR27">
        <f>(0.93*(0.9442 - 0.0007*$B27 - dis_BMI*($C27-21.75)))*AN27</f>
        <v>3.0001843741432367E-3</v>
      </c>
      <c r="BS27">
        <f>(0.93*0.943*(0.9442 - 0.0007*$B27 - dis_BMI*($C27-21.75)))*AO27</f>
        <v>1.2035110406255026E-5</v>
      </c>
      <c r="BT27">
        <f>(0.93*0.943*(0.9442 - 0.0007*$B27 - dis_BMI*($C27-21.75))-0.19*0.5)*AP27</f>
        <v>2.1482323747254948E-5</v>
      </c>
      <c r="BU27">
        <f>(0.93*0.943*(0.9442 - 0.0007*$B27 - dis_BMI*($C27-21.75)))*AQ27</f>
        <v>9.4957975228551322E-5</v>
      </c>
      <c r="BV27">
        <f>0.962*(0.9442 - 0.0007*$B27 - dis_BMI*($C27-21.75))*AR27</f>
        <v>0.31544413033220864</v>
      </c>
      <c r="BW27">
        <f>0.962*0.959*(0.9442 - 0.0007*$B27 - dis_BMI*($C27-21.75))*AS27</f>
        <v>8.0013499818356648E-2</v>
      </c>
      <c r="BX27">
        <f>0.962*(0.943*(0.9442 - 0.0007*$B27 - dis_BMI*($C27-21.75)) - 0.19*0.5)*AT27</f>
        <v>5.1913158074778859E-3</v>
      </c>
      <c r="BY27">
        <f>0.962*(0.943*(0.9442 - 0.0007*$B27 - dis_BMI*($C27-21.75)))*AU27</f>
        <v>2.3747887211541925E-2</v>
      </c>
      <c r="BZ27">
        <f>0.962*(0.955*(0.9442 - 0.0007*$B27 - dis_BMI*($C27-21.75)) - 0.15*0.5)*AV27</f>
        <v>2.9578197851997776E-3</v>
      </c>
      <c r="CA27">
        <f>0.962*(0.955*(0.9442 - 0.0007*$B27 - dis_BMI*($C27-21.75)))*AW27</f>
        <v>1.6994812832069217E-2</v>
      </c>
      <c r="CB27">
        <f>0.962*(0.955*0.943*(0.9442 - 0.0007*$B27 - dis_BMI*($C27-21.75)) - 0.19*0.5)*AX27</f>
        <v>2.3717582206362876E-4</v>
      </c>
      <c r="CC27">
        <f>0.962*(0.955*0.943*(0.9442 - 0.0007*$B27 - dis_BMI*($C27-21.75)) - 0.15*0.5)*AY27</f>
        <v>2.0078383085771158E-4</v>
      </c>
      <c r="CD27">
        <f>0.962*(0.955*0.943*(0.9442 - 0.0007*$B27 - dis_BMI*($C27-21.75)))*AZ27</f>
        <v>8.9186200750407526E-4</v>
      </c>
      <c r="CE27">
        <f>0.962*(0.93*(0.9442 - 0.0007*$B27 - dis_BMI*($C27-21.75)))*BA27</f>
        <v>1.287784370774111E-3</v>
      </c>
      <c r="CF27">
        <f>0.962*(0.93*(0.9442 - 0.0007*$B27 - dis_BMI*($C27-21.75)))*BB27</f>
        <v>1.2283956460075806E-2</v>
      </c>
      <c r="CG27">
        <f>0.962*(0.93*0.943*(0.9442 - 0.0007*$B27 - dis_BMI*($C27-21.75)))*BC27</f>
        <v>8.590085284483253E-5</v>
      </c>
      <c r="CH27">
        <f>0.962*(0.93*0.943*(0.9442 - 0.0007*$B27 - dis_BMI*($C27-21.75))-0.19*0.5)*BD27</f>
        <v>1.4793914008650916E-4</v>
      </c>
      <c r="CI27">
        <f>0.962*(0.93*0.943*(0.9442 - 0.0007*$B27 - dis_BMI*($C27-21.75)))*BE27</f>
        <v>6.1414476597896977E-4</v>
      </c>
      <c r="CJ27">
        <f t="shared" si="17"/>
        <v>0</v>
      </c>
      <c r="CK27">
        <f t="shared" si="18"/>
        <v>0.62299793380290791</v>
      </c>
      <c r="CL27">
        <f>CK27/(1+r_)^A27</f>
        <v>0.30647370130745888</v>
      </c>
      <c r="CM27">
        <f t="shared" si="19"/>
        <v>0</v>
      </c>
      <c r="CN27">
        <f>AE27*c_Other</f>
        <v>353.36180103408884</v>
      </c>
      <c r="CO27">
        <f>AF27*(c_Stroke1+c_Stroke2)</f>
        <v>39.561380170968313</v>
      </c>
      <c r="CP27">
        <f>AG27*c_Stroke2</f>
        <v>46.172521238450763</v>
      </c>
      <c r="CQ27">
        <f>AH27*(c_MI1+c_MI2)</f>
        <v>25.636429031807729</v>
      </c>
      <c r="CR27">
        <f>AI27*c_MI2</f>
        <v>15.190552331574386</v>
      </c>
      <c r="CS27">
        <f>AJ27*(c_Stroke1+c_Stroke2+c_MI2)</f>
        <v>1.3224009048019991</v>
      </c>
      <c r="CT27">
        <f>AK27*(c_Stroke2+c_MI1+c_MI2)</f>
        <v>1.4336868506565295</v>
      </c>
      <c r="CU27">
        <f>AL27*(c_Stroke2+c_MI2)</f>
        <v>1.6518320861430458</v>
      </c>
      <c r="CV27">
        <f>AM27*(c_HF1)</f>
        <v>9.884963236571874</v>
      </c>
      <c r="CW27">
        <f>AN27*(c_HF2)</f>
        <v>59.76884437534315</v>
      </c>
      <c r="CX27">
        <f>AO27*(c_Stroke2+c_HF1)</f>
        <v>0.54630488064143279</v>
      </c>
      <c r="CY27">
        <f>AP27*(c_Stroke1+c_Stroke2+c_HF2)</f>
        <v>1.3156725611199802</v>
      </c>
      <c r="CZ27">
        <f>AQ27*(c_Stroke2+c_HF2)</f>
        <v>2.8416685007594733</v>
      </c>
      <c r="DA27">
        <f>AR27*c_DM</f>
        <v>4447.8453335569839</v>
      </c>
      <c r="DB27">
        <f>AS27*(c_Other+c_DM)</f>
        <v>2646.7711367914035</v>
      </c>
      <c r="DC27">
        <f>AT27*(c_Stroke1+c_Stroke2+c_DM)</f>
        <v>271.96223891090125</v>
      </c>
      <c r="DD27">
        <f>AU27*(c_Stroke2+c_DM)</f>
        <v>557.1132234107622</v>
      </c>
      <c r="DE27">
        <f>AV27*(c_MI1+c_MI2+c_DM)</f>
        <v>171.04737367666715</v>
      </c>
      <c r="DF27">
        <f>AW27*(c_MI2+c_DM)</f>
        <v>319.38033513858721</v>
      </c>
      <c r="DG27">
        <f>AX27*(c_Stroke1+c_Stroke2+c_MI2+c_DM)</f>
        <v>14.252631723814369</v>
      </c>
      <c r="DH27">
        <f>AY27*(c_Stroke2+c_MI1+c_MI2+c_DM)</f>
        <v>14.374734781871528</v>
      </c>
      <c r="DI27">
        <f>AZ27*(c_Stroke2+c_MI2+c_DM)</f>
        <v>25.718203789340667</v>
      </c>
      <c r="DJ27">
        <f>BA27*(c_HF1+c_DM)</f>
        <v>65.717954095985718</v>
      </c>
      <c r="DK27">
        <f>BB27*(c_HF2+c_DM)</f>
        <v>440.62829621389506</v>
      </c>
      <c r="DL27">
        <f>BC27*(c_Stroke2+c_HF1+c_DM)</f>
        <v>5.4344031578390775</v>
      </c>
      <c r="DM27">
        <f>BD27*(c_Stroke1+c_Stroke2+c_HF2+c_DM)</f>
        <v>12.147970658210413</v>
      </c>
      <c r="DN27">
        <f>BE27*(c_Stroke2+c_HF2+c_DM)</f>
        <v>28.978819158831914</v>
      </c>
      <c r="DO27">
        <f t="shared" si="20"/>
        <v>0</v>
      </c>
      <c r="DP27">
        <f t="shared" si="21"/>
        <v>9580.0607122680194</v>
      </c>
      <c r="DQ27">
        <f>DP27/(1+r_)^A27</f>
        <v>4712.7550605453489</v>
      </c>
    </row>
    <row r="28" spans="1:121" x14ac:dyDescent="0.3">
      <c r="A28">
        <v>25</v>
      </c>
      <c r="B28">
        <v>70</v>
      </c>
      <c r="C28">
        <f t="shared" si="40"/>
        <v>38</v>
      </c>
      <c r="D28">
        <f t="shared" si="1"/>
        <v>125</v>
      </c>
      <c r="E28">
        <f t="shared" si="41"/>
        <v>5.7</v>
      </c>
      <c r="F28">
        <v>1.455E-2</v>
      </c>
      <c r="G28">
        <v>2.213E-2</v>
      </c>
      <c r="H28">
        <f t="shared" si="3"/>
        <v>1.6066E-2</v>
      </c>
      <c r="I28">
        <f t="shared" si="22"/>
        <v>5.6857293942168513E-2</v>
      </c>
      <c r="J28">
        <f t="shared" si="23"/>
        <v>0.246037305724087</v>
      </c>
      <c r="K28">
        <f t="shared" si="24"/>
        <v>0.32666757010704806</v>
      </c>
      <c r="L28">
        <f t="shared" si="25"/>
        <v>0.1251420063994495</v>
      </c>
      <c r="M28">
        <f t="shared" si="26"/>
        <v>0.17075271383933976</v>
      </c>
      <c r="N28">
        <f t="shared" si="27"/>
        <v>0.52513024812931186</v>
      </c>
      <c r="O28">
        <f t="shared" si="28"/>
        <v>0.6508569823978676</v>
      </c>
      <c r="P28">
        <f t="shared" si="29"/>
        <v>0.30671754754998803</v>
      </c>
      <c r="Q28">
        <f t="shared" si="30"/>
        <v>0.40405265912515242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2.0187343254541034E-2</v>
      </c>
      <c r="U28">
        <f t="shared" si="31"/>
        <v>0.45915168925590943</v>
      </c>
      <c r="V28">
        <f t="shared" si="32"/>
        <v>0.57716151785248293</v>
      </c>
      <c r="W28">
        <f t="shared" si="33"/>
        <v>0.25245345353135118</v>
      </c>
      <c r="X28">
        <f t="shared" si="34"/>
        <v>0.3346786767307669</v>
      </c>
      <c r="Y28">
        <f t="shared" si="35"/>
        <v>0.7183938651443259</v>
      </c>
      <c r="Z28">
        <f t="shared" si="36"/>
        <v>0.83314070633619997</v>
      </c>
      <c r="AA28">
        <f t="shared" si="37"/>
        <v>0.46385234134961584</v>
      </c>
      <c r="AB28">
        <f t="shared" si="38"/>
        <v>0.58554071288945997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3.5406707340917706E-2</v>
      </c>
      <c r="AD28">
        <f t="shared" si="39"/>
        <v>0.1383548815673985</v>
      </c>
      <c r="AE28">
        <f t="shared" si="5"/>
        <v>2.4017742384843246E-2</v>
      </c>
      <c r="AF28">
        <f t="shared" si="6"/>
        <v>1.6000235479632532E-3</v>
      </c>
      <c r="AG28">
        <f t="shared" si="7"/>
        <v>6.8573691952523927E-3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8.4338398985361754E-4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4.70481231316041E-3</v>
      </c>
      <c r="AJ28">
        <f t="shared" si="10"/>
        <v>4.9571932372349293E-5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4.0560341358641052E-5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1.7285100698979545E-4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3.5224317831869138E-4</v>
      </c>
      <c r="AN28">
        <f t="shared" si="14"/>
        <v>3.8333120375909843E-3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1.6484275975406102E-5</v>
      </c>
      <c r="AP28">
        <f>AM27*T27*p_Stroke*p_Stroke_rec*(1-I27) + AN27*T27*p_Stroke*p_Stroke_rec*(1-I27) + AO27*(p_recur_Stroke*p_Stroke_rec)*(1-I27) + AP27*(p_recur_Stroke*p_Stroke_rec)*(1-I27) + AQ27*(p_recur_Stroke*p_Stroke_rec)*(1-I27)</f>
        <v>3.4885337028817346E-5</v>
      </c>
      <c r="AQ28">
        <f>AO27*(1-p_recur_Stroke-H27*rr_Stroke*rr_HF)*(1-I27) + AP27*(1-p_recur_Stroke-H27*rr_Stroke*rr_HF)*(1-I27) + AQ27*(1-p_recur_Stroke-H27*rr_Stroke*rr_HF)*(1-I27)</f>
        <v>1.3379958658558486E-4</v>
      </c>
      <c r="AR28">
        <f>AR27*(1-AC27-H27*rr_DM) + AD27*(1-T27-H27)*I27</f>
        <v>0.37767296086585067</v>
      </c>
      <c r="AS28">
        <f>AR27*AC27*p_Other + AD27*T27*p_Other*I27 + AE27*(1-T27*p_Stroke-T27*p_MI-H27*rr_Other)*I27 + AS27*(1-AC27*p_Stroke-AC27*p_MI-H27*rr_Other*rr_DM)</f>
        <v>0.10686607432904539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7.9583944395228874E-3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3.2202888453924466E-2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4.3256993467883911E-3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2.2802245866580508E-2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4.0296048307012991E-4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3.301774730399429E-4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1.3228252532664253E-3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1.7656164442602078E-3</v>
      </c>
      <c r="BB28">
        <f>AM27*(1-T27*p_Stroke - H27*rr_HF)*I27 + AN27*(1-T27*p_Stroke - H27*rr_HF)*I27 + BA27*(1-AC27*p_Stroke - H27*rr_HF*rr_DM) + BB27*(1-AC27*p_Stroke - H27*rr_HF*rr_DM)</f>
        <v>1.754340077002086E-2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1.3138532602565274E-4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2.681695529684955E-4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9.6701390539726494E-4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0.21942826679554664</v>
      </c>
      <c r="BG28">
        <f t="shared" si="16"/>
        <v>0.97499999999999942</v>
      </c>
      <c r="BH28">
        <f>(0.9442 - 0.0007*$B28 - dis_BMI*($C28-21.75))*AD28</f>
        <v>0.11643600945508339</v>
      </c>
      <c r="BI28">
        <f>0.959*(0.9442 - 0.0007*$B28 - dis_BMI*($C28-21.75))*AE28</f>
        <v>1.9384009554075949E-2</v>
      </c>
      <c r="BJ28">
        <f>(0.943*(0.9442 - 0.0007*$B28 - dis_BMI*($C28-21.75)) - 0.19*0.5)*AF28</f>
        <v>1.1177848107301667E-3</v>
      </c>
      <c r="BK28">
        <f>(0.943*(0.9442 - 0.0007*$B28 - dis_BMI*($C28-21.75)))*AG28</f>
        <v>5.4420440231063441E-3</v>
      </c>
      <c r="BL28">
        <f>(0.955*(0.9442 - 0.0007*$B28 - dis_BMI*($C28-21.75)) - 0.15*0.5)*AH28</f>
        <v>6.1457739236528918E-4</v>
      </c>
      <c r="BM28">
        <f>(0.955*(0.9442 - 0.0007*$B28 - dis_BMI*($C28-21.75)))*AI28</f>
        <v>3.7812770634378127E-3</v>
      </c>
      <c r="BN28">
        <f>(0.955*0.943*(0.9442 - 0.0007*$B28 - dis_BMI*($C28-21.75)) - 0.19*0.5)*AJ28</f>
        <v>3.2860886464187917E-5</v>
      </c>
      <c r="BO28">
        <f>(0.955*0.943*(0.9442 - 0.0007*$B28 - dis_BMI*($C28-21.75)) - 0.15*0.5)*AK28</f>
        <v>2.7698372780753004E-5</v>
      </c>
      <c r="BP28">
        <f>(0.955*0.943*(0.9442 - 0.0007*$B28 - dis_BMI*($C28-21.75)))*AL28</f>
        <v>1.3100256649040059E-4</v>
      </c>
      <c r="BQ28">
        <f>(0.93*(0.9442 - 0.0007*$B28 - dis_BMI*($C28-21.75)))*AM28</f>
        <v>2.75688319098004E-4</v>
      </c>
      <c r="BR28">
        <f>(0.93*(0.9442 - 0.0007*$B28 - dis_BMI*($C28-21.75)))*AN28</f>
        <v>3.0001982075731383E-3</v>
      </c>
      <c r="BS28">
        <f>(0.93*0.943*(0.9442 - 0.0007*$B28 - dis_BMI*($C28-21.75)))*AO28</f>
        <v>1.2166267016314556E-5</v>
      </c>
      <c r="BT28">
        <f>(0.93*0.943*(0.9442 - 0.0007*$B28 - dis_BMI*($C28-21.75))-0.19*0.5)*AP28</f>
        <v>2.2433115722280893E-5</v>
      </c>
      <c r="BU28">
        <f>(0.93*0.943*(0.9442 - 0.0007*$B28 - dis_BMI*($C28-21.75)))*AQ28</f>
        <v>9.8751167445958849E-5</v>
      </c>
      <c r="BV28">
        <f>0.962*(0.9442 - 0.0007*$B28 - dis_BMI*($C28-21.75))*AR28</f>
        <v>0.30576219740313249</v>
      </c>
      <c r="BW28">
        <f>0.962*0.959*(0.9442 - 0.0007*$B28 - dis_BMI*($C28-21.75))*AS28</f>
        <v>8.2971007001804931E-2</v>
      </c>
      <c r="BX28">
        <f>0.962*(0.943*(0.9442 - 0.0007*$B28 - dis_BMI*($C28-21.75)) - 0.19*0.5)*AT28</f>
        <v>5.348504452415294E-3</v>
      </c>
      <c r="BY28">
        <f>0.962*(0.943*(0.9442 - 0.0007*$B28 - dis_BMI*($C28-21.75)))*AU28</f>
        <v>2.4585238076715817E-2</v>
      </c>
      <c r="BZ28">
        <f>0.962*(0.955*(0.9442 - 0.0007*$B28 - dis_BMI*($C28-21.75)) - 0.15*0.5)*AV28</f>
        <v>3.0323730691289544E-3</v>
      </c>
      <c r="CA28">
        <f>0.962*(0.955*(0.9442 - 0.0007*$B28 - dis_BMI*($C28-21.75)))*AW28</f>
        <v>1.7629861217870021E-2</v>
      </c>
      <c r="CB28">
        <f>0.962*(0.955*0.943*(0.9442 - 0.0007*$B28 - dis_BMI*($C28-21.75)) - 0.19*0.5)*AX28</f>
        <v>2.5696913160572703E-4</v>
      </c>
      <c r="CC28">
        <f>0.962*(0.955*0.943*(0.9442 - 0.0007*$B28 - dis_BMI*($C28-21.75)) - 0.15*0.5)*AY28</f>
        <v>2.1690779824698128E-4</v>
      </c>
      <c r="CD28">
        <f>0.962*(0.955*0.943*(0.9442 - 0.0007*$B28 - dis_BMI*($C28-21.75)))*AZ28</f>
        <v>9.6446270680159568E-4</v>
      </c>
      <c r="CE28">
        <f>0.962*(0.93*(0.9442 - 0.0007*$B28 - dis_BMI*($C28-21.75)))*BA28</f>
        <v>1.3293740943309778E-3</v>
      </c>
      <c r="CF28">
        <f>0.962*(0.93*(0.9442 - 0.0007*$B28 - dis_BMI*($C28-21.75)))*BB28</f>
        <v>1.3208838525461094E-2</v>
      </c>
      <c r="CG28">
        <f>0.962*(0.93*0.943*(0.9442 - 0.0007*$B28 - dis_BMI*($C28-21.75)))*BC28</f>
        <v>9.3284481546330843E-5</v>
      </c>
      <c r="CH28">
        <f>0.962*(0.93*0.943*(0.9442 - 0.0007*$B28 - dis_BMI*($C28-21.75))-0.19*0.5)*BD28</f>
        <v>1.6589420428377832E-4</v>
      </c>
      <c r="CI28">
        <f>0.962*(0.93*0.943*(0.9442 - 0.0007*$B28 - dis_BMI*($C28-21.75)))*BE28</f>
        <v>6.8658649745606786E-4</v>
      </c>
      <c r="CJ28">
        <f t="shared" si="17"/>
        <v>0</v>
      </c>
      <c r="CK28">
        <f t="shared" si="18"/>
        <v>0.60662799986219029</v>
      </c>
      <c r="CL28">
        <f>CK28/(1+r_)^A28</f>
        <v>0.28972891120424338</v>
      </c>
      <c r="CM28">
        <f t="shared" si="19"/>
        <v>0</v>
      </c>
      <c r="CN28">
        <f>AE28*c_Other</f>
        <v>342.9493435131767</v>
      </c>
      <c r="CO28">
        <f>AF28*(c_Stroke1+c_Stroke2)</f>
        <v>38.106160818292842</v>
      </c>
      <c r="CP28">
        <f>AG28*c_Stroke2</f>
        <v>44.572899769140555</v>
      </c>
      <c r="CQ28">
        <f>AH28*(c_MI1+c_MI2)</f>
        <v>24.585486688222804</v>
      </c>
      <c r="CR28">
        <f>AI28*c_MI2</f>
        <v>14.664899980120998</v>
      </c>
      <c r="CS28">
        <f>AJ28*(c_Stroke1+c_Stroke2+c_MI2)</f>
        <v>1.3351208545844835</v>
      </c>
      <c r="CT28">
        <f>AK28*(c_Stroke2+c_MI1+c_MI2)</f>
        <v>1.4460167297769122</v>
      </c>
      <c r="CU28">
        <f>AL28*(c_Stroke2+c_MI2)</f>
        <v>1.6623081342208628</v>
      </c>
      <c r="CV28">
        <f>AM28*(c_HF1)</f>
        <v>9.5211331099542278</v>
      </c>
      <c r="CW28">
        <f>AN28*(c_HF2)</f>
        <v>59.818834346607311</v>
      </c>
      <c r="CX28">
        <f>AO28*(c_Stroke2+c_HF1)</f>
        <v>0.55271777345536655</v>
      </c>
      <c r="CY28">
        <f>AP28*(c_Stroke1+c_Stroke2+c_HF2)</f>
        <v>1.3752148710130085</v>
      </c>
      <c r="CZ28">
        <f>AQ28*(c_Stroke2+c_HF2)</f>
        <v>2.9576398614743531</v>
      </c>
      <c r="DA28">
        <f>AR28*c_DM</f>
        <v>4314.9135778923437</v>
      </c>
      <c r="DB28">
        <f>AS28*(c_Other+c_DM)</f>
        <v>2746.8855745537826</v>
      </c>
      <c r="DC28">
        <f>AT28*(c_Stroke1+c_Stroke2+c_DM)</f>
        <v>280.46177844322608</v>
      </c>
      <c r="DD28">
        <f>AU28*(c_Stroke2+c_DM)</f>
        <v>577.23677553659604</v>
      </c>
      <c r="DE28">
        <f>AV28*(c_MI1+c_MI2+c_DM)</f>
        <v>175.51957669528576</v>
      </c>
      <c r="DF28">
        <f>AW28*(c_MI2+c_DM)</f>
        <v>331.59025939181373</v>
      </c>
      <c r="DG28">
        <f>AX28*(c_Stroke1+c_Stroke2+c_MI2+c_DM)</f>
        <v>15.456758209604043</v>
      </c>
      <c r="DH28">
        <f>AY28*(c_Stroke2+c_MI1+c_MI2+c_DM)</f>
        <v>15.543434720828353</v>
      </c>
      <c r="DI28">
        <f>AZ28*(c_Stroke2+c_MI2+c_DM)</f>
        <v>27.834888979232122</v>
      </c>
      <c r="DJ28">
        <f>BA28*(c_HF1+c_DM)</f>
        <v>67.896780364026299</v>
      </c>
      <c r="DK28">
        <f>BB28*(c_HF2+c_DM)</f>
        <v>474.19812281366387</v>
      </c>
      <c r="DL28">
        <f>BC28*(c_Stroke2+c_HF1+c_DM)</f>
        <v>5.9064273314832185</v>
      </c>
      <c r="DM28">
        <f>BD28*(c_Stroke1+c_Stroke2+c_HF2+c_DM)</f>
        <v>13.635349090236122</v>
      </c>
      <c r="DN28">
        <f>BE28*(c_Stroke2+c_HF2+c_DM)</f>
        <v>32.423976247970295</v>
      </c>
      <c r="DO28">
        <f t="shared" si="20"/>
        <v>0</v>
      </c>
      <c r="DP28">
        <f t="shared" si="21"/>
        <v>9623.0510567201345</v>
      </c>
      <c r="DQ28">
        <f>DP28/(1+r_)^A28</f>
        <v>4596.0227779788356</v>
      </c>
    </row>
    <row r="29" spans="1:121" x14ac:dyDescent="0.3">
      <c r="A29">
        <v>26</v>
      </c>
      <c r="B29">
        <v>71</v>
      </c>
      <c r="C29">
        <f t="shared" si="40"/>
        <v>38</v>
      </c>
      <c r="D29">
        <f t="shared" si="1"/>
        <v>125</v>
      </c>
      <c r="E29">
        <f t="shared" si="41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22"/>
        <v>5.6857293942168513E-2</v>
      </c>
      <c r="J29">
        <f t="shared" si="23"/>
        <v>0.25437006296206588</v>
      </c>
      <c r="K29">
        <f t="shared" si="24"/>
        <v>0.33706640074109129</v>
      </c>
      <c r="L29">
        <f t="shared" si="25"/>
        <v>0.12973264095609505</v>
      </c>
      <c r="M29">
        <f t="shared" si="26"/>
        <v>0.17684026473054815</v>
      </c>
      <c r="N29">
        <f t="shared" si="27"/>
        <v>0.54083045133893426</v>
      </c>
      <c r="O29">
        <f t="shared" si="28"/>
        <v>0.66705560749308024</v>
      </c>
      <c r="P29">
        <f t="shared" si="29"/>
        <v>0.31808866380239886</v>
      </c>
      <c r="Q29">
        <f t="shared" si="30"/>
        <v>0.41781718834567838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2.0883538274439443E-2</v>
      </c>
      <c r="U29">
        <f t="shared" si="31"/>
        <v>0.47207591036825247</v>
      </c>
      <c r="V29">
        <f t="shared" si="32"/>
        <v>0.59124437084385861</v>
      </c>
      <c r="W29">
        <f t="shared" si="33"/>
        <v>0.26096388993323749</v>
      </c>
      <c r="X29">
        <f t="shared" si="34"/>
        <v>0.34526224264919503</v>
      </c>
      <c r="Y29">
        <f t="shared" si="35"/>
        <v>0.73405272119985676</v>
      </c>
      <c r="Z29">
        <f t="shared" si="36"/>
        <v>0.84609863008851249</v>
      </c>
      <c r="AA29">
        <f t="shared" si="37"/>
        <v>0.4787301131815328</v>
      </c>
      <c r="AB29">
        <f t="shared" si="38"/>
        <v>0.60169785945512144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3.6461291327319463E-2</v>
      </c>
      <c r="AD29">
        <f t="shared" si="39"/>
        <v>0.12575775673619008</v>
      </c>
      <c r="AE29">
        <f t="shared" si="5"/>
        <v>2.3203730978692591E-2</v>
      </c>
      <c r="AF29">
        <f t="shared" si="6"/>
        <v>1.534770326941996E-3</v>
      </c>
      <c r="AG29">
        <f t="shared" si="7"/>
        <v>6.5828070761390139E-3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8.0646019083917969E-4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4.5256543681412202E-3</v>
      </c>
      <c r="AJ29">
        <f t="shared" si="10"/>
        <v>4.9734991059151041E-5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4.0633204234969494E-5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1.7249230055387937E-4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3.3820098334516748E-4</v>
      </c>
      <c r="AN29">
        <f t="shared" si="14"/>
        <v>3.8138193345530185E-3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1.6555945255958596E-5</v>
      </c>
      <c r="AP29">
        <f>AM28*T28*p_Stroke*p_Stroke_rec*(1-I28) + AN28*T28*p_Stroke*p_Stroke_rec*(1-I28) + AO28*(p_recur_Stroke*p_Stroke_rec)*(1-I28) + AP28*(p_recur_Stroke*p_Stroke_rec)*(1-I28) + AQ28*(p_recur_Stroke*p_Stroke_rec)*(1-I28)</f>
        <v>3.6142994425133086E-5</v>
      </c>
      <c r="AQ29">
        <f>AO28*(1-p_recur_Stroke-H28*rr_Stroke*rr_HF)*(1-I28) + AP28*(1-p_recur_Stroke-H28*rr_Stroke*rr_HF)*(1-I28) + AQ28*(1-p_recur_Stroke-H28*rr_Stroke*rr_HF)*(1-I28)</f>
        <v>1.3770064473006148E-4</v>
      </c>
      <c r="AR29">
        <f>AR28*(1-AC28-H28*rr_DM) + AD28*(1-T28-H28)*I28</f>
        <v>0.36490425483103839</v>
      </c>
      <c r="AS29">
        <f>AR28*AC28*p_Other + AD28*T28*p_Other*I28 + AE28*(1-T28*p_Stroke-T28*p_MI-H28*rr_Other)*I28 + AS28*(1-AC28*p_Stroke-AC28*p_MI-H28*rr_Other*rr_DM)</f>
        <v>0.11016544723860949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8.1565243282251693E-3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3.3103428089816957E-2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4.4170610282543085E-3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2.353679249689742E-2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4.3322078237378908E-4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3.5375517312081443E-4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1.4157097473402398E-3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1.8146379747784429E-3</v>
      </c>
      <c r="BB29">
        <f>AM28*(1-T28*p_Stroke - H28*rr_HF)*I28 + AN28*(1-T28*p_Stroke - H28*rr_HF)*I28 + BA28*(1-AC28*p_Stroke - H28*rr_HF*rr_DM) + BB28*(1-AC28*p_Stroke - H28*rr_HF*rr_DM)</f>
        <v>1.8732401570243834E-2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1.4139496133461175E-4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2.9771237323888663E-4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1.0670506967140926E-3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0.23944414863291175</v>
      </c>
      <c r="BG29">
        <f t="shared" si="16"/>
        <v>0.97499999999999976</v>
      </c>
      <c r="BH29">
        <f>(0.9442 - 0.0007*$B29 - dis_BMI*($C29-21.75))*AD29</f>
        <v>0.10574655369554384</v>
      </c>
      <c r="BI29">
        <f>0.959*(0.9442 - 0.0007*$B29 - dis_BMI*($C29-21.75))*AE29</f>
        <v>1.87114683579531E-2</v>
      </c>
      <c r="BJ29">
        <f>(0.943*(0.9442 - 0.0007*$B29 - dis_BMI*($C29-21.75)) - 0.19*0.5)*AF29</f>
        <v>1.0711854676838223E-3</v>
      </c>
      <c r="BK29">
        <f>(0.943*(0.9442 - 0.0007*$B29 - dis_BMI*($C29-21.75)))*AG29</f>
        <v>5.2198047798399354E-3</v>
      </c>
      <c r="BL29">
        <f>(0.955*(0.9442 - 0.0007*$B29 - dis_BMI*($C29-21.75)) - 0.15*0.5)*AH29</f>
        <v>5.8713174907522152E-4</v>
      </c>
      <c r="BM29">
        <f>(0.955*(0.9442 - 0.0007*$B29 - dis_BMI*($C29-21.75)))*AI29</f>
        <v>3.6342616840542652E-3</v>
      </c>
      <c r="BN29">
        <f>(0.955*0.943*(0.9442 - 0.0007*$B29 - dis_BMI*($C29-21.75)) - 0.19*0.5)*AJ29</f>
        <v>3.2937624210050795E-5</v>
      </c>
      <c r="BO29">
        <f>(0.955*0.943*(0.9442 - 0.0007*$B29 - dis_BMI*($C29-21.75)) - 0.15*0.5)*AK29</f>
        <v>2.7722515339119526E-5</v>
      </c>
      <c r="BP29">
        <f>(0.955*0.943*(0.9442 - 0.0007*$B29 - dis_BMI*($C29-21.75)))*AL29</f>
        <v>1.3062196702714294E-4</v>
      </c>
      <c r="BQ29">
        <f>(0.93*(0.9442 - 0.0007*$B29 - dis_BMI*($C29-21.75)))*AM29</f>
        <v>2.6447781923944201E-4</v>
      </c>
      <c r="BR29">
        <f>(0.93*(0.9442 - 0.0007*$B29 - dis_BMI*($C29-21.75)))*AN29</f>
        <v>2.9824591596363109E-3</v>
      </c>
      <c r="BS29">
        <f>(0.93*0.943*(0.9442 - 0.0007*$B29 - dis_BMI*($C29-21.75)))*AO29</f>
        <v>1.22089991548457E-5</v>
      </c>
      <c r="BT29">
        <f>(0.93*0.943*(0.9442 - 0.0007*$B29 - dis_BMI*($C29-21.75))-0.19*0.5)*AP29</f>
        <v>2.3219667975662016E-5</v>
      </c>
      <c r="BU29">
        <f>(0.93*0.943*(0.9442 - 0.0007*$B29 - dis_BMI*($C29-21.75)))*AQ29</f>
        <v>1.0154582110169505E-4</v>
      </c>
      <c r="BV29">
        <f>0.962*(0.9442 - 0.0007*$B29 - dis_BMI*($C29-21.75))*AR29</f>
        <v>0.29517898840036955</v>
      </c>
      <c r="BW29">
        <f>0.962*0.959*(0.9442 - 0.0007*$B29 - dis_BMI*($C29-21.75))*AS29</f>
        <v>8.5461502088627322E-2</v>
      </c>
      <c r="BX29">
        <f>0.962*(0.943*(0.9442 - 0.0007*$B29 - dis_BMI*($C29-21.75)) - 0.19*0.5)*AT29</f>
        <v>5.4764797489391687E-3</v>
      </c>
      <c r="BY29">
        <f>0.962*(0.943*(0.9442 - 0.0007*$B29 - dis_BMI*($C29-21.75)))*AU29</f>
        <v>2.5251732251473299E-2</v>
      </c>
      <c r="BZ29">
        <f>0.962*(0.955*(0.9442 - 0.0007*$B29 - dis_BMI*($C29-21.75)) - 0.15*0.5)*AV29</f>
        <v>3.0935782304862742E-3</v>
      </c>
      <c r="CA29">
        <f>0.962*(0.955*(0.9442 - 0.0007*$B29 - dis_BMI*($C29-21.75)))*AW29</f>
        <v>1.8182649324058161E-2</v>
      </c>
      <c r="CB29">
        <f>0.962*(0.955*0.943*(0.9442 - 0.0007*$B29 - dis_BMI*($C29-21.75)) - 0.19*0.5)*AX29</f>
        <v>2.7600349433969557E-4</v>
      </c>
      <c r="CC29">
        <f>0.962*(0.955*0.943*(0.9442 - 0.0007*$B29 - dis_BMI*($C29-21.75)) - 0.15*0.5)*AY29</f>
        <v>2.3218247314387873E-4</v>
      </c>
      <c r="CD29">
        <f>0.962*(0.955*0.943*(0.9442 - 0.0007*$B29 - dis_BMI*($C29-21.75)))*AZ29</f>
        <v>1.0313256027790377E-3</v>
      </c>
      <c r="CE29">
        <f>0.962*(0.93*(0.9442 - 0.0007*$B29 - dis_BMI*($C29-21.75)))*BA29</f>
        <v>1.3651471173420377E-3</v>
      </c>
      <c r="CF29">
        <f>0.962*(0.93*(0.9442 - 0.0007*$B29 - dis_BMI*($C29-21.75)))*BB29</f>
        <v>1.4092333765711083E-2</v>
      </c>
      <c r="CG29">
        <f>0.962*(0.93*0.943*(0.9442 - 0.0007*$B29 - dis_BMI*($C29-21.75)))*BC29</f>
        <v>1.0030788826301173E-4</v>
      </c>
      <c r="CH29">
        <f>0.962*(0.93*0.943*(0.9442 - 0.0007*$B29 - dis_BMI*($C29-21.75))-0.19*0.5)*BD29</f>
        <v>1.8399407218989438E-4</v>
      </c>
      <c r="CI29">
        <f>0.962*(0.93*0.943*(0.9442 - 0.0007*$B29 - dis_BMI*($C29-21.75)))*BE29</f>
        <v>7.5698314173777779E-4</v>
      </c>
      <c r="CJ29">
        <f t="shared" si="17"/>
        <v>0</v>
      </c>
      <c r="CK29">
        <f t="shared" si="18"/>
        <v>0.58922880690729451</v>
      </c>
      <c r="CL29">
        <f>CK29/(1+r_)^A29</f>
        <v>0.27322229101779311</v>
      </c>
      <c r="CM29">
        <f t="shared" si="19"/>
        <v>0</v>
      </c>
      <c r="CN29">
        <f>AE29*c_Other</f>
        <v>331.32607464475149</v>
      </c>
      <c r="CO29">
        <f>AF29*(c_Stroke1+c_Stroke2)</f>
        <v>36.552090106450578</v>
      </c>
      <c r="CP29">
        <f>AG29*c_Stroke2</f>
        <v>42.78824599490359</v>
      </c>
      <c r="CQ29">
        <f>AH29*(c_MI1+c_MI2)</f>
        <v>23.509121023152929</v>
      </c>
      <c r="CR29">
        <f>AI29*c_MI2</f>
        <v>14.106464665496183</v>
      </c>
      <c r="CS29">
        <f>AJ29*(c_Stroke1+c_Stroke2+c_MI2)</f>
        <v>1.3395125141961151</v>
      </c>
      <c r="CT29">
        <f>AK29*(c_Stroke2+c_MI1+c_MI2)</f>
        <v>1.4486143641808975</v>
      </c>
      <c r="CU29">
        <f>AL29*(c_Stroke2+c_MI2)</f>
        <v>1.6588584544266578</v>
      </c>
      <c r="CV29">
        <f>AM29*(c_HF1)</f>
        <v>9.1415725798198775</v>
      </c>
      <c r="CW29">
        <f>AN29*(c_HF2)</f>
        <v>59.514650715699851</v>
      </c>
      <c r="CX29">
        <f>AO29*(c_Stroke2+c_HF1)</f>
        <v>0.5551208444322917</v>
      </c>
      <c r="CY29">
        <f>AP29*(c_Stroke1+c_Stroke2+c_HF2)</f>
        <v>1.4247929832331714</v>
      </c>
      <c r="CZ29">
        <f>AQ29*(c_Stroke2+c_HF2)</f>
        <v>3.0438727517580091</v>
      </c>
      <c r="DA29">
        <f>AR29*c_DM</f>
        <v>4169.031111444614</v>
      </c>
      <c r="DB29">
        <f>AS29*(c_Other+c_DM)</f>
        <v>2831.6926558212185</v>
      </c>
      <c r="DC29">
        <f>AT29*(c_Stroke1+c_Stroke2+c_DM)</f>
        <v>287.44407385098322</v>
      </c>
      <c r="DD29">
        <f>AU29*(c_Stroke2+c_DM)</f>
        <v>593.37894850996895</v>
      </c>
      <c r="DE29">
        <f>AV29*(c_MI1+c_MI2+c_DM)</f>
        <v>179.22666828244681</v>
      </c>
      <c r="DF29">
        <f>AW29*(c_MI2+c_DM)</f>
        <v>342.27203648988228</v>
      </c>
      <c r="DG29">
        <f>AX29*(c_Stroke1+c_Stroke2+c_MI2+c_DM)</f>
        <v>16.617482770293801</v>
      </c>
      <c r="DH29">
        <f>AY29*(c_Stroke2+c_MI1+c_MI2+c_DM)</f>
        <v>16.653378529835461</v>
      </c>
      <c r="DI29">
        <f>AZ29*(c_Stroke2+c_MI2+c_DM)</f>
        <v>29.789364503533328</v>
      </c>
      <c r="DJ29">
        <f>BA29*(c_HF1+c_DM)</f>
        <v>69.781903320105016</v>
      </c>
      <c r="DK29">
        <f>BB29*(c_HF2+c_DM)</f>
        <v>506.33681444369086</v>
      </c>
      <c r="DL29">
        <f>BC29*(c_Stroke2+c_HF1+c_DM)</f>
        <v>6.3564104867974711</v>
      </c>
      <c r="DM29">
        <f>BD29*(c_Stroke1+c_Stroke2+c_HF2+c_DM)</f>
        <v>15.137483329704429</v>
      </c>
      <c r="DN29">
        <f>BE29*(c_Stroke2+c_HF2+c_DM)</f>
        <v>35.778209860823523</v>
      </c>
      <c r="DO29">
        <f t="shared" si="20"/>
        <v>0</v>
      </c>
      <c r="DP29">
        <f t="shared" si="21"/>
        <v>9625.9055332863991</v>
      </c>
      <c r="DQ29">
        <f>DP29/(1+r_)^A29</f>
        <v>4463.4816426060288</v>
      </c>
    </row>
    <row r="30" spans="1:121" x14ac:dyDescent="0.3">
      <c r="A30">
        <v>27</v>
      </c>
      <c r="B30">
        <v>72</v>
      </c>
      <c r="C30">
        <f t="shared" si="40"/>
        <v>38</v>
      </c>
      <c r="D30">
        <f t="shared" si="1"/>
        <v>125</v>
      </c>
      <c r="E30">
        <f t="shared" si="41"/>
        <v>5.7</v>
      </c>
      <c r="F30">
        <v>1.686E-2</v>
      </c>
      <c r="G30">
        <v>2.496E-2</v>
      </c>
      <c r="H30">
        <f t="shared" si="3"/>
        <v>1.848E-2</v>
      </c>
      <c r="I30">
        <f t="shared" si="22"/>
        <v>5.6857293942168513E-2</v>
      </c>
      <c r="J30">
        <f t="shared" si="23"/>
        <v>0.26281177699647729</v>
      </c>
      <c r="K30">
        <f t="shared" si="24"/>
        <v>0.34755384881907236</v>
      </c>
      <c r="L30">
        <f t="shared" si="25"/>
        <v>0.13441093349901878</v>
      </c>
      <c r="M30">
        <f t="shared" si="26"/>
        <v>0.18303083967853306</v>
      </c>
      <c r="N30">
        <f t="shared" si="27"/>
        <v>0.55646226558813883</v>
      </c>
      <c r="O30">
        <f t="shared" si="28"/>
        <v>0.68295799046913164</v>
      </c>
      <c r="P30">
        <f t="shared" si="29"/>
        <v>0.32960826512571439</v>
      </c>
      <c r="Q30">
        <f t="shared" si="30"/>
        <v>0.43166512293095105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2.1588240604377047E-2</v>
      </c>
      <c r="U30">
        <f t="shared" si="31"/>
        <v>0.48499701284412799</v>
      </c>
      <c r="V30">
        <f t="shared" si="32"/>
        <v>0.60518646373288876</v>
      </c>
      <c r="W30">
        <f t="shared" si="33"/>
        <v>0.26958267187073581</v>
      </c>
      <c r="X30">
        <f t="shared" si="34"/>
        <v>0.35593091277071598</v>
      </c>
      <c r="Y30">
        <f t="shared" si="35"/>
        <v>0.74927454350592859</v>
      </c>
      <c r="Z30">
        <f t="shared" si="36"/>
        <v>0.85839648357306109</v>
      </c>
      <c r="AA30">
        <f t="shared" si="37"/>
        <v>0.49362568651647754</v>
      </c>
      <c r="AB30">
        <f t="shared" si="38"/>
        <v>0.61768464597743633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3.7518509224812972E-2</v>
      </c>
      <c r="AD30">
        <f t="shared" si="39"/>
        <v>0.1139092850344814</v>
      </c>
      <c r="AE30">
        <f t="shared" si="5"/>
        <v>2.2262370116486262E-2</v>
      </c>
      <c r="AF30">
        <f t="shared" si="6"/>
        <v>1.4660539467589702E-3</v>
      </c>
      <c r="AG30">
        <f t="shared" si="7"/>
        <v>6.2533488352246843E-3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7.6888268439905352E-4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4.3274400535245824E-3</v>
      </c>
      <c r="AJ30">
        <f t="shared" si="10"/>
        <v>4.9592501507896703E-5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4.0437346753512506E-5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1.6914805036446606E-4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3.2368313360694079E-4</v>
      </c>
      <c r="AN30">
        <f t="shared" si="14"/>
        <v>3.7636636243146716E-3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1.6509615256590034E-5</v>
      </c>
      <c r="AP30">
        <f>AM29*T29*p_Stroke*p_Stroke_rec*(1-I29) + AN29*T29*p_Stroke*p_Stroke_rec*(1-I29) + AO29*(p_recur_Stroke*p_Stroke_rec)*(1-I29) + AP29*(p_recur_Stroke*p_Stroke_rec)*(1-I29) + AQ29*(p_recur_Stroke*p_Stroke_rec)*(1-I29)</f>
        <v>3.7129370536972405E-5</v>
      </c>
      <c r="AQ30">
        <f>AO29*(1-p_recur_Stroke-H29*rr_Stroke*rr_HF)*(1-I29) + AP29*(1-p_recur_Stroke-H29*rr_Stroke*rr_HF)*(1-I29) + AQ29*(1-p_recur_Stroke-H29*rr_Stroke*rr_HF)*(1-I29)</f>
        <v>1.3886708571211924E-4</v>
      </c>
      <c r="AR30">
        <f>AR29*(1-AC29-H29*rr_DM) + AD29*(1-T29-H29)*I29</f>
        <v>0.35060737207936388</v>
      </c>
      <c r="AS30">
        <f>AR29*AC29*p_Other + AD29*T29*p_Other*I29 + AE29*(1-T29*p_Stroke-T29*p_MI-H29*rr_Other)*I29 + AS29*(1-AC29*p_Stroke-AC29*p_MI-H29*rr_Other*rr_DM)</f>
        <v>0.11250962337310259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8.3087418668655651E-3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3.3573382143703562E-2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4.4885476452902577E-3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2.4091123801930407E-2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4.6183601132298061E-4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3.7564632193012745E-4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1.4824500239183289E-3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1.85546010572573E-3</v>
      </c>
      <c r="BB30">
        <f>AM29*(1-T29*p_Stroke - H29*rr_HF)*I29 + AN29*(1-T29*p_Stroke - H29*rr_HF)*I29 + BA29*(1-AC29*p_Stroke - H29*rr_HF*rr_DM) + BB29*(1-AC29*p_Stroke - H29*rr_HF*rr_DM)</f>
        <v>1.9796225509891248E-2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1.5072023612803343E-4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3.2704289768607152E-4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1.1490019185260425E-3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0.26229641466568665</v>
      </c>
      <c r="BG30">
        <f t="shared" si="16"/>
        <v>0.97499999999999964</v>
      </c>
      <c r="BH30">
        <f>(0.9442 - 0.0007*$B30 - dis_BMI*($C30-21.75))*AD30</f>
        <v>9.5703733553845413E-2</v>
      </c>
      <c r="BI30">
        <f>0.959*(0.9442 - 0.0007*$B30 - dis_BMI*($C30-21.75))*AE30</f>
        <v>1.7937411053301471E-2</v>
      </c>
      <c r="BJ30">
        <f>(0.943*(0.9442 - 0.0007*$B30 - dis_BMI*($C30-21.75)) - 0.19*0.5)*AF30</f>
        <v>1.0222574629171772E-3</v>
      </c>
      <c r="BK30">
        <f>(0.943*(0.9442 - 0.0007*$B30 - dis_BMI*($C30-21.75)))*AG30</f>
        <v>4.9544346382497098E-3</v>
      </c>
      <c r="BL30">
        <f>(0.955*(0.9442 - 0.0007*$B30 - dis_BMI*($C30-21.75)) - 0.15*0.5)*AH30</f>
        <v>5.5925998761362195E-4</v>
      </c>
      <c r="BM30">
        <f>(0.955*(0.9442 - 0.0007*$B30 - dis_BMI*($C30-21.75)))*AI30</f>
        <v>3.4721956343563651E-3</v>
      </c>
      <c r="BN30">
        <f>(0.955*0.943*(0.9442 - 0.0007*$B30 - dis_BMI*($C30-21.75)) - 0.19*0.5)*AJ30</f>
        <v>3.2811995820381452E-5</v>
      </c>
      <c r="BO30">
        <f>(0.955*0.943*(0.9442 - 0.0007*$B30 - dis_BMI*($C30-21.75)) - 0.15*0.5)*AK30</f>
        <v>2.7563397584267575E-5</v>
      </c>
      <c r="BP30">
        <f>(0.955*0.943*(0.9442 - 0.0007*$B30 - dis_BMI*($C30-21.75)))*AL30</f>
        <v>1.2798286128268521E-4</v>
      </c>
      <c r="BQ30">
        <f>(0.93*(0.9442 - 0.0007*$B30 - dis_BMI*($C30-21.75)))*AM30</f>
        <v>2.5291394340373665E-4</v>
      </c>
      <c r="BR30">
        <f>(0.93*(0.9442 - 0.0007*$B30 - dis_BMI*($C30-21.75)))*AN30</f>
        <v>2.9407865595694788E-3</v>
      </c>
      <c r="BS30">
        <f>(0.93*0.943*(0.9442 - 0.0007*$B30 - dis_BMI*($C30-21.75)))*AO30</f>
        <v>1.2164698470766269E-5</v>
      </c>
      <c r="BT30">
        <f>(0.93*0.943*(0.9442 - 0.0007*$B30 - dis_BMI*($C30-21.75))-0.19*0.5)*AP30</f>
        <v>2.3830560964618707E-5</v>
      </c>
      <c r="BU30">
        <f>(0.93*0.943*(0.9442 - 0.0007*$B30 - dis_BMI*($C30-21.75)))*AQ30</f>
        <v>1.023207506018463E-4</v>
      </c>
      <c r="BV30">
        <f>0.962*(0.9442 - 0.0007*$B30 - dis_BMI*($C30-21.75))*AR30</f>
        <v>0.28337782998098193</v>
      </c>
      <c r="BW30">
        <f>0.962*0.959*(0.9442 - 0.0007*$B30 - dis_BMI*($C30-21.75))*AS30</f>
        <v>8.7207353034963894E-2</v>
      </c>
      <c r="BX30">
        <f>0.962*(0.943*(0.9442 - 0.0007*$B30 - dis_BMI*($C30-21.75)) - 0.19*0.5)*AT30</f>
        <v>5.5734059517023784E-3</v>
      </c>
      <c r="BY30">
        <f>0.962*(0.943*(0.9442 - 0.0007*$B30 - dis_BMI*($C30-21.75)))*AU30</f>
        <v>2.5588899770438496E-2</v>
      </c>
      <c r="BZ30">
        <f>0.962*(0.955*(0.9442 - 0.0007*$B30 - dis_BMI*($C30-21.75)) - 0.15*0.5)*AV30</f>
        <v>3.1407587603254432E-3</v>
      </c>
      <c r="CA30">
        <f>0.962*(0.955*(0.9442 - 0.0007*$B30 - dis_BMI*($C30-21.75)))*AW30</f>
        <v>1.8595388564740956E-2</v>
      </c>
      <c r="CB30">
        <f>0.962*(0.955*0.943*(0.9442 - 0.0007*$B30 - dis_BMI*($C30-21.75)) - 0.19*0.5)*AX30</f>
        <v>2.9395408381501431E-4</v>
      </c>
      <c r="CC30">
        <f>0.962*(0.955*0.943*(0.9442 - 0.0007*$B30 - dis_BMI*($C30-21.75)) - 0.15*0.5)*AY30</f>
        <v>2.4632262853671046E-4</v>
      </c>
      <c r="CD30">
        <f>0.962*(0.955*0.943*(0.9442 - 0.0007*$B30 - dis_BMI*($C30-21.75)))*AZ30</f>
        <v>1.0790459833094758E-3</v>
      </c>
      <c r="CE30">
        <f>0.962*(0.93*(0.9442 - 0.0007*$B30 - dis_BMI*($C30-21.75)))*BA30</f>
        <v>1.3946954891175915E-3</v>
      </c>
      <c r="CF30">
        <f>0.962*(0.93*(0.9442 - 0.0007*$B30 - dis_BMI*($C30-21.75)))*BB30</f>
        <v>1.4880247942275684E-2</v>
      </c>
      <c r="CG30">
        <f>0.962*(0.93*0.943*(0.9442 - 0.0007*$B30 - dis_BMI*($C30-21.75)))*BC30</f>
        <v>1.0683437996233429E-4</v>
      </c>
      <c r="CH30">
        <f>0.962*(0.93*0.943*(0.9442 - 0.0007*$B30 - dis_BMI*($C30-21.75))-0.19*0.5)*BD30</f>
        <v>2.019279671562514E-4</v>
      </c>
      <c r="CI30">
        <f>0.962*(0.93*0.943*(0.9442 - 0.0007*$B30 - dis_BMI*($C30-21.75)))*BE30</f>
        <v>8.1444211271661281E-4</v>
      </c>
      <c r="CJ30">
        <f t="shared" si="17"/>
        <v>0</v>
      </c>
      <c r="CK30">
        <f t="shared" si="18"/>
        <v>0.56967077374802444</v>
      </c>
      <c r="CL30">
        <f>CK30/(1+r_)^A30</f>
        <v>0.25645954773084678</v>
      </c>
      <c r="CM30">
        <f t="shared" si="19"/>
        <v>0</v>
      </c>
      <c r="CN30">
        <f>AE30*c_Other</f>
        <v>317.8843828933073</v>
      </c>
      <c r="CO30">
        <f>AF30*(c_Stroke1+c_Stroke2)</f>
        <v>34.915540796011634</v>
      </c>
      <c r="CP30">
        <f>AG30*c_Stroke2</f>
        <v>40.646767428960445</v>
      </c>
      <c r="CQ30">
        <f>AH30*(c_MI1+c_MI2)</f>
        <v>22.413699132916808</v>
      </c>
      <c r="CR30">
        <f>AI30*c_MI2</f>
        <v>13.488630646836123</v>
      </c>
      <c r="CS30">
        <f>AJ30*(c_Stroke1+c_Stroke2+c_MI2)</f>
        <v>1.3356748431121819</v>
      </c>
      <c r="CT30">
        <f>AK30*(c_Stroke2+c_MI1+c_MI2)</f>
        <v>1.4416318491094744</v>
      </c>
      <c r="CU30">
        <f>AL30*(c_Stroke2+c_MI2)</f>
        <v>1.6266968003550701</v>
      </c>
      <c r="CV30">
        <f>AM30*(c_HF1)</f>
        <v>8.7491551013956101</v>
      </c>
      <c r="CW30">
        <f>AN30*(c_HF2)</f>
        <v>58.731970857430447</v>
      </c>
      <c r="CX30">
        <f>AO30*(c_Stroke2+c_HF1)</f>
        <v>0.55356739955346379</v>
      </c>
      <c r="CY30">
        <f>AP30*(c_Stroke1+c_Stroke2+c_HF2)</f>
        <v>1.4636769159379892</v>
      </c>
      <c r="CZ30">
        <f>AQ30*(c_Stroke2+c_HF2)</f>
        <v>3.069656929666396</v>
      </c>
      <c r="DA30">
        <f>AR30*c_DM</f>
        <v>4005.6892260067325</v>
      </c>
      <c r="DB30">
        <f>AS30*(c_Other+c_DM)</f>
        <v>2891.9473591822289</v>
      </c>
      <c r="DC30">
        <f>AT30*(c_Stroke1+c_Stroke2+c_DM)</f>
        <v>292.80837213020936</v>
      </c>
      <c r="DD30">
        <f>AU30*(c_Stroke2+c_DM)</f>
        <v>601.80287492588639</v>
      </c>
      <c r="DE30">
        <f>AV30*(c_MI1+c_MI2+c_DM)</f>
        <v>182.12730925529749</v>
      </c>
      <c r="DF30">
        <f>AW30*(c_MI2+c_DM)</f>
        <v>350.33312232767196</v>
      </c>
      <c r="DG30">
        <f>AX30*(c_Stroke1+c_Stroke2+c_MI2+c_DM)</f>
        <v>17.715105722326889</v>
      </c>
      <c r="DH30">
        <f>AY30*(c_Stroke2+c_MI1+c_MI2+c_DM)</f>
        <v>17.68392625118268</v>
      </c>
      <c r="DI30">
        <f>AZ30*(c_Stroke2+c_MI2+c_DM)</f>
        <v>31.193713403289475</v>
      </c>
      <c r="DJ30">
        <f>BA30*(c_HF1+c_DM)</f>
        <v>71.351718365682942</v>
      </c>
      <c r="DK30">
        <f>BB30*(c_HF2+c_DM)</f>
        <v>535.09197553236038</v>
      </c>
      <c r="DL30">
        <f>BC30*(c_Stroke2+c_HF1+c_DM)</f>
        <v>6.7756282151357432</v>
      </c>
      <c r="DM30">
        <f>BD30*(c_Stroke1+c_Stroke2+c_HF2+c_DM)</f>
        <v>16.628823175745993</v>
      </c>
      <c r="DN30">
        <f>BE30*(c_Stroke2+c_HF2+c_DM)</f>
        <v>38.526034328178206</v>
      </c>
      <c r="DO30">
        <f t="shared" si="20"/>
        <v>0</v>
      </c>
      <c r="DP30">
        <f t="shared" si="21"/>
        <v>9565.9962404165217</v>
      </c>
      <c r="DQ30">
        <f>DP30/(1+r_)^A30</f>
        <v>4306.506814929804</v>
      </c>
    </row>
    <row r="31" spans="1:121" x14ac:dyDescent="0.3">
      <c r="A31">
        <v>28</v>
      </c>
      <c r="B31">
        <v>73</v>
      </c>
      <c r="C31">
        <f t="shared" si="40"/>
        <v>38</v>
      </c>
      <c r="D31">
        <f t="shared" si="1"/>
        <v>125</v>
      </c>
      <c r="E31">
        <f t="shared" si="41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22"/>
        <v>5.6857293942168513E-2</v>
      </c>
      <c r="J31">
        <f t="shared" si="23"/>
        <v>0.27135865101614576</v>
      </c>
      <c r="K31">
        <f t="shared" si="24"/>
        <v>0.35812305174850001</v>
      </c>
      <c r="L31">
        <f t="shared" si="25"/>
        <v>0.13917633465862145</v>
      </c>
      <c r="M31">
        <f t="shared" si="26"/>
        <v>0.18932291970445148</v>
      </c>
      <c r="N31">
        <f t="shared" si="27"/>
        <v>0.57200364304636764</v>
      </c>
      <c r="O31">
        <f t="shared" si="28"/>
        <v>0.69854054811005739</v>
      </c>
      <c r="P31">
        <f t="shared" si="29"/>
        <v>0.34126759630895664</v>
      </c>
      <c r="Q31">
        <f t="shared" si="30"/>
        <v>0.44558130791932782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2.2301070171347092E-2</v>
      </c>
      <c r="U31">
        <f t="shared" si="31"/>
        <v>0.497902949331541</v>
      </c>
      <c r="V31">
        <f t="shared" si="32"/>
        <v>0.61897303701496253</v>
      </c>
      <c r="W31">
        <f t="shared" si="33"/>
        <v>0.2783057771284867</v>
      </c>
      <c r="X31">
        <f t="shared" si="34"/>
        <v>0.36667750089688478</v>
      </c>
      <c r="Y31">
        <f t="shared" si="35"/>
        <v>0.76403968025917113</v>
      </c>
      <c r="Z31">
        <f t="shared" si="36"/>
        <v>0.87003439859586451</v>
      </c>
      <c r="AA31">
        <f t="shared" si="37"/>
        <v>0.50852015449212784</v>
      </c>
      <c r="AB31">
        <f t="shared" si="38"/>
        <v>0.63347720467387791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3.8577495295175145E-2</v>
      </c>
      <c r="AD31">
        <f t="shared" si="39"/>
        <v>0.10312807160608109</v>
      </c>
      <c r="AE31">
        <f t="shared" si="5"/>
        <v>2.1330989662426855E-2</v>
      </c>
      <c r="AF31">
        <f t="shared" si="6"/>
        <v>1.3904412940635347E-3</v>
      </c>
      <c r="AG31">
        <f t="shared" si="7"/>
        <v>5.9511390217527726E-3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7.2962127169771138E-4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4.1371803637209126E-3</v>
      </c>
      <c r="AJ31">
        <f t="shared" si="10"/>
        <v>4.8943077632938729E-5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3.9792414385872643E-5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1.6707813440661269E-4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3.082215493967892E-4</v>
      </c>
      <c r="AN31">
        <f t="shared" si="14"/>
        <v>3.7061544207972982E-3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1.6261208240711254E-5</v>
      </c>
      <c r="AP31">
        <f>AM30*T30*p_Stroke*p_Stroke_rec*(1-I30) + AN30*T30*p_Stroke*p_Stroke_rec*(1-I30) + AO30*(p_recur_Stroke*p_Stroke_rec)*(1-I30) + AP30*(p_recur_Stroke*p_Stroke_rec)*(1-I30) + AQ30*(p_recur_Stroke*p_Stroke_rec)*(1-I30)</f>
        <v>3.7653994873629645E-5</v>
      </c>
      <c r="AQ31">
        <f>AO30*(1-p_recur_Stroke-H30*rr_Stroke*rr_HF)*(1-I30) + AP30*(1-p_recur_Stroke-H30*rr_Stroke*rr_HF)*(1-I30) + AQ30*(1-p_recur_Stroke-H30*rr_Stroke*rr_HF)*(1-I30)</f>
        <v>1.406599437670979E-4</v>
      </c>
      <c r="AR31">
        <f>AR30*(1-AC30-H30*rr_DM) + AD30*(1-T30-H30)*I30</f>
        <v>0.33621906707285232</v>
      </c>
      <c r="AS31">
        <f>AR30*AC30*p_Other + AD30*T30*p_Other*I30 + AE30*(1-T30*p_Stroke-T30*p_MI-H30*rr_Other)*I30 + AS30*(1-AC30*p_Stroke-AC30*p_MI-H30*rr_Other*rr_DM)</f>
        <v>0.11458786630899223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8.3842563303865459E-3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3.4083388117130312E-2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4.5301410327620185E-3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2.4619083501222858E-2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4.8596268904305259E-4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3.9329422128556342E-4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1.5639638201318151E-3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1.8835213833921589E-3</v>
      </c>
      <c r="BB31">
        <f>AM30*(1-T30*p_Stroke - H30*rr_HF)*I30 + AN30*(1-T30*p_Stroke - H30*rr_HF)*I30 + BA30*(1-AC30*p_Stroke - H30*rr_HF*rr_DM) + BB30*(1-AC30*p_Stroke - H30*rr_HF*rr_DM)</f>
        <v>2.0850815167402895E-2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1.5819952213425525E-4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3.5375575561236286E-4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1.2430900039613309E-3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0.28451138711044605</v>
      </c>
      <c r="BG31">
        <f t="shared" si="16"/>
        <v>0.97499999999999964</v>
      </c>
      <c r="BH31">
        <f>(0.9442 - 0.0007*$B31 - dis_BMI*($C31-21.75))*AD31</f>
        <v>8.6573437911514922E-2</v>
      </c>
      <c r="BI31">
        <f>0.959*(0.9442 - 0.0007*$B31 - dis_BMI*($C31-21.75))*AE31</f>
        <v>1.7172652412444284E-2</v>
      </c>
      <c r="BJ31">
        <f>(0.943*(0.9442 - 0.0007*$B31 - dis_BMI*($C31-21.75)) - 0.19*0.5)*AF31</f>
        <v>9.6861606219391272E-4</v>
      </c>
      <c r="BK31">
        <f>(0.943*(0.9442 - 0.0007*$B31 - dis_BMI*($C31-21.75)))*AG31</f>
        <v>4.7110699817596111E-3</v>
      </c>
      <c r="BL31">
        <f>(0.955*(0.9442 - 0.0007*$B31 - dis_BMI*($C31-21.75)) - 0.15*0.5)*AH31</f>
        <v>5.3021477491347821E-4</v>
      </c>
      <c r="BM31">
        <f>(0.955*(0.9442 - 0.0007*$B31 - dis_BMI*($C31-21.75)))*AI31</f>
        <v>3.3167718089720552E-3</v>
      </c>
      <c r="BN31">
        <f>(0.955*0.943*(0.9442 - 0.0007*$B31 - dis_BMI*($C31-21.75)) - 0.19*0.5)*AJ31</f>
        <v>3.2351462578095121E-5</v>
      </c>
      <c r="BO31">
        <f>(0.955*0.943*(0.9442 - 0.0007*$B31 - dis_BMI*($C31-21.75)) - 0.15*0.5)*AK31</f>
        <v>2.7098705957424561E-5</v>
      </c>
      <c r="BP31">
        <f>(0.955*0.943*(0.9442 - 0.0007*$B31 - dis_BMI*($C31-21.75)))*AL31</f>
        <v>1.263113709159298E-4</v>
      </c>
      <c r="BQ31">
        <f>(0.93*(0.9442 - 0.0007*$B31 - dis_BMI*($C31-21.75)))*AM31</f>
        <v>2.4063218521727875E-4</v>
      </c>
      <c r="BR31">
        <f>(0.93*(0.9442 - 0.0007*$B31 - dis_BMI*($C31-21.75)))*AN31</f>
        <v>2.8934383036308951E-3</v>
      </c>
      <c r="BS31">
        <f>(0.93*0.943*(0.9442 - 0.0007*$B31 - dis_BMI*($C31-21.75)))*AO31</f>
        <v>1.1971683311185057E-5</v>
      </c>
      <c r="BT31">
        <f>(0.93*0.943*(0.9442 - 0.0007*$B31 - dis_BMI*($C31-21.75))-0.19*0.5)*AP31</f>
        <v>2.4144162494047516E-5</v>
      </c>
      <c r="BU31">
        <f>(0.93*0.943*(0.9442 - 0.0007*$B31 - dis_BMI*($C31-21.75)))*AQ31</f>
        <v>1.0355542321467378E-4</v>
      </c>
      <c r="BV31">
        <f>0.962*(0.9442 - 0.0007*$B31 - dis_BMI*($C31-21.75))*AR31</f>
        <v>0.2715220962804053</v>
      </c>
      <c r="BW31">
        <f>0.962*0.959*(0.9442 - 0.0007*$B31 - dis_BMI*($C31-21.75))*AS31</f>
        <v>8.8744220498482324E-2</v>
      </c>
      <c r="BX31">
        <f>0.962*(0.943*(0.9442 - 0.0007*$B31 - dis_BMI*($C31-21.75)) - 0.19*0.5)*AT31</f>
        <v>5.6187360237175228E-3</v>
      </c>
      <c r="BY31">
        <f>0.962*(0.943*(0.9442 - 0.0007*$B31 - dis_BMI*($C31-21.75)))*AU31</f>
        <v>2.5955971698614341E-2</v>
      </c>
      <c r="BZ31">
        <f>0.962*(0.955*(0.9442 - 0.0007*$B31 - dis_BMI*($C31-21.75)) - 0.15*0.5)*AV31</f>
        <v>3.166949463700797E-3</v>
      </c>
      <c r="CA31">
        <f>0.962*(0.955*(0.9442 - 0.0007*$B31 - dis_BMI*($C31-21.75)))*AW31</f>
        <v>1.8987076146806305E-2</v>
      </c>
      <c r="CB31">
        <f>0.962*(0.955*0.943*(0.9442 - 0.0007*$B31 - dis_BMI*($C31-21.75)) - 0.19*0.5)*AX31</f>
        <v>3.0901576970486603E-4</v>
      </c>
      <c r="CC31">
        <f>0.962*(0.955*0.943*(0.9442 - 0.0007*$B31 - dis_BMI*($C31-21.75)) - 0.15*0.5)*AY31</f>
        <v>2.5765637914224244E-4</v>
      </c>
      <c r="CD31">
        <f>0.962*(0.955*0.943*(0.9442 - 0.0007*$B31 - dis_BMI*($C31-21.75)))*AZ31</f>
        <v>1.1374298086324556E-3</v>
      </c>
      <c r="CE31">
        <f>0.962*(0.93*(0.9442 - 0.0007*$B31 - dis_BMI*($C31-21.75)))*BA31</f>
        <v>1.4146087589256737E-3</v>
      </c>
      <c r="CF31">
        <f>0.962*(0.93*(0.9442 - 0.0007*$B31 - dis_BMI*($C31-21.75)))*BB31</f>
        <v>1.565989429513541E-2</v>
      </c>
      <c r="CG31">
        <f>0.962*(0.93*0.943*(0.9442 - 0.0007*$B31 - dis_BMI*($C31-21.75)))*BC31</f>
        <v>1.1204246314303909E-4</v>
      </c>
      <c r="CH31">
        <f>0.962*(0.93*0.943*(0.9442 - 0.0007*$B31 - dis_BMI*($C31-21.75))-0.19*0.5)*BD31</f>
        <v>2.1821252404452928E-4</v>
      </c>
      <c r="CI31">
        <f>0.962*(0.93*0.943*(0.9442 - 0.0007*$B31 - dis_BMI*($C31-21.75)))*BE31</f>
        <v>8.8040004213236133E-4</v>
      </c>
      <c r="CJ31">
        <f t="shared" si="17"/>
        <v>0</v>
      </c>
      <c r="CK31">
        <f t="shared" si="18"/>
        <v>0.55071657640170479</v>
      </c>
      <c r="CL31">
        <f>CK31/(1+r_)^A31</f>
        <v>0.24070541313078975</v>
      </c>
      <c r="CM31">
        <f t="shared" si="19"/>
        <v>0</v>
      </c>
      <c r="CN31">
        <f>AE31*c_Other</f>
        <v>304.58520138979304</v>
      </c>
      <c r="CO31">
        <f>AF31*(c_Stroke1+c_Stroke2)</f>
        <v>33.114749859417138</v>
      </c>
      <c r="CP31">
        <f>AG31*c_Stroke2</f>
        <v>38.682403641393023</v>
      </c>
      <c r="CQ31">
        <f>AH31*(c_MI1+c_MI2)</f>
        <v>21.269189691259985</v>
      </c>
      <c r="CR31">
        <f>AI31*c_MI2</f>
        <v>12.895591193718085</v>
      </c>
      <c r="CS31">
        <f>AJ31*(c_Stroke1+c_Stroke2+c_MI2)</f>
        <v>1.3181839098879389</v>
      </c>
      <c r="CT31">
        <f>AK31*(c_Stroke2+c_MI1+c_MI2)</f>
        <v>1.4186393652707456</v>
      </c>
      <c r="CU31">
        <f>AL31*(c_Stroke2+c_MI2)</f>
        <v>1.6067904185883941</v>
      </c>
      <c r="CV31">
        <f>AM31*(c_HF1)</f>
        <v>8.3312284801952128</v>
      </c>
      <c r="CW31">
        <f>AN31*(c_HF2)</f>
        <v>57.834539736541835</v>
      </c>
      <c r="CX31">
        <f>AO31*(c_Stroke2+c_HF1)</f>
        <v>0.54523831231104836</v>
      </c>
      <c r="CY31">
        <f>AP31*(c_Stroke1+c_Stroke2+c_HF2)</f>
        <v>1.4843581319133543</v>
      </c>
      <c r="CZ31">
        <f>AQ31*(c_Stroke2+c_HF2)</f>
        <v>3.1092880569716992</v>
      </c>
      <c r="DA31">
        <f>AR31*c_DM</f>
        <v>3841.3028413073375</v>
      </c>
      <c r="DB31">
        <f>AS31*(c_Other+c_DM)</f>
        <v>2945.3665156063362</v>
      </c>
      <c r="DC31">
        <f>AT31*(c_Stroke1+c_Stroke2+c_DM)</f>
        <v>295.46957733915224</v>
      </c>
      <c r="DD31">
        <f>AU31*(c_Stroke2+c_DM)</f>
        <v>610.94473199956087</v>
      </c>
      <c r="DE31">
        <f>AV31*(c_MI1+c_MI2+c_DM)</f>
        <v>183.81500254535166</v>
      </c>
      <c r="DF31">
        <f>AW31*(c_MI2+c_DM)</f>
        <v>358.0107122747828</v>
      </c>
      <c r="DG31">
        <f>AX31*(c_Stroke1+c_Stroke2+c_MI2+c_DM)</f>
        <v>18.640556826313411</v>
      </c>
      <c r="DH31">
        <f>AY31*(c_Stroke2+c_MI1+c_MI2+c_DM)</f>
        <v>18.514718761239184</v>
      </c>
      <c r="DI31">
        <f>AZ31*(c_Stroke2+c_MI2+c_DM)</f>
        <v>32.908926703213652</v>
      </c>
      <c r="DJ31">
        <f>BA31*(c_HF1+c_DM)</f>
        <v>72.430814798345466</v>
      </c>
      <c r="DK31">
        <f>BB31*(c_HF2+c_DM)</f>
        <v>563.59753397490022</v>
      </c>
      <c r="DL31">
        <f>BC31*(c_Stroke2+c_HF1+c_DM)</f>
        <v>7.1118595175454447</v>
      </c>
      <c r="DM31">
        <f>BD31*(c_Stroke1+c_Stroke2+c_HF2+c_DM)</f>
        <v>17.987065149866201</v>
      </c>
      <c r="DN31">
        <f>BE31*(c_Stroke2+c_HF2+c_DM)</f>
        <v>41.680807832823426</v>
      </c>
      <c r="DO31">
        <f t="shared" si="20"/>
        <v>0</v>
      </c>
      <c r="DP31">
        <f t="shared" si="21"/>
        <v>9493.9770668240271</v>
      </c>
      <c r="DQ31">
        <f>DP31/(1+r_)^A31</f>
        <v>4149.5966710419261</v>
      </c>
    </row>
    <row r="32" spans="1:121" x14ac:dyDescent="0.3">
      <c r="A32">
        <v>29</v>
      </c>
      <c r="B32">
        <v>74</v>
      </c>
      <c r="C32">
        <f t="shared" si="40"/>
        <v>38</v>
      </c>
      <c r="D32">
        <f t="shared" si="1"/>
        <v>125</v>
      </c>
      <c r="E32">
        <f t="shared" si="41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22"/>
        <v>5.6857293942168513E-2</v>
      </c>
      <c r="J32">
        <f t="shared" si="23"/>
        <v>0.2800067676168051</v>
      </c>
      <c r="K32">
        <f t="shared" si="24"/>
        <v>0.36876703227773833</v>
      </c>
      <c r="L32">
        <f t="shared" si="25"/>
        <v>0.14402824125886471</v>
      </c>
      <c r="M32">
        <f t="shared" si="26"/>
        <v>0.19571490212183407</v>
      </c>
      <c r="N32">
        <f t="shared" si="27"/>
        <v>0.5874328511347271</v>
      </c>
      <c r="O32">
        <f t="shared" si="28"/>
        <v>0.7137811771257061</v>
      </c>
      <c r="P32">
        <f t="shared" si="29"/>
        <v>0.35305757934764237</v>
      </c>
      <c r="Q32">
        <f t="shared" si="30"/>
        <v>0.45955036324164744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2.3021639766425454E-2</v>
      </c>
      <c r="U32">
        <f t="shared" si="31"/>
        <v>0.51078175637798628</v>
      </c>
      <c r="V32">
        <f t="shared" si="32"/>
        <v>0.63258986922897953</v>
      </c>
      <c r="W32">
        <f t="shared" si="33"/>
        <v>0.28712906121679105</v>
      </c>
      <c r="X32">
        <f t="shared" si="34"/>
        <v>0.37749471060842144</v>
      </c>
      <c r="Y32">
        <f t="shared" si="35"/>
        <v>0.77833077994084898</v>
      </c>
      <c r="Z32">
        <f t="shared" si="36"/>
        <v>0.88101588931922359</v>
      </c>
      <c r="AA32">
        <f t="shared" si="37"/>
        <v>0.52339458440944808</v>
      </c>
      <c r="AB32">
        <f t="shared" si="38"/>
        <v>0.64905246688344331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3.9637394084837976E-2</v>
      </c>
      <c r="AD32">
        <f t="shared" si="39"/>
        <v>9.3017233279480055E-2</v>
      </c>
      <c r="AE32">
        <f t="shared" si="5"/>
        <v>2.0292572967412225E-2</v>
      </c>
      <c r="AF32">
        <f t="shared" si="6"/>
        <v>1.3183448065567191E-3</v>
      </c>
      <c r="AG32">
        <f t="shared" si="7"/>
        <v>5.5962303484126813E-3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6.9178774479076229E-4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3.9291729815433421E-3</v>
      </c>
      <c r="AJ32">
        <f t="shared" si="10"/>
        <v>4.8296268700556386E-5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3.9156790583255453E-5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1.6146587791009761E-4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2.9325489856509783E-4</v>
      </c>
      <c r="AN32">
        <f t="shared" si="14"/>
        <v>3.6194815431808145E-3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1.6024139546639931E-5</v>
      </c>
      <c r="AP32">
        <f>AM31*T31*p_Stroke*p_Stroke_rec*(1-I31) + AN31*T31*p_Stroke*p_Stroke_rec*(1-I31) + AO31*(p_recur_Stroke*p_Stroke_rec)*(1-I31) + AP31*(p_recur_Stroke*p_Stroke_rec)*(1-I31) + AQ31*(p_recur_Stroke*p_Stroke_rec)*(1-I31)</f>
        <v>3.8126129727479065E-5</v>
      </c>
      <c r="AQ32">
        <f>AO31*(1-p_recur_Stroke-H31*rr_Stroke*rr_HF)*(1-I31) + AP31*(1-p_recur_Stroke-H31*rr_Stroke*rr_HF)*(1-I31) + AQ31*(1-p_recur_Stroke-H31*rr_Stroke*rr_HF)*(1-I31)</f>
        <v>1.3915476098764242E-4</v>
      </c>
      <c r="AR32">
        <f>AR31*(1-AC31-H31*rr_DM) + AD31*(1-T31-H31)*I31</f>
        <v>0.32059491010670343</v>
      </c>
      <c r="AS32">
        <f>AR31*AC31*p_Other + AD31*T31*p_Other*I31 + AE31*(1-T31*p_Stroke-T31*p_MI-H31*rr_Other)*I31 + AS31*(1-AC31*p_Stroke-AC31*p_MI-H31*rr_Other*rr_DM)</f>
        <v>0.11560623980311403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8.4478403716715493E-3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3.4082414895507188E-2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4.562315004556311E-3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2.4932243188868788E-2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5.1058816762185452E-4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4.1127692164014416E-4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1.6061027967012526E-3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1.9077939957007086E-3</v>
      </c>
      <c r="BB32">
        <f>AM31*(1-T31*p_Stroke - H31*rr_HF)*I31 + AN31*(1-T31*p_Stroke - H31*rr_HF)*I31 + BA31*(1-AC31*p_Stroke - H31*rr_HF*rr_DM) + BB31*(1-AC31*p_Stroke - H31*rr_HF*rr_DM)</f>
        <v>2.1734161324433933E-2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1.6593972288760583E-4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3.8163577413710713E-4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1.3071740615156571E-3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0.30954906132754267</v>
      </c>
      <c r="BG32">
        <f t="shared" si="16"/>
        <v>0.97499999999999964</v>
      </c>
      <c r="BH32">
        <f>(0.9442 - 0.0007*$B32 - dis_BMI*($C32-21.75))*AD32</f>
        <v>7.8020529843995892E-2</v>
      </c>
      <c r="BI32">
        <f>0.959*(0.9442 - 0.0007*$B32 - dis_BMI*($C32-21.75))*AE32</f>
        <v>1.63230458722208E-2</v>
      </c>
      <c r="BJ32">
        <f>(0.943*(0.9442 - 0.0007*$B32 - dis_BMI*($C32-21.75)) - 0.19*0.5)*AF32</f>
        <v>9.175216125849059E-4</v>
      </c>
      <c r="BK32">
        <f>(0.943*(0.9442 - 0.0007*$B32 - dis_BMI*($C32-21.75)))*AG32</f>
        <v>4.4264213581919256E-3</v>
      </c>
      <c r="BL32">
        <f>(0.955*(0.9442 - 0.0007*$B32 - dis_BMI*($C32-21.75)) - 0.15*0.5)*AH32</f>
        <v>5.0225874282390525E-4</v>
      </c>
      <c r="BM32">
        <f>(0.955*(0.9442 - 0.0007*$B32 - dis_BMI*($C32-21.75)))*AI32</f>
        <v>3.1473859245522862E-3</v>
      </c>
      <c r="BN32">
        <f>(0.955*0.943*(0.9442 - 0.0007*$B32 - dis_BMI*($C32-21.75)) - 0.19*0.5)*AJ32</f>
        <v>3.189347495689572E-5</v>
      </c>
      <c r="BO32">
        <f>(0.955*0.943*(0.9442 - 0.0007*$B32 - dis_BMI*($C32-21.75)) - 0.15*0.5)*AK32</f>
        <v>2.6641160736996058E-5</v>
      </c>
      <c r="BP32">
        <f>(0.955*0.943*(0.9442 - 0.0007*$B32 - dis_BMI*($C32-21.75)))*AL32</f>
        <v>1.2196670752072329E-4</v>
      </c>
      <c r="BQ32">
        <f>(0.93*(0.9442 - 0.0007*$B32 - dis_BMI*($C32-21.75)))*AM32</f>
        <v>2.2875663611586416E-4</v>
      </c>
      <c r="BR32">
        <f>(0.93*(0.9442 - 0.0007*$B32 - dis_BMI*($C32-21.75)))*AN32</f>
        <v>2.823415487184784E-3</v>
      </c>
      <c r="BS32">
        <f>(0.93*0.943*(0.9442 - 0.0007*$B32 - dis_BMI*($C32-21.75)))*AO32</f>
        <v>1.1787313581023779E-5</v>
      </c>
      <c r="BT32">
        <f>(0.93*0.943*(0.9442 - 0.0007*$B32 - dis_BMI*($C32-21.75))-0.19*0.5)*AP32</f>
        <v>2.4423495276764675E-5</v>
      </c>
      <c r="BU32">
        <f>(0.93*0.943*(0.9442 - 0.0007*$B32 - dis_BMI*($C32-21.75)))*AQ32</f>
        <v>1.0236186469043191E-4</v>
      </c>
      <c r="BV32">
        <f>0.962*(0.9442 - 0.0007*$B32 - dis_BMI*($C32-21.75))*AR32</f>
        <v>0.25868852988720964</v>
      </c>
      <c r="BW32">
        <f>0.962*0.959*(0.9442 - 0.0007*$B32 - dis_BMI*($C32-21.75))*AS32</f>
        <v>8.9458257069245414E-2</v>
      </c>
      <c r="BX32">
        <f>0.962*(0.943*(0.9442 - 0.0007*$B32 - dis_BMI*($C32-21.75)) - 0.19*0.5)*AT32</f>
        <v>5.6559825555541881E-3</v>
      </c>
      <c r="BY32">
        <f>0.962*(0.943*(0.9442 - 0.0007*$B32 - dis_BMI*($C32-21.75)))*AU32</f>
        <v>2.5933587662732949E-2</v>
      </c>
      <c r="BZ32">
        <f>0.962*(0.955*(0.9442 - 0.0007*$B32 - dis_BMI*($C32-21.75)) - 0.15*0.5)*AV32</f>
        <v>3.186507763991593E-3</v>
      </c>
      <c r="CA32">
        <f>0.962*(0.955*(0.9442 - 0.0007*$B32 - dis_BMI*($C32-21.75)))*AW32</f>
        <v>1.9212561718741788E-2</v>
      </c>
      <c r="CB32">
        <f>0.962*(0.955*0.943*(0.9442 - 0.0007*$B32 - dis_BMI*($C32-21.75)) - 0.19*0.5)*AX32</f>
        <v>3.2436506966708364E-4</v>
      </c>
      <c r="CC32">
        <f>0.962*(0.955*0.943*(0.9442 - 0.0007*$B32 - dis_BMI*($C32-21.75)) - 0.15*0.5)*AY32</f>
        <v>2.6918785799109451E-4</v>
      </c>
      <c r="CD32">
        <f>0.962*(0.955*0.943*(0.9442 - 0.0007*$B32 - dis_BMI*($C32-21.75)))*AZ32</f>
        <v>1.1671023737682244E-3</v>
      </c>
      <c r="CE32">
        <f>0.962*(0.93*(0.9442 - 0.0007*$B32 - dis_BMI*($C32-21.75)))*BA32</f>
        <v>1.4316437969567836E-3</v>
      </c>
      <c r="CF32">
        <f>0.962*(0.93*(0.9442 - 0.0007*$B32 - dis_BMI*($C32-21.75)))*BB32</f>
        <v>1.630971546839129E-2</v>
      </c>
      <c r="CG32">
        <f>0.962*(0.93*0.943*(0.9442 - 0.0007*$B32 - dis_BMI*($C32-21.75)))*BC32</f>
        <v>1.1742634722302027E-4</v>
      </c>
      <c r="CH32">
        <f>0.962*(0.93*0.943*(0.9442 - 0.0007*$B32 - dis_BMI*($C32-21.75))-0.19*0.5)*BD32</f>
        <v>2.3518479764785273E-4</v>
      </c>
      <c r="CI32">
        <f>0.962*(0.93*0.943*(0.9442 - 0.0007*$B32 - dis_BMI*($C32-21.75)))*BE32</f>
        <v>9.250146532571317E-4</v>
      </c>
      <c r="CJ32">
        <f t="shared" si="17"/>
        <v>0</v>
      </c>
      <c r="CK32">
        <f t="shared" si="18"/>
        <v>0.5296234765168113</v>
      </c>
      <c r="CL32">
        <f>CK32/(1+r_)^A32</f>
        <v>0.2247437956493214</v>
      </c>
      <c r="CM32">
        <f t="shared" si="19"/>
        <v>0</v>
      </c>
      <c r="CN32">
        <f>AE32*c_Other</f>
        <v>289.75764940167915</v>
      </c>
      <c r="CO32">
        <f>AF32*(c_Stroke1+c_Stroke2)</f>
        <v>31.397699912954824</v>
      </c>
      <c r="CP32">
        <f>AG32*c_Stroke2</f>
        <v>36.37549726468243</v>
      </c>
      <c r="CQ32">
        <f>AH32*(c_MI1+c_MI2)</f>
        <v>20.166304548395512</v>
      </c>
      <c r="CR32">
        <f>AI32*c_MI2</f>
        <v>12.247232183470597</v>
      </c>
      <c r="CS32">
        <f>AJ32*(c_Stroke1+c_Stroke2+c_MI2)</f>
        <v>1.3007634049120851</v>
      </c>
      <c r="CT32">
        <f>AK32*(c_Stroke2+c_MI1+c_MI2)</f>
        <v>1.3959787410836402</v>
      </c>
      <c r="CU32">
        <f>AL32*(c_Stroke2+c_MI2)</f>
        <v>1.5528173478614087</v>
      </c>
      <c r="CV32">
        <f>AM32*(c_HF1)</f>
        <v>7.9266799082145942</v>
      </c>
      <c r="CW32">
        <f>AN32*(c_HF2)</f>
        <v>56.482009481336611</v>
      </c>
      <c r="CX32">
        <f>AO32*(c_Stroke2+c_HF1)</f>
        <v>0.53728939899883688</v>
      </c>
      <c r="CY32">
        <f>AP32*(c_Stroke1+c_Stroke2+c_HF2)</f>
        <v>1.5029701599869523</v>
      </c>
      <c r="CZ32">
        <f>AQ32*(c_Stroke2+c_HF2)</f>
        <v>3.0760159916318357</v>
      </c>
      <c r="DA32">
        <f>AR32*c_DM</f>
        <v>3662.7968479690867</v>
      </c>
      <c r="DB32">
        <f>AS32*(c_Other+c_DM)</f>
        <v>2971.5427878992432</v>
      </c>
      <c r="DC32">
        <f>AT32*(c_Stroke1+c_Stroke2+c_DM)</f>
        <v>297.71034253807704</v>
      </c>
      <c r="DD32">
        <f>AU32*(c_Stroke2+c_DM)</f>
        <v>610.92728700196631</v>
      </c>
      <c r="DE32">
        <f>AV32*(c_MI1+c_MI2+c_DM)</f>
        <v>185.12049362487687</v>
      </c>
      <c r="DF32">
        <f>AW32*(c_MI2+c_DM)</f>
        <v>362.5646804525299</v>
      </c>
      <c r="DG32">
        <f>AX32*(c_Stroke1+c_Stroke2+c_MI2+c_DM)</f>
        <v>19.585140933639096</v>
      </c>
      <c r="DH32">
        <f>AY32*(c_Stroke2+c_MI1+c_MI2+c_DM)</f>
        <v>19.361272363131427</v>
      </c>
      <c r="DI32">
        <f>AZ32*(c_Stroke2+c_MI2+c_DM)</f>
        <v>33.795615048187756</v>
      </c>
      <c r="DJ32">
        <f>BA32*(c_HF1+c_DM)</f>
        <v>73.364218104670755</v>
      </c>
      <c r="DK32">
        <f>BB32*(c_HF2+c_DM)</f>
        <v>587.4743805994492</v>
      </c>
      <c r="DL32">
        <f>BC32*(c_Stroke2+c_HF1+c_DM)</f>
        <v>7.4598202424123201</v>
      </c>
      <c r="DM32">
        <f>BD32*(c_Stroke1+c_Stroke2+c_HF2+c_DM)</f>
        <v>19.404652571775351</v>
      </c>
      <c r="DN32">
        <f>BE32*(c_Stroke2+c_HF2+c_DM)</f>
        <v>43.82954628261998</v>
      </c>
      <c r="DO32">
        <f t="shared" si="20"/>
        <v>0</v>
      </c>
      <c r="DP32">
        <f t="shared" si="21"/>
        <v>9358.6559933768767</v>
      </c>
      <c r="DQ32">
        <f>DP32/(1+r_)^A32</f>
        <v>3971.311626819524</v>
      </c>
    </row>
    <row r="33" spans="1:121" x14ac:dyDescent="0.3">
      <c r="A33">
        <v>30</v>
      </c>
      <c r="B33">
        <v>75</v>
      </c>
      <c r="C33">
        <f t="shared" si="40"/>
        <v>38</v>
      </c>
      <c r="D33">
        <f t="shared" si="1"/>
        <v>125</v>
      </c>
      <c r="E33">
        <f t="shared" si="41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2"/>
        <v>5.6857293942168513E-2</v>
      </c>
      <c r="J33">
        <f t="shared" si="23"/>
        <v>0.2887520933129164</v>
      </c>
      <c r="K33">
        <f t="shared" si="24"/>
        <v>0.37947871007760503</v>
      </c>
      <c r="L33">
        <f t="shared" si="25"/>
        <v>0.14896599642342512</v>
      </c>
      <c r="M33">
        <f t="shared" si="26"/>
        <v>0.20220510153133664</v>
      </c>
      <c r="N33">
        <f t="shared" si="27"/>
        <v>0.60272855806374948</v>
      </c>
      <c r="O33">
        <f t="shared" si="28"/>
        <v>0.72865934926410336</v>
      </c>
      <c r="P33">
        <f t="shared" si="29"/>
        <v>0.36496883048786288</v>
      </c>
      <c r="Q33">
        <f t="shared" si="30"/>
        <v>0.47355672807327887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2.3749555890500474E-2</v>
      </c>
      <c r="U33">
        <f t="shared" si="31"/>
        <v>0.52362158291193861</v>
      </c>
      <c r="V33">
        <f t="shared" si="32"/>
        <v>0.64602331529786439</v>
      </c>
      <c r="W33">
        <f t="shared" si="33"/>
        <v>0.29604826231907233</v>
      </c>
      <c r="X33">
        <f t="shared" si="34"/>
        <v>0.38837514772863735</v>
      </c>
      <c r="Y33">
        <f t="shared" si="35"/>
        <v>0.79213284573856835</v>
      </c>
      <c r="Z33">
        <f t="shared" si="36"/>
        <v>0.89134768284986476</v>
      </c>
      <c r="AA33">
        <f t="shared" si="37"/>
        <v>0.53823008286578655</v>
      </c>
      <c r="AB33">
        <f t="shared" si="38"/>
        <v>0.66438826189152911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4.0697362398792597E-2</v>
      </c>
      <c r="AD33">
        <f t="shared" si="39"/>
        <v>8.3634266441320909E-2</v>
      </c>
      <c r="AE33">
        <f t="shared" si="5"/>
        <v>1.9191400387695012E-2</v>
      </c>
      <c r="AF33">
        <f t="shared" si="6"/>
        <v>1.2405571984671097E-3</v>
      </c>
      <c r="AG33">
        <f t="shared" si="7"/>
        <v>5.2231250457761367E-3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5.6345963641415454E-4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3.5007061286695391E-3</v>
      </c>
      <c r="AJ33">
        <f t="shared" si="10"/>
        <v>4.7148742833169714E-5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3.2877526998116333E-5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1.4296108163637544E-4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5.8026414054105182E-4</v>
      </c>
      <c r="AN33">
        <f t="shared" si="14"/>
        <v>3.5119021376913365E-3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3.2295361915691408E-5</v>
      </c>
      <c r="AP33">
        <f>AM32*T32*p_Stroke*p_Stroke_rec*(1-I32) + AN32*T32*p_Stroke*p_Stroke_rec*(1-I32) + AO32*(p_recur_Stroke*p_Stroke_rec)*(1-I32) + AP32*(p_recur_Stroke*p_Stroke_rec)*(1-I32) + AQ32*(p_recur_Stroke*p_Stroke_rec)*(1-I32)</f>
        <v>3.8104188935707499E-5</v>
      </c>
      <c r="AQ33">
        <f>AO32*(1-p_recur_Stroke-H32*rr_Stroke*rr_HF)*(1-I32) + AP32*(1-p_recur_Stroke-H32*rr_Stroke*rr_HF)*(1-I32) + AQ32*(1-p_recur_Stroke-H32*rr_Stroke*rr_HF)*(1-I32)</f>
        <v>1.3587638915945217E-4</v>
      </c>
      <c r="AR33">
        <f>AR32*(1-AC32-H32*rr_DM) + AD32*(1-T32-H32)*I32</f>
        <v>0.30421060668281324</v>
      </c>
      <c r="AS33">
        <f>AR32*AC32*p_Other + AD32*T32*p_Other*I32 + AE32*(1-T32*p_Stroke-T32*p_MI-H32*rr_Other)*I32 + AS32*(1-AC32*p_Stroke-AC32*p_MI-H32*rr_Other*rr_DM)</f>
        <v>0.11571681812502783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8.4286650355485035E-3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3.375041006820418E-2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3.9390045543586149E-3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2.3624262052610333E-2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5.2930891280924348E-4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3.6592573834713898E-4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1.5036809993873002E-3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3.9996835128051789E-3</v>
      </c>
      <c r="BB33">
        <f>AM32*(1-T32*p_Stroke - H32*rr_HF)*I32 + AN32*(1-T32*p_Stroke - H32*rr_HF)*I32 + BA32*(1-AC32*p_Stroke - H32*rr_HF*rr_DM) + BB32*(1-AC32*p_Stroke - H32*rr_HF*rr_DM)</f>
        <v>2.2467971016812201E-2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3.5378085251437907E-4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4.0535298349502597E-4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1.3530327817638246E-3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0.33647655227544887</v>
      </c>
      <c r="BG33">
        <f t="shared" si="16"/>
        <v>0.97499999999999964</v>
      </c>
      <c r="BH33">
        <f>(0.9442 - 0.0007*$B33 - dis_BMI*($C33-21.75))*AD33</f>
        <v>7.0091787847810019E-2</v>
      </c>
      <c r="BI33">
        <f>0.959*(0.9442 - 0.0007*$B33 - dis_BMI*($C33-21.75))*AE33</f>
        <v>1.5424395731840878E-2</v>
      </c>
      <c r="BJ33">
        <f>(0.943*(0.9442 - 0.0007*$B33 - dis_BMI*($C33-21.75)) - 0.19*0.5)*AF33</f>
        <v>8.6256528172694411E-4</v>
      </c>
      <c r="BK33">
        <f>(0.943*(0.9442 - 0.0007*$B33 - dis_BMI*($C33-21.75)))*AG33</f>
        <v>4.1278604029427214E-3</v>
      </c>
      <c r="BL33">
        <f>(0.955*(0.9442 - 0.0007*$B33 - dis_BMI*($C33-21.75)) - 0.15*0.5)*AH33</f>
        <v>4.087119974912803E-4</v>
      </c>
      <c r="BM33">
        <f>(0.955*(0.9442 - 0.0007*$B33 - dis_BMI*($C33-21.75)))*AI33</f>
        <v>2.8018308457894111E-3</v>
      </c>
      <c r="BN33">
        <f>(0.955*0.943*(0.9442 - 0.0007*$B33 - dis_BMI*($C33-21.75)) - 0.19*0.5)*AJ33</f>
        <v>3.1105959328963918E-5</v>
      </c>
      <c r="BO33">
        <f>(0.955*0.943*(0.9442 - 0.0007*$B33 - dis_BMI*($C33-21.75)) - 0.15*0.5)*AK33</f>
        <v>2.2348203486085993E-5</v>
      </c>
      <c r="BP33">
        <f>(0.955*0.943*(0.9442 - 0.0007*$B33 - dis_BMI*($C33-21.75)))*AL33</f>
        <v>1.0789859148446303E-4</v>
      </c>
      <c r="BQ33">
        <f>(0.93*(0.9442 - 0.0007*$B33 - dis_BMI*($C33-21.75)))*AM33</f>
        <v>4.5226352871306606E-4</v>
      </c>
      <c r="BR33">
        <f>(0.93*(0.9442 - 0.0007*$B33 - dis_BMI*($C33-21.75)))*AN33</f>
        <v>2.7372107671624702E-3</v>
      </c>
      <c r="BS33">
        <f>(0.93*0.943*(0.9442 - 0.0007*$B33 - dis_BMI*($C33-21.75)))*AO33</f>
        <v>2.3736554719327053E-5</v>
      </c>
      <c r="BT33">
        <f>(0.93*0.943*(0.9442 - 0.0007*$B33 - dis_BMI*($C33-21.75))-0.19*0.5)*AP33</f>
        <v>2.4386048170217381E-5</v>
      </c>
      <c r="BU33">
        <f>(0.93*0.943*(0.9442 - 0.0007*$B33 - dis_BMI*($C33-21.75)))*AQ33</f>
        <v>9.9866889702848066E-5</v>
      </c>
      <c r="BV33">
        <f>0.962*(0.9442 - 0.0007*$B33 - dis_BMI*($C33-21.75))*AR33</f>
        <v>0.24526315463626217</v>
      </c>
      <c r="BW33">
        <f>0.962*0.959*(0.9442 - 0.0007*$B33 - dis_BMI*($C33-21.75))*AS33</f>
        <v>8.9469095796593706E-2</v>
      </c>
      <c r="BX33">
        <f>0.962*(0.943*(0.9442 - 0.0007*$B33 - dis_BMI*($C33-21.75)) - 0.19*0.5)*AT33</f>
        <v>5.6377919809221183E-3</v>
      </c>
      <c r="BY33">
        <f>0.962*(0.943*(0.9442 - 0.0007*$B33 - dis_BMI*($C33-21.75)))*AU33</f>
        <v>2.5659530422780939E-2</v>
      </c>
      <c r="BZ33">
        <f>0.962*(0.955*(0.9442 - 0.0007*$B33 - dis_BMI*($C33-21.75)) - 0.15*0.5)*AV33</f>
        <v>2.7486290401435511E-3</v>
      </c>
      <c r="CA33">
        <f>0.962*(0.955*(0.9442 - 0.0007*$B33 - dis_BMI*($C33-21.75)))*AW33</f>
        <v>1.8189450560750626E-2</v>
      </c>
      <c r="CB33">
        <f>0.962*(0.955*0.943*(0.9442 - 0.0007*$B33 - dis_BMI*($C33-21.75)) - 0.19*0.5)*AX33</f>
        <v>3.359369396720374E-4</v>
      </c>
      <c r="CC33">
        <f>0.962*(0.955*0.943*(0.9442 - 0.0007*$B33 - dis_BMI*($C33-21.75)) - 0.15*0.5)*AY33</f>
        <v>2.3928281202830379E-4</v>
      </c>
      <c r="CD33">
        <f>0.962*(0.955*0.943*(0.9442 - 0.0007*$B33 - dis_BMI*($C33-21.75)))*AZ33</f>
        <v>1.091763910415491E-3</v>
      </c>
      <c r="CE33">
        <f>0.962*(0.93*(0.9442 - 0.0007*$B33 - dis_BMI*($C33-21.75)))*BA33</f>
        <v>2.998931418376411E-3</v>
      </c>
      <c r="CF33">
        <f>0.962*(0.93*(0.9442 - 0.0007*$B33 - dis_BMI*($C33-21.75)))*BB33</f>
        <v>1.6846308957638452E-2</v>
      </c>
      <c r="CG33">
        <f>0.962*(0.93*0.943*(0.9442 - 0.0007*$B33 - dis_BMI*($C33-21.75)))*BC33</f>
        <v>2.5014217583321324E-4</v>
      </c>
      <c r="CH33">
        <f>0.962*(0.93*0.943*(0.9442 - 0.0007*$B33 - dis_BMI*($C33-21.75))-0.19*0.5)*BD33</f>
        <v>2.4956124947314356E-4</v>
      </c>
      <c r="CI33">
        <f>0.962*(0.93*0.943*(0.9442 - 0.0007*$B33 - dis_BMI*($C33-21.75)))*BE33</f>
        <v>9.5666727466634806E-4</v>
      </c>
      <c r="CJ33">
        <f t="shared" si="17"/>
        <v>0</v>
      </c>
      <c r="CK33">
        <f t="shared" si="18"/>
        <v>0.50715221582592529</v>
      </c>
      <c r="CL33">
        <f>CK33/(1+r_)^A33</f>
        <v>0.2089399979794348</v>
      </c>
      <c r="CM33">
        <f t="shared" si="19"/>
        <v>0</v>
      </c>
      <c r="CN33">
        <f>AE33*c_Other</f>
        <v>274.03400613589707</v>
      </c>
      <c r="CO33">
        <f>AF33*(c_Stroke1+c_Stroke2)</f>
        <v>29.545110238692686</v>
      </c>
      <c r="CP33">
        <f>AG33*c_Stroke2</f>
        <v>33.950312797544889</v>
      </c>
      <c r="CQ33">
        <f>AH33*(c_MI1+c_MI2)</f>
        <v>16.425411861109019</v>
      </c>
      <c r="CR33">
        <f>AI33*c_MI2</f>
        <v>10.911701003062953</v>
      </c>
      <c r="CS33">
        <f>AJ33*(c_Stroke1+c_Stroke2+c_MI2)</f>
        <v>1.26985709072576</v>
      </c>
      <c r="CT33">
        <f>AK33*(c_Stroke2+c_MI1+c_MI2)</f>
        <v>1.1721167150098455</v>
      </c>
      <c r="CU33">
        <f>AL33*(c_Stroke2+c_MI2)</f>
        <v>1.3748567220970225</v>
      </c>
      <c r="CV33">
        <f>AM33*(c_HF1)</f>
        <v>15.684539718824631</v>
      </c>
      <c r="CW33">
        <f>AN33*(c_HF2)</f>
        <v>54.803232858673304</v>
      </c>
      <c r="CX33">
        <f>AO33*(c_Stroke2+c_HF1)</f>
        <v>1.0828634850331329</v>
      </c>
      <c r="CY33">
        <f>AP33*(c_Stroke1+c_Stroke2+c_HF2)</f>
        <v>1.5021052320345254</v>
      </c>
      <c r="CZ33">
        <f>AQ33*(c_Stroke2+c_HF2)</f>
        <v>3.00354758236969</v>
      </c>
      <c r="DA33">
        <f>AR33*c_DM</f>
        <v>3475.6061813511415</v>
      </c>
      <c r="DB33">
        <f>AS33*(c_Other+c_DM)</f>
        <v>2974.3850930857157</v>
      </c>
      <c r="DC33">
        <f>AT33*(c_Stroke1+c_Stroke2+c_DM)</f>
        <v>297.03458451776481</v>
      </c>
      <c r="DD33">
        <f>AU33*(c_Stroke2+c_DM)</f>
        <v>604.97610047255989</v>
      </c>
      <c r="DE33">
        <f>AV33*(c_MI1+c_MI2+c_DM)</f>
        <v>159.82904879765516</v>
      </c>
      <c r="DF33">
        <f>AW33*(c_MI2+c_DM)</f>
        <v>343.54401876905945</v>
      </c>
      <c r="DG33">
        <f>AX33*(c_Stroke1+c_Stroke2+c_MI2+c_DM)</f>
        <v>20.303231277536963</v>
      </c>
      <c r="DH33">
        <f>AY33*(c_Stroke2+c_MI1+c_MI2+c_DM)</f>
        <v>17.226320058429916</v>
      </c>
      <c r="DI33">
        <f>AZ33*(c_Stroke2+c_MI2+c_DM)</f>
        <v>31.640455589107571</v>
      </c>
      <c r="DJ33">
        <f>BA33*(c_HF1+c_DM)</f>
        <v>153.80782948492316</v>
      </c>
      <c r="DK33">
        <f>BB33*(c_HF2+c_DM)</f>
        <v>607.3092565844338</v>
      </c>
      <c r="DL33">
        <f>BC33*(c_Stroke2+c_HF1+c_DM)</f>
        <v>15.904218224783911</v>
      </c>
      <c r="DM33">
        <f>BD33*(c_Stroke1+c_Stroke2+c_HF2+c_DM)</f>
        <v>20.610577798788089</v>
      </c>
      <c r="DN33">
        <f>BE33*(c_Stroke2+c_HF2+c_DM)</f>
        <v>45.367189172541039</v>
      </c>
      <c r="DO33">
        <f t="shared" si="20"/>
        <v>0</v>
      </c>
      <c r="DP33">
        <f t="shared" si="21"/>
        <v>9212.3037666255168</v>
      </c>
      <c r="DQ33">
        <f>DP33/(1+r_)^A33</f>
        <v>3795.3471764882302</v>
      </c>
    </row>
    <row r="34" spans="1:121" x14ac:dyDescent="0.3">
      <c r="A34">
        <v>31</v>
      </c>
      <c r="B34">
        <v>76</v>
      </c>
      <c r="C34">
        <f t="shared" si="40"/>
        <v>38</v>
      </c>
      <c r="D34">
        <f t="shared" si="1"/>
        <v>125</v>
      </c>
      <c r="E34">
        <f t="shared" si="41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2"/>
        <v>5.6857293942168513E-2</v>
      </c>
      <c r="J34">
        <f t="shared" si="23"/>
        <v>0.29759048326414084</v>
      </c>
      <c r="K34">
        <f t="shared" si="24"/>
        <v>0.3902509135925889</v>
      </c>
      <c r="L34">
        <f t="shared" si="25"/>
        <v>0.15398888972455549</v>
      </c>
      <c r="M34">
        <f t="shared" si="26"/>
        <v>0.2087917509135393</v>
      </c>
      <c r="N34">
        <f t="shared" si="27"/>
        <v>0.61786991669605928</v>
      </c>
      <c r="O34">
        <f t="shared" si="28"/>
        <v>0.74315619516377829</v>
      </c>
      <c r="P34">
        <f t="shared" si="29"/>
        <v>0.37699167846352788</v>
      </c>
      <c r="Q34">
        <f t="shared" si="30"/>
        <v>0.48758470643600882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2.4484419605649645E-2</v>
      </c>
      <c r="U34">
        <f t="shared" si="31"/>
        <v>0.53641071833115861</v>
      </c>
      <c r="V34">
        <f t="shared" si="32"/>
        <v>0.65926034216361562</v>
      </c>
      <c r="W34">
        <f t="shared" si="33"/>
        <v>0.30505900646312556</v>
      </c>
      <c r="X34">
        <f t="shared" si="34"/>
        <v>0.39931133305073585</v>
      </c>
      <c r="Y34">
        <f t="shared" si="35"/>
        <v>0.80543327087919958</v>
      </c>
      <c r="Z34">
        <f t="shared" si="36"/>
        <v>0.90103952380709251</v>
      </c>
      <c r="AA34">
        <f t="shared" si="37"/>
        <v>0.55300786128738944</v>
      </c>
      <c r="AB34">
        <f t="shared" si="38"/>
        <v>0.67946341044192926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4.1756571174796198E-2</v>
      </c>
      <c r="AD34">
        <f t="shared" si="39"/>
        <v>7.487628721294784E-2</v>
      </c>
      <c r="AE34">
        <f t="shared" si="5"/>
        <v>1.800872081267299E-2</v>
      </c>
      <c r="AF34">
        <f t="shared" si="6"/>
        <v>1.1603779402459752E-3</v>
      </c>
      <c r="AG34">
        <f t="shared" si="7"/>
        <v>4.8176704687589063E-3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5.15561888882184E-4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3.0579762159471573E-3</v>
      </c>
      <c r="AJ34">
        <f t="shared" si="10"/>
        <v>4.2480926936757466E-5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3.0928145881318675E-5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1.245857231298722E-4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5.1856514082908268E-4</v>
      </c>
      <c r="AN34">
        <f t="shared" si="14"/>
        <v>3.6487870958742353E-3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2.9537507686196155E-5</v>
      </c>
      <c r="AP34">
        <f>AM33*T33*p_Stroke*p_Stroke_rec*(1-I33) + AN33*T33*p_Stroke*p_Stroke_rec*(1-I33) + AO33*(p_recur_Stroke*p_Stroke_rec)*(1-I33) + AP33*(p_recur_Stroke*p_Stroke_rec)*(1-I33) + AQ33*(p_recur_Stroke*p_Stroke_rec)*(1-I33)</f>
        <v>4.0873598731096318E-5</v>
      </c>
      <c r="AQ34">
        <f>AO33*(1-p_recur_Stroke-H33*rr_Stroke*rr_HF)*(1-I33) + AP33*(1-p_recur_Stroke-H33*rr_Stroke*rr_HF)*(1-I33) + AQ33*(1-p_recur_Stroke-H33*rr_Stroke*rr_HF)*(1-I33)</f>
        <v>1.4128333991365562E-4</v>
      </c>
      <c r="AR34">
        <f>AR33*(1-AC33-H33*rr_DM) + AD33*(1-T33-H33)*I33</f>
        <v>0.28689960929468961</v>
      </c>
      <c r="AS34">
        <f>AR33*AC33*p_Other + AD33*T33*p_Other*I33 + AE33*(1-T33*p_Stroke-T33*p_MI-H33*rr_Other)*I33 + AS33*(1-AC33*p_Stroke-AC33*p_MI-H33*rr_Other*rr_DM)</f>
        <v>0.11466686725597605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8.3427542020739921E-3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3.2931742676741184E-2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3.8141310168196474E-3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2.1890088127055316E-2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5.0476402371320826E-4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3.639896127422956E-4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1.380573384053391E-3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3.7913191709107279E-3</v>
      </c>
      <c r="BB34">
        <f>AM33*(1-T33*p_Stroke - H33*rr_HF)*I33 + AN33*(1-T33*p_Stroke - H33*rr_HF)*I33 + BA33*(1-AC33*p_Stroke - H33*rr_HF*rr_DM) + BB33*(1-AC33*p_Stroke - H33*rr_HF*rr_DM)</f>
        <v>2.4944381716319738E-2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3.4254289092736263E-4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4.6357510161918445E-4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1.4936804007437132E-3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0.36615634510717693</v>
      </c>
      <c r="BG34">
        <f t="shared" si="16"/>
        <v>0.97499999999999964</v>
      </c>
      <c r="BH34">
        <f>(0.9442 - 0.0007*$B34 - dis_BMI*($C34-21.75))*AD34</f>
        <v>6.2699531004942202E-2</v>
      </c>
      <c r="BI34">
        <f>0.959*(0.9442 - 0.0007*$B34 - dis_BMI*($C34-21.75))*AE34</f>
        <v>1.4461770434301049E-2</v>
      </c>
      <c r="BJ34">
        <f>(0.943*(0.9442 - 0.0007*$B34 - dis_BMI*($C34-21.75)) - 0.19*0.5)*AF34</f>
        <v>8.0605029916043785E-4</v>
      </c>
      <c r="BK34">
        <f>(0.943*(0.9442 - 0.0007*$B34 - dis_BMI*($C34-21.75)))*AG34</f>
        <v>3.8042475906767009E-3</v>
      </c>
      <c r="BL34">
        <f>(0.955*(0.9442 - 0.0007*$B34 - dis_BMI*($C34-21.75)) - 0.15*0.5)*AH34</f>
        <v>3.7362415638493265E-4</v>
      </c>
      <c r="BM34">
        <f>(0.955*(0.9442 - 0.0007*$B34 - dis_BMI*($C34-21.75)))*AI34</f>
        <v>2.4454425563064566E-3</v>
      </c>
      <c r="BN34">
        <f>(0.955*0.943*(0.9442 - 0.0007*$B34 - dis_BMI*($C34-21.75)) - 0.19*0.5)*AJ34</f>
        <v>2.7999629958708015E-5</v>
      </c>
      <c r="BO34">
        <f>(0.955*0.943*(0.9442 - 0.0007*$B34 - dis_BMI*($C34-21.75)) - 0.15*0.5)*AK34</f>
        <v>2.1003632228262315E-5</v>
      </c>
      <c r="BP34">
        <f>(0.955*0.943*(0.9442 - 0.0007*$B34 - dis_BMI*($C34-21.75)))*AL34</f>
        <v>9.3951416523285869E-5</v>
      </c>
      <c r="BQ34">
        <f>(0.93*(0.9442 - 0.0007*$B34 - dis_BMI*($C34-21.75)))*AM34</f>
        <v>4.038371408656304E-4</v>
      </c>
      <c r="BR34">
        <f>(0.93*(0.9442 - 0.0007*$B34 - dis_BMI*($C34-21.75)))*AN34</f>
        <v>2.84152487779915E-3</v>
      </c>
      <c r="BS34">
        <f>(0.93*0.943*(0.9442 - 0.0007*$B34 - dis_BMI*($C34-21.75)))*AO34</f>
        <v>2.1691444787679913E-5</v>
      </c>
      <c r="BT34">
        <f>(0.93*0.943*(0.9442 - 0.0007*$B34 - dis_BMI*($C34-21.75))-0.19*0.5)*AP34</f>
        <v>2.6133332434993686E-5</v>
      </c>
      <c r="BU34">
        <f>(0.93*0.943*(0.9442 - 0.0007*$B34 - dis_BMI*($C34-21.75)))*AQ34</f>
        <v>1.037541758673255E-4</v>
      </c>
      <c r="BV34">
        <f>0.962*(0.9442 - 0.0007*$B34 - dis_BMI*($C34-21.75))*AR34</f>
        <v>0.23111334304048137</v>
      </c>
      <c r="BW34">
        <f>0.962*0.959*(0.9442 - 0.0007*$B34 - dis_BMI*($C34-21.75))*AS34</f>
        <v>8.8583251562658449E-2</v>
      </c>
      <c r="BX34">
        <f>0.962*(0.943*(0.9442 - 0.0007*$B34 - dis_BMI*($C34-21.75)) - 0.19*0.5)*AT34</f>
        <v>5.5750298883285214E-3</v>
      </c>
      <c r="BY34">
        <f>0.962*(0.943*(0.9442 - 0.0007*$B34 - dis_BMI*($C34-21.75)))*AU34</f>
        <v>2.5016207399902058E-2</v>
      </c>
      <c r="BZ34">
        <f>0.962*(0.955*(0.9442 - 0.0007*$B34 - dis_BMI*($C34-21.75)) - 0.15*0.5)*AV34</f>
        <v>2.6590396937603961E-3</v>
      </c>
      <c r="CA34">
        <f>0.962*(0.955*(0.9442 - 0.0007*$B34 - dis_BMI*($C34-21.75)))*AW34</f>
        <v>1.6840149567577949E-2</v>
      </c>
      <c r="CB34">
        <f>0.962*(0.955*0.943*(0.9442 - 0.0007*$B34 - dis_BMI*($C34-21.75)) - 0.19*0.5)*AX34</f>
        <v>3.2005290461817483E-4</v>
      </c>
      <c r="CC34">
        <f>0.962*(0.955*0.943*(0.9442 - 0.0007*$B34 - dis_BMI*($C34-21.75)) - 0.15*0.5)*AY34</f>
        <v>2.377960204485832E-4</v>
      </c>
      <c r="CD34">
        <f>0.962*(0.955*0.943*(0.9442 - 0.0007*$B34 - dis_BMI*($C34-21.75)))*AZ34</f>
        <v>1.0015430545307E-3</v>
      </c>
      <c r="CE34">
        <f>0.962*(0.93*(0.9442 - 0.0007*$B34 - dis_BMI*($C34-21.75)))*BA34</f>
        <v>2.8403271052106749E-3</v>
      </c>
      <c r="CF34">
        <f>0.962*(0.93*(0.9442 - 0.0007*$B34 - dis_BMI*($C34-21.75)))*BB34</f>
        <v>1.8687480614976902E-2</v>
      </c>
      <c r="CG34">
        <f>0.962*(0.93*0.943*(0.9442 - 0.0007*$B34 - dis_BMI*($C34-21.75)))*BC34</f>
        <v>2.4199403599231215E-4</v>
      </c>
      <c r="CH34">
        <f>0.962*(0.93*0.943*(0.9442 - 0.0007*$B34 - dis_BMI*($C34-21.75))-0.19*0.5)*BD34</f>
        <v>2.8513274181663731E-4</v>
      </c>
      <c r="CI34">
        <f>0.962*(0.93*0.943*(0.9442 - 0.0007*$B34 - dis_BMI*($C34-21.75)))*BE34</f>
        <v>1.0552306243460604E-3</v>
      </c>
      <c r="CJ34">
        <f t="shared" si="17"/>
        <v>0</v>
      </c>
      <c r="CK34">
        <f t="shared" si="18"/>
        <v>0.48258713994688557</v>
      </c>
      <c r="CL34">
        <f>CK34/(1+r_)^A34</f>
        <v>0.19302865239880274</v>
      </c>
      <c r="CM34">
        <f t="shared" si="19"/>
        <v>0</v>
      </c>
      <c r="CN34">
        <f>AE34*c_Other</f>
        <v>257.14652448415762</v>
      </c>
      <c r="CO34">
        <f>AF34*(c_Stroke1+c_Stroke2)</f>
        <v>27.635561024898145</v>
      </c>
      <c r="CP34">
        <f>AG34*c_Stroke2</f>
        <v>31.314858046932891</v>
      </c>
      <c r="CQ34">
        <f>AH34*(c_MI1+c_MI2)</f>
        <v>15.029144622804546</v>
      </c>
      <c r="CR34">
        <f>AI34*c_MI2</f>
        <v>9.5317118651072885</v>
      </c>
      <c r="CS34">
        <f>AJ34*(c_Stroke1+c_Stroke2+c_MI2)</f>
        <v>1.1441388051876888</v>
      </c>
      <c r="CT34">
        <f>AK34*(c_Stroke2+c_MI1+c_MI2)</f>
        <v>1.102619328814892</v>
      </c>
      <c r="CU34">
        <f>AL34*(c_Stroke2+c_MI2)</f>
        <v>1.1981408993399809</v>
      </c>
      <c r="CV34">
        <f>AM34*(c_HF1)</f>
        <v>14.016815756610105</v>
      </c>
      <c r="CW34">
        <f>AN34*(c_HF2)</f>
        <v>56.939322631117442</v>
      </c>
      <c r="CX34">
        <f>AO34*(c_Stroke2+c_HF1)</f>
        <v>0.99039263271815703</v>
      </c>
      <c r="CY34">
        <f>AP34*(c_Stroke1+c_Stroke2+c_HF2)</f>
        <v>1.6112781355785479</v>
      </c>
      <c r="CZ34">
        <f>AQ34*(c_Stroke2+c_HF2)</f>
        <v>3.1230682287913574</v>
      </c>
      <c r="DA34">
        <f>AR34*c_DM</f>
        <v>3277.8280361918287</v>
      </c>
      <c r="DB34">
        <f>AS34*(c_Other+c_DM)</f>
        <v>2947.3971559476086</v>
      </c>
      <c r="DC34">
        <f>AT34*(c_Stroke1+c_Stroke2+c_DM)</f>
        <v>294.00700083528955</v>
      </c>
      <c r="DD34">
        <f>AU34*(c_Stroke2+c_DM)</f>
        <v>590.30148748058571</v>
      </c>
      <c r="DE34">
        <f>AV34*(c_MI1+c_MI2+c_DM)</f>
        <v>154.76218013847401</v>
      </c>
      <c r="DF34">
        <f>AW34*(c_MI2+c_DM)</f>
        <v>318.32566154363843</v>
      </c>
      <c r="DG34">
        <f>AX34*(c_Stroke1+c_Stroke2+c_MI2+c_DM)</f>
        <v>19.361738421591241</v>
      </c>
      <c r="DH34">
        <f>AY34*(c_Stroke2+c_MI1+c_MI2+c_DM)</f>
        <v>17.135175009456308</v>
      </c>
      <c r="DI34">
        <f>AZ34*(c_Stroke2+c_MI2+c_DM)</f>
        <v>29.050025147251453</v>
      </c>
      <c r="DJ34">
        <f>BA34*(c_HF1+c_DM)</f>
        <v>145.79517871737204</v>
      </c>
      <c r="DK34">
        <f>BB34*(c_HF2+c_DM)</f>
        <v>674.24663779212256</v>
      </c>
      <c r="DL34">
        <f>BC34*(c_Stroke2+c_HF1+c_DM)</f>
        <v>15.399015661639588</v>
      </c>
      <c r="DM34">
        <f>BD34*(c_Stroke1+c_Stroke2+c_HF2+c_DM)</f>
        <v>23.570939616929053</v>
      </c>
      <c r="DN34">
        <f>BE34*(c_Stroke2+c_HF2+c_DM)</f>
        <v>50.083103836936701</v>
      </c>
      <c r="DO34">
        <f t="shared" si="20"/>
        <v>0</v>
      </c>
      <c r="DP34">
        <f t="shared" si="21"/>
        <v>8978.0469128027835</v>
      </c>
      <c r="DQ34">
        <f>DP34/(1+r_)^A34</f>
        <v>3591.1033537741846</v>
      </c>
    </row>
    <row r="35" spans="1:121" x14ac:dyDescent="0.3">
      <c r="A35">
        <v>32</v>
      </c>
      <c r="B35">
        <v>77</v>
      </c>
      <c r="C35">
        <f t="shared" si="40"/>
        <v>38</v>
      </c>
      <c r="D35">
        <f t="shared" si="1"/>
        <v>125</v>
      </c>
      <c r="E35">
        <f t="shared" si="41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2"/>
        <v>5.6857293942168513E-2</v>
      </c>
      <c r="J35">
        <f t="shared" si="23"/>
        <v>0.30651768621003939</v>
      </c>
      <c r="K35">
        <f t="shared" si="24"/>
        <v>0.40107639213352453</v>
      </c>
      <c r="L35">
        <f t="shared" si="25"/>
        <v>0.15909615737533123</v>
      </c>
      <c r="M35">
        <f t="shared" si="26"/>
        <v>0.21547300281989656</v>
      </c>
      <c r="N35">
        <f t="shared" si="27"/>
        <v>0.63283664617823354</v>
      </c>
      <c r="O35">
        <f t="shared" si="28"/>
        <v>0.75725457626326675</v>
      </c>
      <c r="P35">
        <f t="shared" si="29"/>
        <v>0.3891161838859023</v>
      </c>
      <c r="Q35">
        <f t="shared" si="30"/>
        <v>0.50161851385094891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2.5225827388734669E-2</v>
      </c>
      <c r="U35">
        <f t="shared" si="31"/>
        <v>0.54913762009165645</v>
      </c>
      <c r="V35">
        <f t="shared" si="32"/>
        <v>0.67228856155628725</v>
      </c>
      <c r="W35">
        <f t="shared" si="33"/>
        <v>0.31415681290865149</v>
      </c>
      <c r="X35">
        <f t="shared" si="34"/>
        <v>0.41029571529758535</v>
      </c>
      <c r="Y35">
        <f t="shared" si="35"/>
        <v>0.8182218547324549</v>
      </c>
      <c r="Z35">
        <f t="shared" si="36"/>
        <v>0.91010395618238449</v>
      </c>
      <c r="AA35">
        <f t="shared" si="37"/>
        <v>0.56770930150000942</v>
      </c>
      <c r="AB35">
        <f t="shared" si="38"/>
        <v>0.69425781222596084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4.2814207251850027E-2</v>
      </c>
      <c r="AD35">
        <f t="shared" si="39"/>
        <v>6.6890027558669379E-2</v>
      </c>
      <c r="AE35">
        <f t="shared" si="5"/>
        <v>1.6834723835230936E-2</v>
      </c>
      <c r="AF35">
        <f t="shared" si="6"/>
        <v>1.0763189630578352E-3</v>
      </c>
      <c r="AG35">
        <f t="shared" si="7"/>
        <v>4.4314292243775918E-3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4.7050126609343636E-4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2.6811959774738024E-3</v>
      </c>
      <c r="AJ35">
        <f t="shared" si="10"/>
        <v>3.8077293389967643E-5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2.8823325846424379E-5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1.0939937895555236E-4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4.6302473781140846E-4</v>
      </c>
      <c r="AN35">
        <f t="shared" si="14"/>
        <v>3.7056914475048293E-3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2.6786612545277133E-5</v>
      </c>
      <c r="AP35">
        <f>AM34*T34*p_Stroke*p_Stroke_rec*(1-I34) + AN34*T34*p_Stroke*p_Stroke_rec*(1-I34) + AO34*(p_recur_Stroke*p_Stroke_rec)*(1-I34) + AP34*(p_recur_Stroke*p_Stroke_rec)*(1-I34) + AQ34*(p_recur_Stroke*p_Stroke_rec)*(1-I34)</f>
        <v>4.2405313899203171E-5</v>
      </c>
      <c r="AQ35">
        <f>AO34*(1-p_recur_Stroke-H34*rr_Stroke*rr_HF)*(1-I34) + AP34*(1-p_recur_Stroke-H34*rr_Stroke*rr_HF)*(1-I34) + AQ34*(1-p_recur_Stroke-H34*rr_Stroke*rr_HF)*(1-I34)</f>
        <v>1.4348872411900992E-4</v>
      </c>
      <c r="AR35">
        <f>AR34*(1-AC34-H34*rr_DM) + AD34*(1-T34-H34)*I34</f>
        <v>0.26960837962941803</v>
      </c>
      <c r="AS35">
        <f>AR34*AC34*p_Other + AD34*T34*p_Other*I34 + AE34*(1-T34*p_Stroke-T34*p_MI-H34*rr_Other)*I34 + AS34*(1-AC34*p_Stroke-AC34*p_MI-H34*rr_Other*rr_DM)</f>
        <v>0.11302057975981064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8.1697073571166366E-3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3.2002106681434772E-2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3.6754247542334379E-3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2.0335297763838803E-2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4.7773571399497324E-4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3.5762598001974226E-4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1.2771009883929471E-3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3.5833494823419945E-3</v>
      </c>
      <c r="BB35">
        <f>AM34*(1-T34*p_Stroke - H34*rr_HF)*I34 + AN34*(1-T34*p_Stroke - H34*rr_HF)*I34 + BA34*(1-AC34*p_Stroke - H34*rr_HF*rr_DM) + BB34*(1-AC34*p_Stroke - H34*rr_HF*rr_DM)</f>
        <v>2.697984720844486E-2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3.2784639346472534E-4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5.1035390229352826E-4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1.605798399299562E-3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0.3961269523269203</v>
      </c>
      <c r="BG35">
        <f t="shared" si="16"/>
        <v>0.97499999999999953</v>
      </c>
      <c r="BH35">
        <f>(0.9442 - 0.0007*$B35 - dis_BMI*($C35-21.75))*AD35</f>
        <v>5.5965213807649704E-2</v>
      </c>
      <c r="BI35">
        <f>0.959*(0.9442 - 0.0007*$B35 - dis_BMI*($C35-21.75))*AE35</f>
        <v>1.3507699669683329E-2</v>
      </c>
      <c r="BJ35">
        <f>(0.943*(0.9442 - 0.0007*$B35 - dis_BMI*($C35-21.75)) - 0.19*0.5)*AF35</f>
        <v>7.4694870432618439E-4</v>
      </c>
      <c r="BK35">
        <f>(0.943*(0.9442 - 0.0007*$B35 - dis_BMI*($C35-21.75)))*AG35</f>
        <v>3.4963290816666728E-3</v>
      </c>
      <c r="BL35">
        <f>(0.955*(0.9442 - 0.0007*$B35 - dis_BMI*($C35-21.75)) - 0.15*0.5)*AH35</f>
        <v>3.4065450274532554E-4</v>
      </c>
      <c r="BM35">
        <f>(0.955*(0.9442 - 0.0007*$B35 - dis_BMI*($C35-21.75)))*AI35</f>
        <v>2.1423416104525135E-3</v>
      </c>
      <c r="BN35">
        <f>(0.955*0.943*(0.9442 - 0.0007*$B35 - dis_BMI*($C35-21.75)) - 0.19*0.5)*AJ35</f>
        <v>2.507314458078672E-5</v>
      </c>
      <c r="BO35">
        <f>(0.955*0.943*(0.9442 - 0.0007*$B35 - dis_BMI*($C35-21.75)) - 0.15*0.5)*AK35</f>
        <v>1.9556056501045772E-5</v>
      </c>
      <c r="BP35">
        <f>(0.955*0.943*(0.9442 - 0.0007*$B35 - dis_BMI*($C35-21.75)))*AL35</f>
        <v>8.243026827371712E-5</v>
      </c>
      <c r="BQ35">
        <f>(0.93*(0.9442 - 0.0007*$B35 - dis_BMI*($C35-21.75)))*AM35</f>
        <v>3.6028313693277499E-4</v>
      </c>
      <c r="BR35">
        <f>(0.93*(0.9442 - 0.0007*$B35 - dis_BMI*($C35-21.75)))*AN35</f>
        <v>2.8834272344122262E-3</v>
      </c>
      <c r="BS35">
        <f>(0.93*0.943*(0.9442 - 0.0007*$B35 - dis_BMI*($C35-21.75)))*AO35</f>
        <v>1.9654827181116905E-5</v>
      </c>
      <c r="BT35">
        <f>(0.93*0.943*(0.9442 - 0.0007*$B35 - dis_BMI*($C35-21.75))-0.19*0.5)*AP35</f>
        <v>2.7086632072717704E-5</v>
      </c>
      <c r="BU35">
        <f>(0.93*0.943*(0.9442 - 0.0007*$B35 - dis_BMI*($C35-21.75)))*AQ35</f>
        <v>1.0528565604296058E-4</v>
      </c>
      <c r="BV35">
        <f>0.962*(0.9442 - 0.0007*$B35 - dis_BMI*($C35-21.75))*AR35</f>
        <v>0.2170027565674385</v>
      </c>
      <c r="BW35">
        <f>0.962*0.959*(0.9442 - 0.0007*$B35 - dis_BMI*($C35-21.75))*AS35</f>
        <v>8.7238462385449828E-2</v>
      </c>
      <c r="BX35">
        <f>0.962*(0.943*(0.9442 - 0.0007*$B35 - dis_BMI*($C35-21.75)) - 0.19*0.5)*AT35</f>
        <v>5.4542037613921259E-3</v>
      </c>
      <c r="BY35">
        <f>0.962*(0.943*(0.9442 - 0.0007*$B35 - dis_BMI*($C35-21.75)))*AU35</f>
        <v>2.4289698595367198E-2</v>
      </c>
      <c r="BZ35">
        <f>0.962*(0.955*(0.9442 - 0.0007*$B35 - dis_BMI*($C35-21.75)) - 0.15*0.5)*AV35</f>
        <v>2.5599763042823982E-3</v>
      </c>
      <c r="CA35">
        <f>0.962*(0.955*(0.9442 - 0.0007*$B35 - dis_BMI*($C35-21.75)))*AW35</f>
        <v>1.5630964330554081E-2</v>
      </c>
      <c r="CB35">
        <f>0.962*(0.955*0.943*(0.9442 - 0.0007*$B35 - dis_BMI*($C35-21.75)) - 0.19*0.5)*AX35</f>
        <v>3.0262549699916789E-4</v>
      </c>
      <c r="CC35">
        <f>0.962*(0.955*0.943*(0.9442 - 0.0007*$B35 - dis_BMI*($C35-21.75)) - 0.15*0.5)*AY35</f>
        <v>2.334217522377027E-4</v>
      </c>
      <c r="CD35">
        <f>0.962*(0.955*0.943*(0.9442 - 0.0007*$B35 - dis_BMI*($C35-21.75)))*AZ35</f>
        <v>9.2570406270535226E-4</v>
      </c>
      <c r="CE35">
        <f>0.962*(0.93*(0.9442 - 0.0007*$B35 - dis_BMI*($C35-21.75)))*BA35</f>
        <v>2.6822791870483803E-3</v>
      </c>
      <c r="CF35">
        <f>0.962*(0.93*(0.9442 - 0.0007*$B35 - dis_BMI*($C35-21.75)))*BB35</f>
        <v>2.0195485534851957E-2</v>
      </c>
      <c r="CG35">
        <f>0.962*(0.93*0.943*(0.9442 - 0.0007*$B35 - dis_BMI*($C35-21.75)))*BC35</f>
        <v>2.3141788291500582E-4</v>
      </c>
      <c r="CH35">
        <f>0.962*(0.93*0.943*(0.9442 - 0.0007*$B35 - dis_BMI*($C35-21.75))-0.19*0.5)*BD35</f>
        <v>3.1360374342553774E-4</v>
      </c>
      <c r="CI35">
        <f>0.962*(0.93*0.943*(0.9442 - 0.0007*$B35 - dis_BMI*($C35-21.75)))*BE35</f>
        <v>1.1334895651191395E-3</v>
      </c>
      <c r="CJ35">
        <f t="shared" si="17"/>
        <v>0</v>
      </c>
      <c r="CK35">
        <f t="shared" si="18"/>
        <v>0.45791607350230756</v>
      </c>
      <c r="CL35">
        <f>CK35/(1+r_)^A35</f>
        <v>0.1778257698675309</v>
      </c>
      <c r="CM35">
        <f t="shared" si="19"/>
        <v>0</v>
      </c>
      <c r="CN35">
        <f>AE35*c_Other</f>
        <v>240.38302164326254</v>
      </c>
      <c r="CO35">
        <f>AF35*(c_Stroke1+c_Stroke2)</f>
        <v>25.633612424185404</v>
      </c>
      <c r="CP35">
        <f>AG35*c_Stroke2</f>
        <v>28.804289958454348</v>
      </c>
      <c r="CQ35">
        <f>AH35*(c_MI1+c_MI2)</f>
        <v>13.715582407889764</v>
      </c>
      <c r="CR35">
        <f>AI35*c_MI2</f>
        <v>8.3572878617858422</v>
      </c>
      <c r="CS35">
        <f>AJ35*(c_Stroke1+c_Stroke2+c_MI2)</f>
        <v>1.0255357428719984</v>
      </c>
      <c r="CT35">
        <f>AK35*(c_Stroke2+c_MI1+c_MI2)</f>
        <v>1.0275803897508755</v>
      </c>
      <c r="CU35">
        <f>AL35*(c_Stroke2+c_MI2)</f>
        <v>1.0520938274155471</v>
      </c>
      <c r="CV35">
        <f>AM35*(c_HF1)</f>
        <v>12.51555866304237</v>
      </c>
      <c r="CW35">
        <f>AN35*(c_HF2)</f>
        <v>57.827315038312861</v>
      </c>
      <c r="CX35">
        <f>AO35*(c_Stroke2+c_HF1)</f>
        <v>0.89815511864314224</v>
      </c>
      <c r="CY35">
        <f>AP35*(c_Stroke1+c_Stroke2+c_HF2)</f>
        <v>1.6716598792204882</v>
      </c>
      <c r="CZ35">
        <f>AQ35*(c_Stroke2+c_HF2)</f>
        <v>3.1718182466507141</v>
      </c>
      <c r="DA35">
        <f>AR35*c_DM</f>
        <v>3080.2757372661008</v>
      </c>
      <c r="DB35">
        <f>AS35*(c_Other+c_DM)</f>
        <v>2905.0809821461726</v>
      </c>
      <c r="DC35">
        <f>AT35*(c_Stroke1+c_Stroke2+c_DM)</f>
        <v>287.90865697214741</v>
      </c>
      <c r="DD35">
        <f>AU35*(c_Stroke2+c_DM)</f>
        <v>573.63776226471828</v>
      </c>
      <c r="DE35">
        <f>AV35*(c_MI1+c_MI2+c_DM)</f>
        <v>149.13403482777596</v>
      </c>
      <c r="DF35">
        <f>AW35*(c_MI2+c_DM)</f>
        <v>295.71590008174388</v>
      </c>
      <c r="DG35">
        <f>AX35*(c_Stroke1+c_Stroke2+c_MI2+c_DM)</f>
        <v>18.324986517419184</v>
      </c>
      <c r="DH35">
        <f>AY35*(c_Stroke2+c_MI1+c_MI2+c_DM)</f>
        <v>16.835600635409385</v>
      </c>
      <c r="DI35">
        <f>AZ35*(c_Stroke2+c_MI2+c_DM)</f>
        <v>26.872758997764393</v>
      </c>
      <c r="DJ35">
        <f>BA35*(c_HF1+c_DM)</f>
        <v>137.79770434346139</v>
      </c>
      <c r="DK35">
        <f>BB35*(c_HF2+c_DM)</f>
        <v>729.26527004426453</v>
      </c>
      <c r="DL35">
        <f>BC35*(c_Stroke2+c_HF1+c_DM)</f>
        <v>14.738334618206727</v>
      </c>
      <c r="DM35">
        <f>BD35*(c_Stroke1+c_Stroke2+c_HF2+c_DM)</f>
        <v>25.949454516016736</v>
      </c>
      <c r="DN35">
        <f>BE35*(c_Stroke2+c_HF2+c_DM)</f>
        <v>53.842420328514315</v>
      </c>
      <c r="DO35">
        <f t="shared" si="20"/>
        <v>0</v>
      </c>
      <c r="DP35">
        <f t="shared" si="21"/>
        <v>8711.4631147612017</v>
      </c>
      <c r="DQ35">
        <f>DP35/(1+r_)^A35</f>
        <v>3382.9837489799384</v>
      </c>
    </row>
    <row r="36" spans="1:121" x14ac:dyDescent="0.3">
      <c r="A36">
        <v>33</v>
      </c>
      <c r="B36">
        <v>78</v>
      </c>
      <c r="C36">
        <f t="shared" si="40"/>
        <v>38</v>
      </c>
      <c r="D36">
        <f t="shared" si="1"/>
        <v>125</v>
      </c>
      <c r="E36">
        <f t="shared" si="41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22"/>
        <v>5.6857293942168513E-2</v>
      </c>
      <c r="J36">
        <f t="shared" si="23"/>
        <v>0.31552934960597134</v>
      </c>
      <c r="K36">
        <f t="shared" si="24"/>
        <v>0.41194782818249454</v>
      </c>
      <c r="L36">
        <f t="shared" si="25"/>
        <v>0.16428698246591633</v>
      </c>
      <c r="M36">
        <f t="shared" si="26"/>
        <v>0.22224693066177359</v>
      </c>
      <c r="N36">
        <f t="shared" si="27"/>
        <v>0.64760911079502304</v>
      </c>
      <c r="O36">
        <f t="shared" si="28"/>
        <v>0.77093914420426535</v>
      </c>
      <c r="P36">
        <f t="shared" si="29"/>
        <v>0.40133215973817193</v>
      </c>
      <c r="Q36">
        <f t="shared" si="30"/>
        <v>0.51564232483280403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2.5973371983828306E-2</v>
      </c>
      <c r="U36">
        <f t="shared" si="31"/>
        <v>0.56179094069282587</v>
      </c>
      <c r="V36">
        <f t="shared" si="32"/>
        <v>0.68509625975395627</v>
      </c>
      <c r="W36">
        <f t="shared" si="33"/>
        <v>0.32333709974294222</v>
      </c>
      <c r="X36">
        <f t="shared" si="34"/>
        <v>0.42132068428144342</v>
      </c>
      <c r="Y36">
        <f t="shared" si="35"/>
        <v>0.83049079977121298</v>
      </c>
      <c r="Z36">
        <f t="shared" si="36"/>
        <v>0.91855608605963635</v>
      </c>
      <c r="AA36">
        <f t="shared" si="37"/>
        <v>0.5823160209688939</v>
      </c>
      <c r="AB36">
        <f t="shared" si="38"/>
        <v>0.70875252668497835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4.3869475027820376E-2</v>
      </c>
      <c r="AD36">
        <f t="shared" si="39"/>
        <v>5.9520300986453417E-2</v>
      </c>
      <c r="AE36">
        <f t="shared" si="5"/>
        <v>1.5628111795533459E-2</v>
      </c>
      <c r="AF36">
        <f t="shared" si="6"/>
        <v>9.9497795021581833E-4</v>
      </c>
      <c r="AG36">
        <f t="shared" si="7"/>
        <v>4.0333739812693104E-3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4.2933516561684921E-4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2.3501521061372599E-3</v>
      </c>
      <c r="AJ36">
        <f t="shared" si="10"/>
        <v>3.4223444295788922E-5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2.682940400373515E-5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9.4955171111654686E-5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4.1427521213286496E-4</v>
      </c>
      <c r="AN36">
        <f t="shared" si="14"/>
        <v>3.6848526675116377E-3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2.4330121818348471E-5</v>
      </c>
      <c r="AP36">
        <f>AM35*T35*p_Stroke*p_Stroke_rec*(1-I35) + AN35*T35*p_Stroke*p_Stroke_rec*(1-I35) + AO35*(p_recur_Stroke*p_Stroke_rec)*(1-I35) + AP35*(p_recur_Stroke*p_Stroke_rec)*(1-I35) + AQ35*(p_recur_Stroke*p_Stroke_rec)*(1-I35)</f>
        <v>4.3131476717166269E-5</v>
      </c>
      <c r="AQ36">
        <f>AO35*(1-p_recur_Stroke-H35*rr_Stroke*rr_HF)*(1-I35) + AP35*(1-p_recur_Stroke-H35*rr_Stroke*rr_HF)*(1-I35) + AQ35*(1-p_recur_Stroke-H35*rr_Stroke*rr_HF)*(1-I35)</f>
        <v>1.4074288348443252E-4</v>
      </c>
      <c r="AR36">
        <f>AR35*(1-AC35-H35*rr_DM) + AD35*(1-T35-H35)*I35</f>
        <v>0.25194645386546161</v>
      </c>
      <c r="AS36">
        <f>AR35*AC35*p_Other + AD35*T35*p_Other*I35 + AE35*(1-T35*p_Stroke-T35*p_MI-H35*rr_Other)*I35 + AS35*(1-AC35*p_Stroke-AC35*p_MI-H35*rr_Other*rr_DM)</f>
        <v>0.11040239889433436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7.961372246126865E-3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3.068887656393695E-2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3.5357449870957172E-3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1.8850019694529731E-2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4.5280384876436174E-4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3.5038319277437644E-4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1.1630261237261556E-3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3.3885365910789186E-3</v>
      </c>
      <c r="BB36">
        <f>AM35*(1-T35*p_Stroke - H35*rr_HF)*I35 + AN35*(1-T35*p_Stroke - H35*rr_HF)*I35 + BA35*(1-AC35*p_Stroke - H35*rr_HF*rr_DM) + BB35*(1-AC35*p_Stroke - H35*rr_HF*rr_DM)</f>
        <v>2.8481639532581191E-2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3.1382146921939602E-4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5.493044943907225E-4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1.6579356656033185E-3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0.42783809046407417</v>
      </c>
      <c r="BG36">
        <f t="shared" si="16"/>
        <v>0.97499999999999964</v>
      </c>
      <c r="BH36">
        <f>(0.9442 - 0.0007*$B36 - dis_BMI*($C36-21.75))*AD36</f>
        <v>4.9757483617150398E-2</v>
      </c>
      <c r="BI36">
        <f>0.959*(0.9442 - 0.0007*$B36 - dis_BMI*($C36-21.75))*AE36</f>
        <v>1.2529057617181968E-2</v>
      </c>
      <c r="BJ36">
        <f>(0.943*(0.9442 - 0.0007*$B36 - dis_BMI*($C36-21.75)) - 0.19*0.5)*AF36</f>
        <v>6.8984251522106088E-4</v>
      </c>
      <c r="BK36">
        <f>(0.943*(0.9442 - 0.0007*$B36 - dis_BMI*($C36-21.75)))*AG36</f>
        <v>3.1796072245940899E-3</v>
      </c>
      <c r="BL36">
        <f>(0.955*(0.9442 - 0.0007*$B36 - dis_BMI*($C36-21.75)) - 0.15*0.5)*AH36</f>
        <v>3.1056222172683726E-4</v>
      </c>
      <c r="BM36">
        <f>(0.955*(0.9442 - 0.0007*$B36 - dis_BMI*($C36-21.75)))*AI36</f>
        <v>1.8762583286163314E-3</v>
      </c>
      <c r="BN36">
        <f>(0.955*0.943*(0.9442 - 0.0007*$B36 - dis_BMI*($C36-21.75)) - 0.19*0.5)*AJ36</f>
        <v>2.2513886870827502E-5</v>
      </c>
      <c r="BO36">
        <f>(0.955*0.943*(0.9442 - 0.0007*$B36 - dis_BMI*($C36-21.75)) - 0.15*0.5)*AK36</f>
        <v>1.8186306832261898E-5</v>
      </c>
      <c r="BP36">
        <f>(0.955*0.943*(0.9442 - 0.0007*$B36 - dis_BMI*($C36-21.75)))*AL36</f>
        <v>7.1486984037340056E-5</v>
      </c>
      <c r="BQ36">
        <f>(0.93*(0.9442 - 0.0007*$B36 - dis_BMI*($C36-21.75)))*AM36</f>
        <v>3.2208106003037774E-4</v>
      </c>
      <c r="BR36">
        <f>(0.93*(0.9442 - 0.0007*$B36 - dis_BMI*($C36-21.75)))*AN36</f>
        <v>2.8648135791124285E-3</v>
      </c>
      <c r="BS36">
        <f>(0.93*0.943*(0.9442 - 0.0007*$B36 - dis_BMI*($C36-21.75)))*AO36</f>
        <v>1.7837427242145449E-5</v>
      </c>
      <c r="BT36">
        <f>(0.93*0.943*(0.9442 - 0.0007*$B36 - dis_BMI*($C36-21.75))-0.19*0.5)*AP36</f>
        <v>2.7523994533557925E-5</v>
      </c>
      <c r="BU36">
        <f>(0.93*0.943*(0.9442 - 0.0007*$B36 - dis_BMI*($C36-21.75)))*AQ36</f>
        <v>1.0318447900700776E-4</v>
      </c>
      <c r="BV36">
        <f>0.962*(0.9442 - 0.0007*$B36 - dis_BMI*($C36-21.75))*AR36</f>
        <v>0.20261734117291247</v>
      </c>
      <c r="BW36">
        <f>0.962*0.959*(0.9442 - 0.0007*$B36 - dis_BMI*($C36-21.75))*AS36</f>
        <v>8.5146240927409203E-2</v>
      </c>
      <c r="BX36">
        <f>0.962*(0.943*(0.9442 - 0.0007*$B36 - dis_BMI*($C36-21.75)) - 0.19*0.5)*AT36</f>
        <v>5.3100609090361061E-3</v>
      </c>
      <c r="BY36">
        <f>0.962*(0.943*(0.9442 - 0.0007*$B36 - dis_BMI*($C36-21.75)))*AU36</f>
        <v>2.3273464914257431E-2</v>
      </c>
      <c r="BZ36">
        <f>0.962*(0.955*(0.9442 - 0.0007*$B36 - dis_BMI*($C36-21.75)) - 0.15*0.5)*AV36</f>
        <v>2.4604138867252911E-3</v>
      </c>
      <c r="CA36">
        <f>0.962*(0.955*(0.9442 - 0.0007*$B36 - dis_BMI*($C36-21.75)))*AW36</f>
        <v>1.4477165589677498E-2</v>
      </c>
      <c r="CB36">
        <f>0.962*(0.955*0.943*(0.9442 - 0.0007*$B36 - dis_BMI*($C36-21.75)) - 0.19*0.5)*AX36</f>
        <v>2.8655760960868889E-4</v>
      </c>
      <c r="CC36">
        <f>0.962*(0.955*0.943*(0.9442 - 0.0007*$B36 - dis_BMI*($C36-21.75)) - 0.15*0.5)*AY36</f>
        <v>2.284819131355954E-4</v>
      </c>
      <c r="CD36">
        <f>0.962*(0.955*0.943*(0.9442 - 0.0007*$B36 - dis_BMI*($C36-21.75)))*AZ36</f>
        <v>8.4231182217537053E-4</v>
      </c>
      <c r="CE36">
        <f>0.962*(0.93*(0.9442 - 0.0007*$B36 - dis_BMI*($C36-21.75)))*BA36</f>
        <v>2.5343319008327555E-3</v>
      </c>
      <c r="CF36">
        <f>0.962*(0.93*(0.9442 - 0.0007*$B36 - dis_BMI*($C36-21.75)))*BB36</f>
        <v>2.1301799675256552E-2</v>
      </c>
      <c r="CG36">
        <f>0.962*(0.93*0.943*(0.9442 - 0.0007*$B36 - dis_BMI*($C36-21.75)))*BC36</f>
        <v>2.2133273703720332E-4</v>
      </c>
      <c r="CH36">
        <f>0.962*(0.93*0.943*(0.9442 - 0.0007*$B36 - dis_BMI*($C36-21.75))-0.19*0.5)*BD36</f>
        <v>3.3721381597971858E-4</v>
      </c>
      <c r="CI36">
        <f>0.962*(0.93*0.943*(0.9442 - 0.0007*$B36 - dis_BMI*($C36-21.75)))*BE36</f>
        <v>1.1693127293436938E-3</v>
      </c>
      <c r="CJ36">
        <f t="shared" si="17"/>
        <v>0</v>
      </c>
      <c r="CK36">
        <f t="shared" si="18"/>
        <v>0.4319964688455441</v>
      </c>
      <c r="CL36">
        <f>CK36/(1+r_)^A36</f>
        <v>0.1628740072515735</v>
      </c>
      <c r="CM36">
        <f t="shared" si="19"/>
        <v>0</v>
      </c>
      <c r="CN36">
        <f>AE36*c_Other</f>
        <v>223.15380832842226</v>
      </c>
      <c r="CO36">
        <f>AF36*(c_Stroke1+c_Stroke2)</f>
        <v>23.696394862339929</v>
      </c>
      <c r="CP36">
        <f>AG36*c_Stroke2</f>
        <v>26.216930878250519</v>
      </c>
      <c r="CQ36">
        <f>AH36*(c_MI1+c_MI2)</f>
        <v>12.515549412896771</v>
      </c>
      <c r="CR36">
        <f>AI36*c_MI2</f>
        <v>7.3254241148298389</v>
      </c>
      <c r="CS36">
        <f>AJ36*(c_Stroke1+c_Stroke2+c_MI2)</f>
        <v>0.92174002521848297</v>
      </c>
      <c r="CT36">
        <f>AK36*(c_Stroke2+c_MI1+c_MI2)</f>
        <v>0.95649508213716183</v>
      </c>
      <c r="CU36">
        <f>AL36*(c_Stroke2+c_MI2)</f>
        <v>0.91318388058078315</v>
      </c>
      <c r="CV36">
        <f>AM36*(c_HF1)</f>
        <v>11.19785898395134</v>
      </c>
      <c r="CW36">
        <f>AN36*(c_HF2)</f>
        <v>57.502125876519109</v>
      </c>
      <c r="CX36">
        <f>AO36*(c_Stroke2+c_HF1)</f>
        <v>0.81578898456922422</v>
      </c>
      <c r="CY36">
        <f>AP36*(c_Stroke1+c_Stroke2+c_HF2)</f>
        <v>1.7002859436674116</v>
      </c>
      <c r="CZ36">
        <f>AQ36*(c_Stroke2+c_HF2)</f>
        <v>3.111121439423381</v>
      </c>
      <c r="DA36">
        <f>AR36*c_DM</f>
        <v>2878.488235412899</v>
      </c>
      <c r="DB36">
        <f>AS36*(c_Other+c_DM)</f>
        <v>2837.7832611799704</v>
      </c>
      <c r="DC36">
        <f>AT36*(c_Stroke1+c_Stroke2+c_DM)</f>
        <v>280.56671932575682</v>
      </c>
      <c r="DD36">
        <f>AU36*(c_Stroke2+c_DM)</f>
        <v>550.09811240856982</v>
      </c>
      <c r="DE36">
        <f>AV36*(c_MI1+c_MI2+c_DM)</f>
        <v>143.46638859639583</v>
      </c>
      <c r="DF36">
        <f>AW36*(c_MI2+c_DM)</f>
        <v>274.11698639785135</v>
      </c>
      <c r="DG36">
        <f>AX36*(c_Stroke1+c_Stroke2+c_MI2+c_DM)</f>
        <v>17.368650030903389</v>
      </c>
      <c r="DH36">
        <f>AY36*(c_Stroke2+c_MI1+c_MI2+c_DM)</f>
        <v>16.494639183046544</v>
      </c>
      <c r="DI36">
        <f>AZ36*(c_Stroke2+c_MI2+c_DM)</f>
        <v>24.472395695445766</v>
      </c>
      <c r="DJ36">
        <f>BA36*(c_HF1+c_DM)</f>
        <v>130.3061746099398</v>
      </c>
      <c r="DK36">
        <f>BB36*(c_HF2+c_DM)</f>
        <v>769.85871656566962</v>
      </c>
      <c r="DL36">
        <f>BC36*(c_Stroke2+c_HF1+c_DM)</f>
        <v>14.107844148757948</v>
      </c>
      <c r="DM36">
        <f>BD36*(c_Stroke1+c_Stroke2+c_HF2+c_DM)</f>
        <v>27.929936321790677</v>
      </c>
      <c r="DN36">
        <f>BE36*(c_Stroke2+c_HF2+c_DM)</f>
        <v>55.590582867679267</v>
      </c>
      <c r="DO36">
        <f t="shared" si="20"/>
        <v>0</v>
      </c>
      <c r="DP36">
        <f t="shared" si="21"/>
        <v>8390.6753505574798</v>
      </c>
      <c r="DQ36">
        <f>DP36/(1+r_)^A36</f>
        <v>3163.5048349918802</v>
      </c>
    </row>
    <row r="37" spans="1:121" x14ac:dyDescent="0.3">
      <c r="A37">
        <v>34</v>
      </c>
      <c r="B37">
        <v>79</v>
      </c>
      <c r="C37">
        <f t="shared" si="40"/>
        <v>38</v>
      </c>
      <c r="D37">
        <f t="shared" si="1"/>
        <v>125</v>
      </c>
      <c r="E37">
        <f t="shared" si="41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2"/>
        <v>5.6857293942168513E-2</v>
      </c>
      <c r="J37">
        <f t="shared" si="23"/>
        <v>0.32462102495251632</v>
      </c>
      <c r="K37">
        <f t="shared" si="24"/>
        <v>0.42285784987961073</v>
      </c>
      <c r="L37">
        <f t="shared" si="25"/>
        <v>0.1695604952444083</v>
      </c>
      <c r="M37">
        <f t="shared" si="26"/>
        <v>0.22911153009729157</v>
      </c>
      <c r="N37">
        <f t="shared" si="27"/>
        <v>0.66216839551315365</v>
      </c>
      <c r="O37">
        <f t="shared" si="28"/>
        <v>0.78419638729190921</v>
      </c>
      <c r="P37">
        <f t="shared" si="29"/>
        <v>0.41362919292136102</v>
      </c>
      <c r="Q37">
        <f t="shared" si="30"/>
        <v>0.52964032100606295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2.6726643250147994E-2</v>
      </c>
      <c r="U37">
        <f t="shared" si="31"/>
        <v>0.57435955395642757</v>
      </c>
      <c r="V37">
        <f t="shared" si="32"/>
        <v>0.69767242420920672</v>
      </c>
      <c r="W37">
        <f t="shared" si="33"/>
        <v>0.33259518967587864</v>
      </c>
      <c r="X37">
        <f t="shared" si="34"/>
        <v>0.43237858423000919</v>
      </c>
      <c r="Y37">
        <f t="shared" si="35"/>
        <v>0.84223468970007287</v>
      </c>
      <c r="Z37">
        <f t="shared" si="36"/>
        <v>0.926413328952709</v>
      </c>
      <c r="AA37">
        <f t="shared" si="37"/>
        <v>0.5968099373347665</v>
      </c>
      <c r="AB37">
        <f t="shared" si="38"/>
        <v>0.72292984651638115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4.492159800197091E-2</v>
      </c>
      <c r="AD37">
        <f t="shared" si="39"/>
        <v>5.2755654777575885E-2</v>
      </c>
      <c r="AE37">
        <f t="shared" si="5"/>
        <v>1.4410124764405166E-2</v>
      </c>
      <c r="AF37">
        <f t="shared" si="6"/>
        <v>9.1309713916669702E-4</v>
      </c>
      <c r="AG37">
        <f t="shared" si="7"/>
        <v>3.6379164920917512E-3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3.9070666519888843E-4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2.0599836126537771E-3</v>
      </c>
      <c r="AJ37">
        <f t="shared" si="10"/>
        <v>3.0651432031897103E-5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2.4777280873071766E-5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8.1888060678176133E-5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3.7031346996542361E-4</v>
      </c>
      <c r="AN37">
        <f t="shared" si="14"/>
        <v>3.6020043194561709E-3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2.1955552541373863E-5</v>
      </c>
      <c r="AP37">
        <f>AM36*T36*p_Stroke*p_Stroke_rec*(1-I36) + AN36*T36*p_Stroke*p_Stroke_rec*(1-I36) + AO36*(p_recur_Stroke*p_Stroke_rec)*(1-I36) + AP36*(p_recur_Stroke*p_Stroke_rec)*(1-I36) + AQ36*(p_recur_Stroke*p_Stroke_rec)*(1-I36)</f>
        <v>4.2926612360857567E-5</v>
      </c>
      <c r="AQ37">
        <f>AO36*(1-p_recur_Stroke-H36*rr_Stroke*rr_HF)*(1-I36) + AP36*(1-p_recur_Stroke-H36*rr_Stroke*rr_HF)*(1-I36) + AQ36*(1-p_recur_Stroke-H36*rr_Stroke*rr_HF)*(1-I36)</f>
        <v>1.3449423782990996E-4</v>
      </c>
      <c r="AR37">
        <f>AR36*(1-AC36-H36*rr_DM) + AD36*(1-T36-H36)*I36</f>
        <v>0.23415168426450961</v>
      </c>
      <c r="AS37">
        <f>AR36*AC36*p_Other + AD36*T36*p_Other*I36 + AE36*(1-T36*p_Stroke-T36*p_MI-H36*rr_Other)*I36 + AS36*(1-AC36*p_Stroke-AC36*p_MI-H36*rr_Other*rr_DM)</f>
        <v>0.10690951006902878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7.6856384829070753E-3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2.9094148647376514E-2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3.3852116292069768E-3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1.7441478610640247E-2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4.2671990211645325E-4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3.3969975155860799E-4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1.0492628311424641E-3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3.1949712613061248E-3</v>
      </c>
      <c r="BB37">
        <f>AM36*(1-T36*p_Stroke - H36*rr_HF)*I36 + AN36*(1-T36*p_Stroke - H36*rr_HF)*I36 + BA36*(1-AC36*p_Stroke - H36*rr_HF*rr_DM) + BB36*(1-AC36*p_Stroke - H36*rr_HF*rr_DM)</f>
        <v>2.9481398567439886E-2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2.9763785495002821E-4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5.7675689448086513E-4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1.6610454917252364E-3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0.46082834132478168</v>
      </c>
      <c r="BG37">
        <f t="shared" si="16"/>
        <v>0.97499999999999964</v>
      </c>
      <c r="BH37">
        <f>(0.9442 - 0.0007*$B37 - dis_BMI*($C37-21.75))*AD37</f>
        <v>4.4065479544339696E-2</v>
      </c>
      <c r="BI37">
        <f>0.959*(0.9442 - 0.0007*$B37 - dis_BMI*($C37-21.75))*AE37</f>
        <v>1.1542923867122395E-2</v>
      </c>
      <c r="BJ37">
        <f>(0.943*(0.9442 - 0.0007*$B37 - dis_BMI*($C37-21.75)) - 0.19*0.5)*AF37</f>
        <v>6.3246981356033128E-4</v>
      </c>
      <c r="BK37">
        <f>(0.943*(0.9442 - 0.0007*$B37 - dis_BMI*($C37-21.75)))*AG37</f>
        <v>2.8654570381498167E-3</v>
      </c>
      <c r="BL37">
        <f>(0.955*(0.9442 - 0.0007*$B37 - dis_BMI*($C37-21.75)) - 0.15*0.5)*AH37</f>
        <v>2.8235887194425483E-4</v>
      </c>
      <c r="BM37">
        <f>(0.955*(0.9442 - 0.0007*$B37 - dis_BMI*($C37-21.75)))*AI37</f>
        <v>1.6432234355167115E-3</v>
      </c>
      <c r="BN37">
        <f>(0.955*0.943*(0.9442 - 0.0007*$B37 - dis_BMI*($C37-21.75)) - 0.19*0.5)*AJ37</f>
        <v>2.0144716700181443E-5</v>
      </c>
      <c r="BO37">
        <f>(0.955*0.943*(0.9442 - 0.0007*$B37 - dis_BMI*($C37-21.75)) - 0.15*0.5)*AK37</f>
        <v>1.6779656039103043E-5</v>
      </c>
      <c r="BP37">
        <f>(0.955*0.943*(0.9442 - 0.0007*$B37 - dis_BMI*($C37-21.75)))*AL37</f>
        <v>6.1597790357851079E-5</v>
      </c>
      <c r="BQ37">
        <f>(0.93*(0.9442 - 0.0007*$B37 - dis_BMI*($C37-21.75)))*AM37</f>
        <v>2.8766163277159341E-4</v>
      </c>
      <c r="BR37">
        <f>(0.93*(0.9442 - 0.0007*$B37 - dis_BMI*($C37-21.75)))*AN37</f>
        <v>2.7980576668783907E-3</v>
      </c>
      <c r="BS37">
        <f>(0.93*0.943*(0.9442 - 0.0007*$B37 - dis_BMI*($C37-21.75)))*AO37</f>
        <v>1.6083053089428048E-5</v>
      </c>
      <c r="BT37">
        <f>(0.93*0.943*(0.9442 - 0.0007*$B37 - dis_BMI*($C37-21.75))-0.19*0.5)*AP37</f>
        <v>2.7366909694987459E-5</v>
      </c>
      <c r="BU37">
        <f>(0.93*0.943*(0.9442 - 0.0007*$B37 - dis_BMI*($C37-21.75)))*AQ37</f>
        <v>9.8520771142717511E-5</v>
      </c>
      <c r="BV37">
        <f>0.962*(0.9442 - 0.0007*$B37 - dis_BMI*($C37-21.75))*AR37</f>
        <v>0.1881489682472248</v>
      </c>
      <c r="BW37">
        <f>0.962*0.959*(0.9442 - 0.0007*$B37 - dis_BMI*($C37-21.75))*AS37</f>
        <v>8.2383360176411957E-2</v>
      </c>
      <c r="BX37">
        <f>0.962*(0.943*(0.9442 - 0.0007*$B37 - dis_BMI*($C37-21.75)) - 0.19*0.5)*AT37</f>
        <v>5.121272023462492E-3</v>
      </c>
      <c r="BY37">
        <f>0.962*(0.943*(0.9442 - 0.0007*$B37 - dis_BMI*($C37-21.75)))*AU37</f>
        <v>2.2045598883465634E-2</v>
      </c>
      <c r="BZ37">
        <f>0.962*(0.955*(0.9442 - 0.0007*$B37 - dis_BMI*($C37-21.75)) - 0.15*0.5)*AV37</f>
        <v>2.35348543144148E-3</v>
      </c>
      <c r="CA37">
        <f>0.962*(0.955*(0.9442 - 0.0007*$B37 - dis_BMI*($C37-21.75)))*AW37</f>
        <v>1.3384163286732342E-2</v>
      </c>
      <c r="CB37">
        <f>0.962*(0.955*0.943*(0.9442 - 0.0007*$B37 - dis_BMI*($C37-21.75)) - 0.19*0.5)*AX37</f>
        <v>2.6979156378070243E-4</v>
      </c>
      <c r="CC37">
        <f>0.962*(0.955*0.943*(0.9442 - 0.0007*$B37 - dis_BMI*($C37-21.75)) - 0.15*0.5)*AY37</f>
        <v>2.2130932390358564E-4</v>
      </c>
      <c r="CD37">
        <f>0.962*(0.955*0.943*(0.9442 - 0.0007*$B37 - dis_BMI*($C37-21.75)))*AZ37</f>
        <v>7.5928340536772965E-4</v>
      </c>
      <c r="CE37">
        <f>0.962*(0.93*(0.9442 - 0.0007*$B37 - dis_BMI*($C37-21.75)))*BA37</f>
        <v>2.3875609090863912E-3</v>
      </c>
      <c r="CF37">
        <f>0.962*(0.93*(0.9442 - 0.0007*$B37 - dis_BMI*($C37-21.75)))*BB37</f>
        <v>2.2031069768070361E-2</v>
      </c>
      <c r="CG37">
        <f>0.962*(0.93*0.943*(0.9442 - 0.0007*$B37 - dis_BMI*($C37-21.75)))*BC37</f>
        <v>2.0974294533688875E-4</v>
      </c>
      <c r="CH37">
        <f>0.962*(0.93*0.943*(0.9442 - 0.0007*$B37 - dis_BMI*($C37-21.75))-0.19*0.5)*BD37</f>
        <v>3.5372602136362881E-4</v>
      </c>
      <c r="CI37">
        <f>0.962*(0.93*0.943*(0.9442 - 0.0007*$B37 - dis_BMI*($C37-21.75)))*BE37</f>
        <v>1.1705250793166244E-3</v>
      </c>
      <c r="CJ37">
        <f t="shared" si="17"/>
        <v>0</v>
      </c>
      <c r="CK37">
        <f t="shared" si="18"/>
        <v>0.40519798183227207</v>
      </c>
      <c r="CL37">
        <f>CK37/(1+r_)^A37</f>
        <v>0.1483206546357137</v>
      </c>
      <c r="CM37">
        <f t="shared" si="19"/>
        <v>0</v>
      </c>
      <c r="CN37">
        <f>AE37*c_Other</f>
        <v>205.76217151094136</v>
      </c>
      <c r="CO37">
        <f>AF37*(c_Stroke1+c_Stroke2)</f>
        <v>21.746321466394058</v>
      </c>
      <c r="CP37">
        <f>AG37*c_Stroke2</f>
        <v>23.646457198596384</v>
      </c>
      <c r="CQ37">
        <f>AH37*(c_MI1+c_MI2)</f>
        <v>11.389489997212797</v>
      </c>
      <c r="CR37">
        <f>AI37*c_MI2</f>
        <v>6.4209689206418235</v>
      </c>
      <c r="CS37">
        <f>AJ37*(c_Stroke1+c_Stroke2+c_MI2)</f>
        <v>0.82553501891508463</v>
      </c>
      <c r="CT37">
        <f>AK37*(c_Stroke2+c_MI1+c_MI2)</f>
        <v>0.88333484040588151</v>
      </c>
      <c r="CU37">
        <f>AL37*(c_Stroke2+c_MI2)</f>
        <v>0.78751747954201989</v>
      </c>
      <c r="CV37">
        <f>AM37*(c_HF1)</f>
        <v>10.0095730931654</v>
      </c>
      <c r="CW37">
        <f>AN37*(c_HF2)</f>
        <v>56.209277405113546</v>
      </c>
      <c r="CX37">
        <f>AO37*(c_Stroke2+c_HF1)</f>
        <v>0.73616967671226563</v>
      </c>
      <c r="CY37">
        <f>AP37*(c_Stroke1+c_Stroke2+c_HF2)</f>
        <v>1.692209985877366</v>
      </c>
      <c r="CZ37">
        <f>AQ37*(c_Stroke2+c_HF2)</f>
        <v>2.9729951272301598</v>
      </c>
      <c r="DA37">
        <f>AR37*c_DM</f>
        <v>2675.1829927220224</v>
      </c>
      <c r="DB37">
        <f>AS37*(c_Other+c_DM)</f>
        <v>2748.0020468143157</v>
      </c>
      <c r="DC37">
        <f>AT37*(c_Stroke1+c_Stroke2+c_DM)</f>
        <v>270.84958577612827</v>
      </c>
      <c r="DD37">
        <f>AU37*(c_Stroke2+c_DM)</f>
        <v>521.51261450422396</v>
      </c>
      <c r="DE37">
        <f>AV37*(c_MI1+c_MI2+c_DM)</f>
        <v>137.35834706670229</v>
      </c>
      <c r="DF37">
        <f>AW37*(c_MI2+c_DM)</f>
        <v>253.63398195593047</v>
      </c>
      <c r="DG37">
        <f>AX37*(c_Stroke1+c_Stroke2+c_MI2+c_DM)</f>
        <v>16.368122005382915</v>
      </c>
      <c r="DH37">
        <f>AY37*(c_Stroke2+c_MI1+c_MI2+c_DM)</f>
        <v>15.99170550437303</v>
      </c>
      <c r="DI37">
        <f>AZ37*(c_Stroke2+c_MI2+c_DM)</f>
        <v>22.07858849289973</v>
      </c>
      <c r="DJ37">
        <f>BA37*(c_HF1+c_DM)</f>
        <v>122.86261985352702</v>
      </c>
      <c r="DK37">
        <f>BB37*(c_HF2+c_DM)</f>
        <v>796.88220327790009</v>
      </c>
      <c r="DL37">
        <f>BC37*(c_Stroke2+c_HF1+c_DM)</f>
        <v>13.380309769278519</v>
      </c>
      <c r="DM37">
        <f>BD37*(c_Stroke1+c_Stroke2+c_HF2+c_DM)</f>
        <v>29.325781056774069</v>
      </c>
      <c r="DN37">
        <f>BE37*(c_Stroke2+c_HF2+c_DM)</f>
        <v>55.694855337547175</v>
      </c>
      <c r="DO37">
        <f t="shared" si="20"/>
        <v>0</v>
      </c>
      <c r="DP37">
        <f t="shared" si="21"/>
        <v>8022.2057758577548</v>
      </c>
      <c r="DQ37">
        <f>DP37/(1+r_)^A37</f>
        <v>2936.4875089386715</v>
      </c>
    </row>
    <row r="38" spans="1:121" x14ac:dyDescent="0.3">
      <c r="A38">
        <v>35</v>
      </c>
      <c r="B38">
        <v>80</v>
      </c>
      <c r="C38">
        <f t="shared" si="40"/>
        <v>38</v>
      </c>
      <c r="D38">
        <f t="shared" si="1"/>
        <v>125</v>
      </c>
      <c r="E38">
        <f t="shared" si="41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22"/>
        <v>5.6857293942168513E-2</v>
      </c>
      <c r="J38">
        <f t="shared" si="23"/>
        <v>0.33378817331014221</v>
      </c>
      <c r="K38">
        <f t="shared" si="24"/>
        <v>0.43379904366039124</v>
      </c>
      <c r="L38">
        <f t="shared" si="25"/>
        <v>0.17491577344275855</v>
      </c>
      <c r="M38">
        <f t="shared" si="26"/>
        <v>0.23606472051551763</v>
      </c>
      <c r="N38">
        <f t="shared" si="27"/>
        <v>0.67649637770128712</v>
      </c>
      <c r="O38">
        <f t="shared" si="28"/>
        <v>0.79701466370891783</v>
      </c>
      <c r="P38">
        <f t="shared" si="29"/>
        <v>0.4259966667916556</v>
      </c>
      <c r="Q38">
        <f t="shared" si="30"/>
        <v>0.54359673961527311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2.7485229002255002E-2</v>
      </c>
      <c r="U38">
        <f t="shared" si="31"/>
        <v>0.58683258049989628</v>
      </c>
      <c r="V38">
        <f t="shared" si="32"/>
        <v>0.71000676693713716</v>
      </c>
      <c r="W38">
        <f t="shared" si="33"/>
        <v>0.34192631602476264</v>
      </c>
      <c r="X38">
        <f t="shared" si="34"/>
        <v>0.44346172724425736</v>
      </c>
      <c r="Y38">
        <f t="shared" si="35"/>
        <v>0.85345044928425029</v>
      </c>
      <c r="Z38">
        <f t="shared" si="36"/>
        <v>0.93369514563145284</v>
      </c>
      <c r="AA38">
        <f t="shared" si="37"/>
        <v>0.61117333187074796</v>
      </c>
      <c r="AB38">
        <f t="shared" si="38"/>
        <v>0.73677336333438392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4.5969820199066702E-2</v>
      </c>
      <c r="AD38">
        <f t="shared" si="39"/>
        <v>4.6528101543474337E-2</v>
      </c>
      <c r="AE38">
        <f t="shared" si="5"/>
        <v>1.3173615780624785E-2</v>
      </c>
      <c r="AF38">
        <f t="shared" si="6"/>
        <v>8.3211445105379643E-4</v>
      </c>
      <c r="AG38">
        <f t="shared" si="7"/>
        <v>3.2394107466759943E-3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3.5451989611734089E-4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1.801642071605946E-3</v>
      </c>
      <c r="AJ38">
        <f t="shared" si="10"/>
        <v>2.7369342983649357E-5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2.2712098527145354E-5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6.9576675683804222E-5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3.3063095491412856E-4</v>
      </c>
      <c r="AN38">
        <f t="shared" si="14"/>
        <v>3.4633044304147884E-3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1.969639293479819E-5</v>
      </c>
      <c r="AP38">
        <f>AM37*T37*p_Stroke*p_Stroke_rec*(1-I37) + AN37*T37*p_Stroke*p_Stroke_rec*(1-I37) + AO37*(p_recur_Stroke*p_Stroke_rec)*(1-I37) + AP37*(p_recur_Stroke*p_Stroke_rec)*(1-I37) + AQ37*(p_recur_Stroke*p_Stroke_rec)*(1-I37)</f>
        <v>4.1947246029192804E-5</v>
      </c>
      <c r="AQ38">
        <f>AO37*(1-p_recur_Stroke-H37*rr_Stroke*rr_HF)*(1-I37) + AP37*(1-p_recur_Stroke-H37*rr_Stroke*rr_HF)*(1-I37) + AQ37*(1-p_recur_Stroke-H37*rr_Stroke*rr_HF)*(1-I37)</f>
        <v>1.2460961753620839E-4</v>
      </c>
      <c r="AR38">
        <f>AR37*(1-AC37-H37*rr_DM) + AD37*(1-T37-H37)*I37</f>
        <v>0.21616534010426897</v>
      </c>
      <c r="AS38">
        <f>AR37*AC37*p_Other + AD37*T37*p_Other*I37 + AE37*(1-T37*p_Stroke-T37*p_MI-H37*rr_Other)*I37 + AS37*(1-AC37*p_Stroke-AC37*p_MI-H37*rr_Other*rr_DM)</f>
        <v>0.10241595598052566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7.3525789963470017E-3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2.7147380442686556E-2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3.2252224876693821E-3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1.6067052487481987E-2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4.0006753783622677E-4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3.260831734643191E-4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9.2825504754658679E-4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3.0029873375062217E-3</v>
      </c>
      <c r="BB38">
        <f>AM37*(1-T37*p_Stroke - H37*rr_HF)*I37 + AN37*(1-T37*p_Stroke - H37*rr_HF)*I37 + BA37*(1-AC37*p_Stroke - H37*rr_HF*rr_DM) + BB37*(1-AC37*p_Stroke - H37*rr_HF*rr_DM)</f>
        <v>2.9938402564302396E-2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2.7991338346380836E-4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5.9304368651754086E-4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1.6050319160025861E-3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0.49552343360580442</v>
      </c>
      <c r="BG38">
        <f t="shared" si="16"/>
        <v>0.97499999999999942</v>
      </c>
      <c r="BH38">
        <f>(0.9442 - 0.0007*$B38 - dis_BMI*($C38-21.75))*AD38</f>
        <v>3.883119034564509E-2</v>
      </c>
      <c r="BI38">
        <f>0.959*(0.9442 - 0.0007*$B38 - dis_BMI*($C38-21.75))*AE38</f>
        <v>1.0543601204120217E-2</v>
      </c>
      <c r="BJ38">
        <f>(0.943*(0.9442 - 0.0007*$B38 - dis_BMI*($C38-21.75)) - 0.19*0.5)*AF38</f>
        <v>5.7582671581278273E-4</v>
      </c>
      <c r="BK38">
        <f>(0.943*(0.9442 - 0.0007*$B38 - dis_BMI*($C38-21.75)))*AG38</f>
        <v>2.5494299441444117E-3</v>
      </c>
      <c r="BL38">
        <f>(0.955*(0.9442 - 0.0007*$B38 - dis_BMI*($C38-21.75)) - 0.15*0.5)*AH38</f>
        <v>2.5597014518973334E-4</v>
      </c>
      <c r="BM38">
        <f>(0.955*(0.9442 - 0.0007*$B38 - dis_BMI*($C38-21.75)))*AI38</f>
        <v>1.4359431874745583E-3</v>
      </c>
      <c r="BN38">
        <f>(0.955*0.943*(0.9442 - 0.0007*$B38 - dis_BMI*($C38-21.75)) - 0.19*0.5)*AJ38</f>
        <v>1.7970410494797183E-5</v>
      </c>
      <c r="BO38">
        <f>(0.955*0.943*(0.9442 - 0.0007*$B38 - dis_BMI*($C38-21.75)) - 0.15*0.5)*AK38</f>
        <v>1.5366756822467186E-5</v>
      </c>
      <c r="BP38">
        <f>(0.955*0.943*(0.9442 - 0.0007*$B38 - dis_BMI*($C38-21.75)))*AL38</f>
        <v>5.229306652700129E-5</v>
      </c>
      <c r="BQ38">
        <f>(0.93*(0.9442 - 0.0007*$B38 - dis_BMI*($C38-21.75)))*AM38</f>
        <v>2.566207861536367E-4</v>
      </c>
      <c r="BR38">
        <f>(0.93*(0.9442 - 0.0007*$B38 - dis_BMI*($C38-21.75)))*AN38</f>
        <v>2.6880601843624827E-3</v>
      </c>
      <c r="BS38">
        <f>(0.93*0.943*(0.9442 - 0.0007*$B38 - dis_BMI*($C38-21.75)))*AO38</f>
        <v>1.4416064344960082E-5</v>
      </c>
      <c r="BT38">
        <f>(0.93*0.943*(0.9442 - 0.0007*$B38 - dis_BMI*($C38-21.75))-0.19*0.5)*AP38</f>
        <v>2.6716785289669649E-5</v>
      </c>
      <c r="BU38">
        <f>(0.93*0.943*(0.9442 - 0.0007*$B38 - dis_BMI*($C38-21.75)))*AQ38</f>
        <v>9.1203514793265986E-5</v>
      </c>
      <c r="BV38">
        <f>0.962*(0.9442 - 0.0007*$B38 - dis_BMI*($C38-21.75))*AR38</f>
        <v>0.17355075354625449</v>
      </c>
      <c r="BW38">
        <f>0.962*0.959*(0.9442 - 0.0007*$B38 - dis_BMI*($C38-21.75))*AS38</f>
        <v>7.8854534716802357E-2</v>
      </c>
      <c r="BX38">
        <f>0.962*(0.943*(0.9442 - 0.0007*$B38 - dis_BMI*($C38-21.75)) - 0.19*0.5)*AT38</f>
        <v>4.894671132373885E-3</v>
      </c>
      <c r="BY38">
        <f>0.962*(0.943*(0.9442 - 0.0007*$B38 - dis_BMI*($C38-21.75)))*AU38</f>
        <v>2.0553229188045773E-2</v>
      </c>
      <c r="BZ38">
        <f>0.962*(0.955*(0.9442 - 0.0007*$B38 - dis_BMI*($C38-21.75)) - 0.15*0.5)*AV38</f>
        <v>2.2401827703752305E-3</v>
      </c>
      <c r="CA38">
        <f>0.962*(0.955*(0.9442 - 0.0007*$B38 - dis_BMI*($C38-21.75)))*AW38</f>
        <v>1.2319129686535691E-2</v>
      </c>
      <c r="CB38">
        <f>0.962*(0.955*0.943*(0.9442 - 0.0007*$B38 - dis_BMI*($C38-21.75)) - 0.19*0.5)*AX38</f>
        <v>2.5269812012770285E-4</v>
      </c>
      <c r="CC38">
        <f>0.962*(0.955*0.943*(0.9442 - 0.0007*$B38 - dis_BMI*($C38-21.75)) - 0.15*0.5)*AY38</f>
        <v>2.1224057623751922E-4</v>
      </c>
      <c r="CD38">
        <f>0.962*(0.955*0.943*(0.9442 - 0.0007*$B38 - dis_BMI*($C38-21.75)))*AZ38</f>
        <v>6.7115499532185768E-4</v>
      </c>
      <c r="CE38">
        <f>0.962*(0.93*(0.9442 - 0.0007*$B38 - dis_BMI*($C38-21.75)))*BA38</f>
        <v>2.2422131365198855E-3</v>
      </c>
      <c r="CF38">
        <f>0.962*(0.93*(0.9442 - 0.0007*$B38 - dis_BMI*($C38-21.75)))*BB38</f>
        <v>2.2353833690103055E-2</v>
      </c>
      <c r="CG38">
        <f>0.962*(0.93*0.943*(0.9442 - 0.0007*$B38 - dis_BMI*($C38-21.75)))*BC38</f>
        <v>1.9708734917571293E-4</v>
      </c>
      <c r="CH38">
        <f>0.962*(0.93*0.943*(0.9442 - 0.0007*$B38 - dis_BMI*($C38-21.75))-0.19*0.5)*BD38</f>
        <v>3.6336450878211407E-4</v>
      </c>
      <c r="CI38">
        <f>0.962*(0.93*0.943*(0.9442 - 0.0007*$B38 - dis_BMI*($C38-21.75)))*BE38</f>
        <v>1.1301048979970106E-3</v>
      </c>
      <c r="CJ38">
        <f t="shared" si="17"/>
        <v>0</v>
      </c>
      <c r="CK38">
        <f t="shared" si="18"/>
        <v>0.37718980742582742</v>
      </c>
      <c r="CL38">
        <f>CK38/(1+r_)^A38</f>
        <v>0.13404699538168185</v>
      </c>
      <c r="CM38">
        <f t="shared" si="19"/>
        <v>0</v>
      </c>
      <c r="CN38">
        <f>AE38*c_Other</f>
        <v>188.10605973154131</v>
      </c>
      <c r="CO38">
        <f>AF38*(c_Stroke1+c_Stroke2)</f>
        <v>19.817637766297217</v>
      </c>
      <c r="CP38">
        <f>AG38*c_Stroke2</f>
        <v>21.056169853393964</v>
      </c>
      <c r="CQ38">
        <f>AH38*(c_MI1+c_MI2)</f>
        <v>10.334609491716604</v>
      </c>
      <c r="CR38">
        <f>AI38*c_MI2</f>
        <v>5.6157183371957338</v>
      </c>
      <c r="CS38">
        <f>AJ38*(c_Stroke1+c_Stroke2+c_MI2)</f>
        <v>0.73713851457862811</v>
      </c>
      <c r="CT38">
        <f>AK38*(c_Stroke2+c_MI1+c_MI2)</f>
        <v>0.80970902459125904</v>
      </c>
      <c r="CU38">
        <f>AL38*(c_Stroke2+c_MI2)</f>
        <v>0.66911889005114522</v>
      </c>
      <c r="CV38">
        <f>AM38*(c_HF1)</f>
        <v>8.9369547113288945</v>
      </c>
      <c r="CW38">
        <f>AN38*(c_HF2)</f>
        <v>54.044865636622774</v>
      </c>
      <c r="CX38">
        <f>AO38*(c_Stroke2+c_HF1)</f>
        <v>0.66042005510378332</v>
      </c>
      <c r="CY38">
        <f>AP38*(c_Stroke1+c_Stroke2+c_HF2)</f>
        <v>1.6536023857168096</v>
      </c>
      <c r="CZ38">
        <f>AQ38*(c_Stroke2+c_HF2)</f>
        <v>2.7544955956378865</v>
      </c>
      <c r="DA38">
        <f>AR38*c_DM</f>
        <v>2469.6890106912729</v>
      </c>
      <c r="DB38">
        <f>AS38*(c_Other+c_DM)</f>
        <v>2632.4997325234317</v>
      </c>
      <c r="DC38">
        <f>AT38*(c_Stroke1+c_Stroke2+c_DM)</f>
        <v>259.1122364102647</v>
      </c>
      <c r="DD38">
        <f>AU38*(c_Stroke2+c_DM)</f>
        <v>486.61679443515652</v>
      </c>
      <c r="DE38">
        <f>AV38*(c_MI1+c_MI2+c_DM)</f>
        <v>130.86662765967284</v>
      </c>
      <c r="DF38">
        <f>AW38*(c_MI2+c_DM)</f>
        <v>233.64707727296306</v>
      </c>
      <c r="DG38">
        <f>AX38*(c_Stroke1+c_Stroke2+c_MI2+c_DM)</f>
        <v>15.345790616321986</v>
      </c>
      <c r="DH38">
        <f>AY38*(c_Stroke2+c_MI1+c_MI2+c_DM)</f>
        <v>15.350691474006286</v>
      </c>
      <c r="DI38">
        <f>AZ38*(c_Stroke2+c_MI2+c_DM)</f>
        <v>19.53234271047528</v>
      </c>
      <c r="DJ38">
        <f>BA38*(c_HF1+c_DM)</f>
        <v>115.47987806380175</v>
      </c>
      <c r="DK38">
        <f>BB38*(c_HF2+c_DM)</f>
        <v>809.23502131309374</v>
      </c>
      <c r="DL38">
        <f>BC38*(c_Stroke2+c_HF1+c_DM)</f>
        <v>12.583506153615504</v>
      </c>
      <c r="DM38">
        <f>BD38*(c_Stroke1+c_Stroke2+c_HF2+c_DM)</f>
        <v>30.153899284670882</v>
      </c>
      <c r="DN38">
        <f>BE38*(c_Stroke2+c_HF2+c_DM)</f>
        <v>53.816720143566712</v>
      </c>
      <c r="DO38">
        <f t="shared" si="20"/>
        <v>0</v>
      </c>
      <c r="DP38">
        <f t="shared" si="21"/>
        <v>7599.1258287460896</v>
      </c>
      <c r="DQ38">
        <f>DP38/(1+r_)^A38</f>
        <v>2700.6031573932628</v>
      </c>
    </row>
    <row r="39" spans="1:121" x14ac:dyDescent="0.3">
      <c r="A39">
        <v>36</v>
      </c>
      <c r="B39">
        <v>81</v>
      </c>
      <c r="C39">
        <f t="shared" si="40"/>
        <v>38</v>
      </c>
      <c r="D39">
        <f t="shared" si="1"/>
        <v>125</v>
      </c>
      <c r="E39">
        <f t="shared" si="41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2"/>
        <v>5.6857293942168513E-2</v>
      </c>
      <c r="J39">
        <f t="shared" si="23"/>
        <v>0.34302617099026045</v>
      </c>
      <c r="K39">
        <f t="shared" si="24"/>
        <v>0.4447639670116309</v>
      </c>
      <c r="L39">
        <f t="shared" si="25"/>
        <v>0.18035184264821202</v>
      </c>
      <c r="M39">
        <f t="shared" si="26"/>
        <v>0.24310434661734215</v>
      </c>
      <c r="N39">
        <f t="shared" si="27"/>
        <v>0.6905757945372577</v>
      </c>
      <c r="O39">
        <f t="shared" si="28"/>
        <v>0.80938422131799581</v>
      </c>
      <c r="P39">
        <f t="shared" si="29"/>
        <v>0.43842378462305887</v>
      </c>
      <c r="Q39">
        <f t="shared" si="30"/>
        <v>0.55749592219456456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2.8248715839379088E-2</v>
      </c>
      <c r="U39">
        <f t="shared" si="31"/>
        <v>0.5991994123077885</v>
      </c>
      <c r="V39">
        <f t="shared" si="32"/>
        <v>0.72208974458007824</v>
      </c>
      <c r="W39">
        <f t="shared" si="33"/>
        <v>0.35132562887889318</v>
      </c>
      <c r="X39">
        <f t="shared" si="34"/>
        <v>0.45456240685269356</v>
      </c>
      <c r="Y39">
        <f t="shared" si="35"/>
        <v>0.86413728662314848</v>
      </c>
      <c r="Z39">
        <f t="shared" si="36"/>
        <v>0.94042277034795829</v>
      </c>
      <c r="AA39">
        <f t="shared" si="37"/>
        <v>0.62538891148654374</v>
      </c>
      <c r="AB39">
        <f t="shared" si="38"/>
        <v>0.75026802500456935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4.701340747258706E-2</v>
      </c>
      <c r="AD39">
        <f t="shared" si="39"/>
        <v>4.0804218497822092E-2</v>
      </c>
      <c r="AE39">
        <f t="shared" si="5"/>
        <v>1.1927091080973347E-2</v>
      </c>
      <c r="AF39">
        <f t="shared" si="6"/>
        <v>7.5141506831627024E-4</v>
      </c>
      <c r="AG39">
        <f t="shared" si="7"/>
        <v>2.8431909799594064E-3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3.2023843322303072E-4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1.5702526411851621E-3</v>
      </c>
      <c r="AJ39">
        <f t="shared" si="10"/>
        <v>2.428613542741102E-5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2.0591614226482362E-5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5.8108825715312273E-5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2.943172232604191E-4</v>
      </c>
      <c r="AN39">
        <f t="shared" si="14"/>
        <v>3.2777458232409718E-3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1.749241218575163E-5</v>
      </c>
      <c r="AP39">
        <f>AM38*T38*p_Stroke*p_Stroke_rec*(1-I38) + AN38*T38*p_Stroke*p_Stroke_rec*(1-I38) + AO38*(p_recur_Stroke*p_Stroke_rec)*(1-I38) + AP38*(p_recur_Stroke*p_Stroke_rec)*(1-I38) + AQ38*(p_recur_Stroke*p_Stroke_rec)*(1-I38)</f>
        <v>4.0203732155314296E-5</v>
      </c>
      <c r="AQ39">
        <f>AO38*(1-p_recur_Stroke-H38*rr_Stroke*rr_HF)*(1-I38) + AP38*(1-p_recur_Stroke-H38*rr_Stroke*rr_HF)*(1-I38) + AQ38*(1-p_recur_Stroke-H38*rr_Stroke*rr_HF)*(1-I38)</f>
        <v>1.1188860336809827E-4</v>
      </c>
      <c r="AR39">
        <f>AR38*(1-AC38-H38*rr_DM) + AD38*(1-T38-H38)*I38</f>
        <v>0.19808179086461936</v>
      </c>
      <c r="AS39">
        <f>AR38*AC38*p_Other + AD38*T38*p_Other*I38 + AE38*(1-T38*p_Stroke-T38*p_MI-H38*rr_Other)*I38 + AS38*(1-AC38*p_Stroke-AC38*p_MI-H38*rr_Other*rr_DM)</f>
        <v>9.6934006465137126E-2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6.9530029571977826E-3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2.48840803739621E-2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3.0520738071419355E-3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1.471440294169169E-2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3.71770570145629E-4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3.0866066273996034E-4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8.0299383929218729E-4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2.8077228861846009E-3</v>
      </c>
      <c r="BB39">
        <f>AM38*(1-T38*p_Stroke - H38*rr_HF)*I38 + AN38*(1-T38*p_Stroke - H38*rr_HF)*I38 + BA38*(1-AC38*p_Stroke - H38*rr_HF*rr_DM) + BB38*(1-AC38*p_Stroke - H38*rr_HF*rr_DM)</f>
        <v>2.9849033262848244E-2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2.5976952339913081E-4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5.964216108345743E-4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1.4947557619115273E-3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0.5318284734018347</v>
      </c>
      <c r="BG39">
        <f t="shared" si="16"/>
        <v>0.97499999999999964</v>
      </c>
      <c r="BH39">
        <f>(0.9442 - 0.0007*$B39 - dis_BMI*($C39-21.75))*AD39</f>
        <v>3.4025617699871398E-2</v>
      </c>
      <c r="BI39">
        <f>0.959*(0.9442 - 0.0007*$B39 - dis_BMI*($C39-21.75))*AE39</f>
        <v>9.5379292490656367E-3</v>
      </c>
      <c r="BJ39">
        <f>(0.943*(0.9442 - 0.0007*$B39 - dis_BMI*($C39-21.75)) - 0.19*0.5)*AF39</f>
        <v>5.1948639291692707E-4</v>
      </c>
      <c r="BK39">
        <f>(0.943*(0.9442 - 0.0007*$B39 - dis_BMI*($C39-21.75)))*AG39</f>
        <v>2.2357265233440716E-3</v>
      </c>
      <c r="BL39">
        <f>(0.955*(0.9442 - 0.0007*$B39 - dis_BMI*($C39-21.75)) - 0.15*0.5)*AH39</f>
        <v>2.3100419395445399E-4</v>
      </c>
      <c r="BM39">
        <f>(0.955*(0.9442 - 0.0007*$B39 - dis_BMI*($C39-21.75)))*AI39</f>
        <v>1.2504716722157045E-3</v>
      </c>
      <c r="BN39">
        <f>(0.955*0.943*(0.9442 - 0.0007*$B39 - dis_BMI*($C39-21.75)) - 0.19*0.5)*AJ39</f>
        <v>1.5930700350641516E-5</v>
      </c>
      <c r="BO39">
        <f>(0.955*0.943*(0.9442 - 0.0007*$B39 - dis_BMI*($C39-21.75)) - 0.15*0.5)*AK39</f>
        <v>1.391907953506791E-5</v>
      </c>
      <c r="BP39">
        <f>(0.955*0.943*(0.9442 - 0.0007*$B39 - dis_BMI*($C39-21.75)))*AL39</f>
        <v>4.3637324694849914E-5</v>
      </c>
      <c r="BQ39">
        <f>(0.93*(0.9442 - 0.0007*$B39 - dis_BMI*($C39-21.75)))*AM39</f>
        <v>2.2824411032804225E-4</v>
      </c>
      <c r="BR39">
        <f>(0.93*(0.9442 - 0.0007*$B39 - dis_BMI*($C39-21.75)))*AN39</f>
        <v>2.541904177470211E-3</v>
      </c>
      <c r="BS39">
        <f>(0.93*0.943*(0.9442 - 0.0007*$B39 - dis_BMI*($C39-21.75)))*AO39</f>
        <v>1.2792201665540109E-5</v>
      </c>
      <c r="BT39">
        <f>(0.93*0.943*(0.9442 - 0.0007*$B39 - dis_BMI*($C39-21.75))-0.19*0.5)*AP39</f>
        <v>2.5581636227811782E-5</v>
      </c>
      <c r="BU39">
        <f>(0.93*0.943*(0.9442 - 0.0007*$B39 - dis_BMI*($C39-21.75)))*AQ39</f>
        <v>8.1824139699052139E-5</v>
      </c>
      <c r="BV39">
        <f>0.962*(0.9442 - 0.0007*$B39 - dis_BMI*($C39-21.75))*AR39</f>
        <v>0.15889878612965955</v>
      </c>
      <c r="BW39">
        <f>0.962*0.959*(0.9442 - 0.0007*$B39 - dis_BMI*($C39-21.75))*AS39</f>
        <v>7.4571142370418897E-2</v>
      </c>
      <c r="BX39">
        <f>0.962*(0.943*(0.9442 - 0.0007*$B39 - dis_BMI*($C39-21.75)) - 0.19*0.5)*AT39</f>
        <v>4.624254871234793E-3</v>
      </c>
      <c r="BY39">
        <f>0.962*(0.943*(0.9442 - 0.0007*$B39 - dis_BMI*($C39-21.75)))*AU39</f>
        <v>1.8823887292585367E-2</v>
      </c>
      <c r="BZ39">
        <f>0.962*(0.955*(0.9442 - 0.0007*$B39 - dis_BMI*($C39-21.75)) - 0.15*0.5)*AV39</f>
        <v>2.117953965091502E-3</v>
      </c>
      <c r="CA39">
        <f>0.962*(0.955*(0.9442 - 0.0007*$B39 - dis_BMI*($C39-21.75)))*AW39</f>
        <v>1.1272546667911531E-2</v>
      </c>
      <c r="CB39">
        <f>0.962*(0.955*0.943*(0.9442 - 0.0007*$B39 - dis_BMI*($C39-21.75)) - 0.19*0.5)*AX39</f>
        <v>2.3459920489300379E-4</v>
      </c>
      <c r="CC39">
        <f>0.962*(0.955*0.943*(0.9442 - 0.0007*$B39 - dis_BMI*($C39-21.75)) - 0.15*0.5)*AY39</f>
        <v>2.0071345163294636E-4</v>
      </c>
      <c r="CD39">
        <f>0.962*(0.955*0.943*(0.9442 - 0.0007*$B39 - dis_BMI*($C39-21.75)))*AZ39</f>
        <v>5.8010058486407628E-4</v>
      </c>
      <c r="CE39">
        <f>0.962*(0.93*(0.9442 - 0.0007*$B39 - dis_BMI*($C39-21.75)))*BA39</f>
        <v>2.0946584413634962E-3</v>
      </c>
      <c r="CF39">
        <f>0.962*(0.93*(0.9442 - 0.0007*$B39 - dis_BMI*($C39-21.75)))*BB39</f>
        <v>2.2268411814503435E-2</v>
      </c>
      <c r="CG39">
        <f>0.962*(0.93*0.943*(0.9442 - 0.0007*$B39 - dis_BMI*($C39-21.75)))*BC39</f>
        <v>1.8275062232704927E-4</v>
      </c>
      <c r="CH39">
        <f>0.962*(0.93*0.943*(0.9442 - 0.0007*$B39 - dis_BMI*($C39-21.75))-0.19*0.5)*BD39</f>
        <v>3.6508197507573875E-4</v>
      </c>
      <c r="CI39">
        <f>0.962*(0.93*0.943*(0.9442 - 0.0007*$B39 - dis_BMI*($C39-21.75)))*BE39</f>
        <v>1.0515765750417059E-3</v>
      </c>
      <c r="CJ39">
        <f t="shared" si="17"/>
        <v>0</v>
      </c>
      <c r="CK39">
        <f t="shared" si="18"/>
        <v>0.34805053306794254</v>
      </c>
      <c r="CL39">
        <f>CK39/(1+r_)^A39</f>
        <v>0.12008871946670477</v>
      </c>
      <c r="CM39">
        <f t="shared" si="19"/>
        <v>0</v>
      </c>
      <c r="CN39">
        <f>AE39*c_Other</f>
        <v>170.30693354521841</v>
      </c>
      <c r="CO39">
        <f>AF39*(c_Stroke1+c_Stroke2)</f>
        <v>17.895701267020293</v>
      </c>
      <c r="CP39">
        <f>AG39*c_Stroke2</f>
        <v>18.48074136973614</v>
      </c>
      <c r="CQ39">
        <f>AH39*(c_MI1+c_MI2)</f>
        <v>9.335270566884569</v>
      </c>
      <c r="CR39">
        <f>AI39*c_MI2</f>
        <v>4.8944774825741506</v>
      </c>
      <c r="CS39">
        <f>AJ39*(c_Stroke1+c_Stroke2+c_MI2)</f>
        <v>0.65409848546646099</v>
      </c>
      <c r="CT39">
        <f>AK39*(c_Stroke2+c_MI1+c_MI2)</f>
        <v>0.73411163878832275</v>
      </c>
      <c r="CU39">
        <f>AL39*(c_Stroke2+c_MI2)</f>
        <v>0.55883257690415811</v>
      </c>
      <c r="CV39">
        <f>AM39*(c_HF1)</f>
        <v>7.9553945447291285</v>
      </c>
      <c r="CW39">
        <f>AN39*(c_HF2)</f>
        <v>51.149223571675364</v>
      </c>
      <c r="CX39">
        <f>AO39*(c_Stroke2+c_HF1)</f>
        <v>0.58652058058825218</v>
      </c>
      <c r="CY39">
        <f>AP39*(c_Stroke1+c_Stroke2+c_HF2)</f>
        <v>1.5848713252946449</v>
      </c>
      <c r="CZ39">
        <f>AQ39*(c_Stroke2+c_HF2)</f>
        <v>2.4732975774518122</v>
      </c>
      <c r="DA39">
        <f>AR39*c_DM</f>
        <v>2263.0844606282762</v>
      </c>
      <c r="DB39">
        <f>AS39*(c_Other+c_DM)</f>
        <v>2491.5917021798846</v>
      </c>
      <c r="DC39">
        <f>AT39*(c_Stroke1+c_Stroke2+c_DM)</f>
        <v>245.03077721460707</v>
      </c>
      <c r="DD39">
        <f>AU39*(c_Stroke2+c_DM)</f>
        <v>446.04714070327066</v>
      </c>
      <c r="DE39">
        <f>AV39*(c_MI1+c_MI2+c_DM)</f>
        <v>123.84094679859118</v>
      </c>
      <c r="DF39">
        <f>AW39*(c_MI2+c_DM)</f>
        <v>213.97684757808054</v>
      </c>
      <c r="DG39">
        <f>AX39*(c_Stroke1+c_Stroke2+c_MI2+c_DM)</f>
        <v>14.260375529646037</v>
      </c>
      <c r="DH39">
        <f>AY39*(c_Stroke2+c_MI1+c_MI2+c_DM)</f>
        <v>14.530509359146373</v>
      </c>
      <c r="DI39">
        <f>AZ39*(c_Stroke2+c_MI2+c_DM)</f>
        <v>16.896596366386206</v>
      </c>
      <c r="DJ39">
        <f>BA39*(c_HF1+c_DM)</f>
        <v>107.97098358822883</v>
      </c>
      <c r="DK39">
        <f>BB39*(c_HF2+c_DM)</f>
        <v>806.81936909478804</v>
      </c>
      <c r="DL39">
        <f>BC39*(c_Stroke2+c_HF1+c_DM)</f>
        <v>11.677938924407925</v>
      </c>
      <c r="DM39">
        <f>BD39*(c_Stroke1+c_Stroke2+c_HF2+c_DM)</f>
        <v>30.325653224494765</v>
      </c>
      <c r="DN39">
        <f>BE39*(c_Stroke2+c_HF2+c_DM)</f>
        <v>50.119160696893509</v>
      </c>
      <c r="DO39">
        <f t="shared" si="20"/>
        <v>0</v>
      </c>
      <c r="DP39">
        <f t="shared" si="21"/>
        <v>7122.7819364190318</v>
      </c>
      <c r="DQ39">
        <f>DP39/(1+r_)^A39</f>
        <v>2457.5907246726219</v>
      </c>
    </row>
    <row r="40" spans="1:121" x14ac:dyDescent="0.3">
      <c r="A40">
        <v>37</v>
      </c>
      <c r="B40">
        <v>82</v>
      </c>
      <c r="C40">
        <f t="shared" si="40"/>
        <v>38</v>
      </c>
      <c r="D40">
        <f t="shared" si="1"/>
        <v>125</v>
      </c>
      <c r="E40">
        <f t="shared" si="41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2"/>
        <v>5.6857293942168513E-2</v>
      </c>
      <c r="J40">
        <f t="shared" si="23"/>
        <v>0.35233031541321358</v>
      </c>
      <c r="K40">
        <f t="shared" si="24"/>
        <v>0.4557451613128809</v>
      </c>
      <c r="L40">
        <f t="shared" si="25"/>
        <v>0.18586767672062565</v>
      </c>
      <c r="M40">
        <f t="shared" si="26"/>
        <v>0.2502281800921794</v>
      </c>
      <c r="N40">
        <f t="shared" si="27"/>
        <v>0.70439030564318561</v>
      </c>
      <c r="O40">
        <f t="shared" si="28"/>
        <v>0.82129720402693818</v>
      </c>
      <c r="P40">
        <f t="shared" si="29"/>
        <v>0.45089959392332568</v>
      </c>
      <c r="Q40">
        <f t="shared" si="30"/>
        <v>0.57132236315604945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2.9016689960849853E-2</v>
      </c>
      <c r="U40">
        <f t="shared" si="31"/>
        <v>0.61144973630905686</v>
      </c>
      <c r="V40">
        <f t="shared" si="32"/>
        <v>0.73391257508487096</v>
      </c>
      <c r="W40">
        <f t="shared" si="33"/>
        <v>0.36078820143315704</v>
      </c>
      <c r="X40">
        <f t="shared" si="34"/>
        <v>0.46567291162597557</v>
      </c>
      <c r="Y40">
        <f t="shared" si="35"/>
        <v>0.87429661881321319</v>
      </c>
      <c r="Z40">
        <f t="shared" si="36"/>
        <v>0.94661893534220676</v>
      </c>
      <c r="AA40">
        <f t="shared" si="37"/>
        <v>0.63943986891067062</v>
      </c>
      <c r="AB40">
        <f t="shared" si="38"/>
        <v>0.76340018424481659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4.8051648685427842E-2</v>
      </c>
      <c r="AD40">
        <f t="shared" si="39"/>
        <v>3.5589776742937493E-2</v>
      </c>
      <c r="AE40">
        <f t="shared" si="5"/>
        <v>1.0700155319462615E-2</v>
      </c>
      <c r="AF40">
        <f t="shared" si="6"/>
        <v>6.7155733981114855E-4</v>
      </c>
      <c r="AG40">
        <f t="shared" si="7"/>
        <v>2.4639970154719431E-3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2.8766108910934353E-4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1.3643588498101723E-3</v>
      </c>
      <c r="AJ40">
        <f t="shared" si="10"/>
        <v>2.1381038276629666E-5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1.8429894675323419E-5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4.7949137288254608E-5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2.6088129058328587E-4</v>
      </c>
      <c r="AN40">
        <f t="shared" si="14"/>
        <v>3.0591280652466908E-3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1.5345961169934733E-5</v>
      </c>
      <c r="AP40">
        <f>AM39*T39*p_Stroke*p_Stroke_rec*(1-I39) + AN39*T39*p_Stroke*p_Stroke_rec*(1-I39) + AO39*(p_recur_Stroke*p_Stroke_rec)*(1-I39) + AP39*(p_recur_Stroke*p_Stroke_rec)*(1-I39) + AQ39*(p_recur_Stroke*p_Stroke_rec)*(1-I39)</f>
        <v>3.7795412891505409E-5</v>
      </c>
      <c r="AQ40">
        <f>AO39*(1-p_recur_Stroke-H39*rr_Stroke*rr_HF)*(1-I39) + AP39*(1-p_recur_Stroke-H39*rr_Stroke*rr_HF)*(1-I39) + AQ39*(1-p_recur_Stroke-H39*rr_Stroke*rr_HF)*(1-I39)</f>
        <v>9.796105812922266E-5</v>
      </c>
      <c r="AR40">
        <f>AR39*(1-AC39-H39*rr_DM) + AD39*(1-T39-H39)*I39</f>
        <v>0.18021715356822632</v>
      </c>
      <c r="AS40">
        <f>AR39*AC39*p_Other + AD39*T39*p_Other*I39 + AE39*(1-T39*p_Stroke-T39*p_MI-H39*rr_Other)*I39 + AS39*(1-AC39*p_Stroke-AC39*p_MI-H39*rr_Other*rr_DM)</f>
        <v>9.0703611134043877E-2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6.4901268620290694E-3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2.245415425427031E-2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2.8651664391143267E-3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1.3402789918190904E-2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3.4180065084163169E-4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2.874767131528967E-4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6.8351161375041457E-4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2.6076236468772001E-3</v>
      </c>
      <c r="BB40">
        <f>AM39*(1-T39*p_Stroke - H39*rr_HF)*I39 + AN39*(1-T39*p_Stroke - H39*rr_HF)*I39 + BA39*(1-AC39*p_Stroke - H39*rr_HF*rr_DM) + BB39*(1-AC39*p_Stroke - H39*rr_HF*rr_DM)</f>
        <v>2.9278174801645632E-2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2.3730772354481005E-4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5.8669365039502072E-4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1.3514646514109212E-3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0.56885656615764268</v>
      </c>
      <c r="BG40">
        <f t="shared" si="16"/>
        <v>0.97499999999999953</v>
      </c>
      <c r="BH40">
        <f>(0.9442 - 0.0007*$B40 - dis_BMI*($C40-21.75))*AD40</f>
        <v>2.9652512237796944E-2</v>
      </c>
      <c r="BI40">
        <f>0.959*(0.9442 - 0.0007*$B40 - dis_BMI*($C40-21.75))*AE40</f>
        <v>8.5495827300532401E-3</v>
      </c>
      <c r="BJ40">
        <f>(0.943*(0.9442 - 0.0007*$B40 - dis_BMI*($C40-21.75)) - 0.19*0.5)*AF40</f>
        <v>4.6383392647905686E-4</v>
      </c>
      <c r="BK40">
        <f>(0.943*(0.9442 - 0.0007*$B40 - dis_BMI*($C40-21.75)))*AG40</f>
        <v>1.9359230927039836E-3</v>
      </c>
      <c r="BL40">
        <f>(0.955*(0.9442 - 0.0007*$B40 - dis_BMI*($C40-21.75)) - 0.15*0.5)*AH40</f>
        <v>2.0731220497913606E-4</v>
      </c>
      <c r="BM40">
        <f>(0.955*(0.9442 - 0.0007*$B40 - dis_BMI*($C40-21.75)))*AI40</f>
        <v>1.0855959488795138E-3</v>
      </c>
      <c r="BN40">
        <f>(0.955*0.943*(0.9442 - 0.0007*$B40 - dis_BMI*($C40-21.75)) - 0.19*0.5)*AJ40</f>
        <v>1.4011598266047876E-5</v>
      </c>
      <c r="BO40">
        <f>(0.955*0.943*(0.9442 - 0.0007*$B40 - dis_BMI*($C40-21.75)) - 0.15*0.5)*AK40</f>
        <v>1.2446228405887378E-5</v>
      </c>
      <c r="BP40">
        <f>(0.955*0.943*(0.9442 - 0.0007*$B40 - dis_BMI*($C40-21.75)))*AL40</f>
        <v>3.5977591976817356E-5</v>
      </c>
      <c r="BQ40">
        <f>(0.93*(0.9442 - 0.0007*$B40 - dis_BMI*($C40-21.75)))*AM40</f>
        <v>2.0214458543200818E-4</v>
      </c>
      <c r="BR40">
        <f>(0.93*(0.9442 - 0.0007*$B40 - dis_BMI*($C40-21.75)))*AN40</f>
        <v>2.370373793958578E-3</v>
      </c>
      <c r="BS40">
        <f>(0.93*0.943*(0.9442 - 0.0007*$B40 - dis_BMI*($C40-21.75)))*AO40</f>
        <v>1.1213081181723869E-5</v>
      </c>
      <c r="BT40">
        <f>(0.93*0.943*(0.9442 - 0.0007*$B40 - dis_BMI*($C40-21.75))-0.19*0.5)*AP40</f>
        <v>2.4026020253542407E-5</v>
      </c>
      <c r="BU40">
        <f>(0.93*0.943*(0.9442 - 0.0007*$B40 - dis_BMI*($C40-21.75)))*AQ40</f>
        <v>7.1578787753130764E-5</v>
      </c>
      <c r="BV40">
        <f>0.962*(0.9442 - 0.0007*$B40 - dis_BMI*($C40-21.75))*AR40</f>
        <v>0.1444466347010871</v>
      </c>
      <c r="BW40">
        <f>0.962*0.959*(0.9442 - 0.0007*$B40 - dis_BMI*($C40-21.75))*AS40</f>
        <v>6.9719535838004942E-2</v>
      </c>
      <c r="BX40">
        <f>0.962*(0.943*(0.9442 - 0.0007*$B40 - dis_BMI*($C40-21.75)) - 0.19*0.5)*AT40</f>
        <v>4.3122871199614363E-3</v>
      </c>
      <c r="BY40">
        <f>0.962*(0.943*(0.9442 - 0.0007*$B40 - dis_BMI*($C40-21.75)))*AU40</f>
        <v>1.6971479221352261E-2</v>
      </c>
      <c r="BZ40">
        <f>0.962*(0.955*(0.9442 - 0.0007*$B40 - dis_BMI*($C40-21.75)) - 0.15*0.5)*AV40</f>
        <v>1.9864090167824515E-3</v>
      </c>
      <c r="CA40">
        <f>0.962*(0.955*(0.9442 - 0.0007*$B40 - dis_BMI*($C40-21.75)))*AW40</f>
        <v>1.0259114669239395E-2</v>
      </c>
      <c r="CB40">
        <f>0.962*(0.955*0.943*(0.9442 - 0.0007*$B40 - dis_BMI*($C40-21.75)) - 0.19*0.5)*AX40</f>
        <v>2.1547993870106613E-4</v>
      </c>
      <c r="CC40">
        <f>0.962*(0.955*0.943*(0.9442 - 0.0007*$B40 - dis_BMI*($C40-21.75)) - 0.15*0.5)*AY40</f>
        <v>1.8676378038225974E-4</v>
      </c>
      <c r="CD40">
        <f>0.962*(0.955*0.943*(0.9442 - 0.0007*$B40 - dis_BMI*($C40-21.75)))*AZ40</f>
        <v>4.9336946219860221E-4</v>
      </c>
      <c r="CE40">
        <f>0.962*(0.93*(0.9442 - 0.0007*$B40 - dis_BMI*($C40-21.75)))*BA40</f>
        <v>1.9437444283054101E-3</v>
      </c>
      <c r="CF40">
        <f>0.962*(0.93*(0.9442 - 0.0007*$B40 - dis_BMI*($C40-21.75)))*BB40</f>
        <v>2.1824195838154464E-2</v>
      </c>
      <c r="CG40">
        <f>0.962*(0.93*0.943*(0.9442 - 0.0007*$B40 - dis_BMI*($C40-21.75)))*BC40</f>
        <v>1.668083615997395E-4</v>
      </c>
      <c r="CH40">
        <f>0.962*(0.93*0.943*(0.9442 - 0.0007*$B40 - dis_BMI*($C40-21.75))-0.19*0.5)*BD40</f>
        <v>3.5878080898109734E-4</v>
      </c>
      <c r="CI40">
        <f>0.962*(0.93*0.943*(0.9442 - 0.0007*$B40 - dis_BMI*($C40-21.75)))*BE40</f>
        <v>9.499716271107819E-4</v>
      </c>
      <c r="CJ40">
        <f t="shared" si="17"/>
        <v>0</v>
      </c>
      <c r="CK40">
        <f t="shared" si="18"/>
        <v>0.31847110663998063</v>
      </c>
      <c r="CL40">
        <f>CK40/(1+r_)^A40</f>
        <v>0.10668238663541674</v>
      </c>
      <c r="CM40">
        <f t="shared" si="19"/>
        <v>0</v>
      </c>
      <c r="CN40">
        <f>AE40*c_Other</f>
        <v>152.78751780660667</v>
      </c>
      <c r="CO40">
        <f>AF40*(c_Stroke1+c_Stroke2)</f>
        <v>15.993809604942314</v>
      </c>
      <c r="CP40">
        <f>AG40*c_Stroke2</f>
        <v>16.01598060056763</v>
      </c>
      <c r="CQ40">
        <f>AH40*(c_MI1+c_MI2)</f>
        <v>8.3856084086264726</v>
      </c>
      <c r="CR40">
        <f>AI40*c_MI2</f>
        <v>4.2527065348583069</v>
      </c>
      <c r="CS40">
        <f>AJ40*(c_Stroke1+c_Stroke2+c_MI2)</f>
        <v>0.57585550390446683</v>
      </c>
      <c r="CT40">
        <f>AK40*(c_Stroke2+c_MI1+c_MI2)</f>
        <v>0.65704417506995516</v>
      </c>
      <c r="CU40">
        <f>AL40*(c_Stroke2+c_MI2)</f>
        <v>0.46112685330114456</v>
      </c>
      <c r="CV40">
        <f>AM40*(c_HF1)</f>
        <v>7.0516212844662167</v>
      </c>
      <c r="CW40">
        <f>AN40*(c_HF2)</f>
        <v>47.737693458174611</v>
      </c>
      <c r="CX40">
        <f>AO40*(c_Stroke2+c_HF1)</f>
        <v>0.51455007802791164</v>
      </c>
      <c r="CY40">
        <f>AP40*(c_Stroke1+c_Stroke2+c_HF2)</f>
        <v>1.4899329715960348</v>
      </c>
      <c r="CZ40">
        <f>AQ40*(c_Stroke2+c_HF2)</f>
        <v>2.165429189946467</v>
      </c>
      <c r="DA40">
        <f>AR40*c_DM</f>
        <v>2058.9809795169858</v>
      </c>
      <c r="DB40">
        <f>AS40*(c_Other+c_DM)</f>
        <v>2331.4456205894639</v>
      </c>
      <c r="DC40">
        <f>AT40*(c_Stroke1+c_Stroke2+c_DM)</f>
        <v>228.71856074476642</v>
      </c>
      <c r="DD40">
        <f>AU40*(c_Stroke2+c_DM)</f>
        <v>402.4907150077953</v>
      </c>
      <c r="DE40">
        <f>AV40*(c_MI1+c_MI2+c_DM)</f>
        <v>116.25699343350291</v>
      </c>
      <c r="DF40">
        <f>AW40*(c_MI2+c_DM)</f>
        <v>194.90337099033212</v>
      </c>
      <c r="DG40">
        <f>AX40*(c_Stroke1+c_Stroke2+c_MI2+c_DM)</f>
        <v>13.110789364983308</v>
      </c>
      <c r="DH40">
        <f>AY40*(c_Stroke2+c_MI1+c_MI2+c_DM)</f>
        <v>13.533253748385766</v>
      </c>
      <c r="DI40">
        <f>AZ40*(c_Stroke2+c_MI2+c_DM)</f>
        <v>14.382451376536224</v>
      </c>
      <c r="DJ40">
        <f>BA40*(c_HF1+c_DM)</f>
        <v>100.27616734066272</v>
      </c>
      <c r="DK40">
        <f>BB40*(c_HF2+c_DM)</f>
        <v>791.38906488848147</v>
      </c>
      <c r="DL40">
        <f>BC40*(c_Stroke2+c_HF1+c_DM)</f>
        <v>10.668168711956936</v>
      </c>
      <c r="DM40">
        <f>BD40*(c_Stroke1+c_Stroke2+c_HF2+c_DM)</f>
        <v>29.831025347985225</v>
      </c>
      <c r="DN40">
        <f>BE40*(c_Stroke2+c_HF2+c_DM)</f>
        <v>45.314609761808185</v>
      </c>
      <c r="DO40">
        <f t="shared" si="20"/>
        <v>0</v>
      </c>
      <c r="DP40">
        <f t="shared" si="21"/>
        <v>6609.390647293736</v>
      </c>
      <c r="DQ40">
        <f>DP40/(1+r_)^A40</f>
        <v>2214.0330904686825</v>
      </c>
    </row>
    <row r="41" spans="1:121" x14ac:dyDescent="0.3">
      <c r="A41">
        <v>38</v>
      </c>
      <c r="B41">
        <v>83</v>
      </c>
      <c r="C41">
        <f t="shared" si="40"/>
        <v>38</v>
      </c>
      <c r="D41">
        <f t="shared" si="1"/>
        <v>125</v>
      </c>
      <c r="E41">
        <f t="shared" si="41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2"/>
        <v>5.6857293942168513E-2</v>
      </c>
      <c r="J41">
        <f t="shared" si="23"/>
        <v>0.3616958311232209</v>
      </c>
      <c r="K41">
        <f t="shared" si="24"/>
        <v>0.46673516473010246</v>
      </c>
      <c r="L41">
        <f t="shared" si="25"/>
        <v>0.19146219825597877</v>
      </c>
      <c r="M41">
        <f t="shared" si="26"/>
        <v>0.25743392138944554</v>
      </c>
      <c r="N41">
        <f t="shared" si="27"/>
        <v>0.71792455052344994</v>
      </c>
      <c r="O41">
        <f t="shared" si="28"/>
        <v>0.83274764483152808</v>
      </c>
      <c r="P41">
        <f t="shared" si="29"/>
        <v>0.46341301152543724</v>
      </c>
      <c r="Q41">
        <f t="shared" si="30"/>
        <v>0.5850607580528765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2.9788737964754161E-2</v>
      </c>
      <c r="U41">
        <f t="shared" si="31"/>
        <v>0.62357355687228222</v>
      </c>
      <c r="V41">
        <f t="shared" si="32"/>
        <v>0.74546725094971622</v>
      </c>
      <c r="W41">
        <f t="shared" si="33"/>
        <v>0.37030903647935809</v>
      </c>
      <c r="X41">
        <f t="shared" si="34"/>
        <v>0.47678553881530905</v>
      </c>
      <c r="Y41">
        <f t="shared" si="35"/>
        <v>0.88393198212988211</v>
      </c>
      <c r="Z41">
        <f t="shared" si="36"/>
        <v>0.9523075954032747</v>
      </c>
      <c r="AA41">
        <f t="shared" si="37"/>
        <v>0.65330994068916315</v>
      </c>
      <c r="AB41">
        <f t="shared" si="38"/>
        <v>0.77615763816391115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4.9083856767295375E-2</v>
      </c>
      <c r="AD41">
        <f t="shared" si="39"/>
        <v>3.0766723775460747E-2</v>
      </c>
      <c r="AE41">
        <f t="shared" si="5"/>
        <v>9.4528723659668881E-3</v>
      </c>
      <c r="AF41">
        <f t="shared" si="6"/>
        <v>5.9454039023424158E-4</v>
      </c>
      <c r="AG41">
        <f t="shared" si="7"/>
        <v>2.0801123404809553E-3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2.5698770937982774E-4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1.1737038215168731E-3</v>
      </c>
      <c r="AJ41">
        <f t="shared" si="10"/>
        <v>1.8704407254018011E-5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1.6307531522961791E-5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3.7821003828552441E-5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2.302802292894307E-4</v>
      </c>
      <c r="AN41">
        <f t="shared" si="14"/>
        <v>2.8004069158559753E-3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1.332471738979092E-5</v>
      </c>
      <c r="AP41">
        <f>AM40*T40*p_Stroke*p_Stroke_rec*(1-I40) + AN40*T40*p_Stroke*p_Stroke_rec*(1-I40) + AO40*(p_recur_Stroke*p_Stroke_rec)*(1-I40) + AP40*(p_recur_Stroke*p_Stroke_rec)*(1-I40) + AQ40*(p_recur_Stroke*p_Stroke_rec)*(1-I40)</f>
        <v>3.4958847132098593E-5</v>
      </c>
      <c r="AQ41">
        <f>AO40*(1-p_recur_Stroke-H40*rr_Stroke*rr_HF)*(1-I40) + AP40*(1-p_recur_Stroke-H40*rr_Stroke*rr_HF)*(1-I40) + AQ40*(1-p_recur_Stroke-H40*rr_Stroke*rr_HF)*(1-I40)</f>
        <v>8.12576829470835E-5</v>
      </c>
      <c r="AR41">
        <f>AR40*(1-AC40-H40*rr_DM) + AD40*(1-T40-H40)*I40</f>
        <v>0.16214070843883197</v>
      </c>
      <c r="AS41">
        <f>AR40*AC40*p_Other + AD40*T40*p_Other*I40 + AE40*(1-T40*p_Stroke-T40*p_MI-H40*rr_Other)*I40 + AS40*(1-AC40*p_Stroke-AC40*p_MI-H40*rr_Other*rr_DM)</f>
        <v>8.3296403609041947E-2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5.9859393407960294E-3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1.9624184179137517E-2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2.6687786042265994E-3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1.2044440381037722E-2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3.1146766644053655E-4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2.6390741701174915E-4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5.4918188192773867E-4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2.4059334757068965E-3</v>
      </c>
      <c r="BB41">
        <f>AM40*(1-T40*p_Stroke - H40*rr_HF)*I40 + AN40*(1-T40*p_Stroke - H40*rr_HF)*I40 + BA40*(1-AC40*p_Stroke - H40*rr_HF*rr_DM) + BB40*(1-AC40*p_Stroke - H40*rr_HF*rr_DM)</f>
        <v>2.807266561152225E-2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2.1389958406758334E-4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5.6648509409015432E-4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1.1442171890488689E-3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0.6081537857888526</v>
      </c>
      <c r="BG41">
        <f t="shared" si="16"/>
        <v>0.97499999999999964</v>
      </c>
      <c r="BH41">
        <f>(0.9442 - 0.0007*$B41 - dis_BMI*($C41-21.75))*AD41</f>
        <v>2.5612528374976684E-2</v>
      </c>
      <c r="BI41">
        <f>0.959*(0.9442 - 0.0007*$B41 - dis_BMI*($C41-21.75))*AE41</f>
        <v>7.546639446021095E-3</v>
      </c>
      <c r="BJ41">
        <f>(0.943*(0.9442 - 0.0007*$B41 - dis_BMI*($C41-21.75)) - 0.19*0.5)*AF41</f>
        <v>4.1024709364046304E-4</v>
      </c>
      <c r="BK41">
        <f>(0.943*(0.9442 - 0.0007*$B41 - dis_BMI*($C41-21.75)))*AG41</f>
        <v>1.6329379539652958E-3</v>
      </c>
      <c r="BL41">
        <f>(0.955*(0.9442 - 0.0007*$B41 - dis_BMI*($C41-21.75)) - 0.15*0.5)*AH41</f>
        <v>1.8503465221101628E-4</v>
      </c>
      <c r="BM41">
        <f>(0.955*(0.9442 - 0.0007*$B41 - dis_BMI*($C41-21.75)))*AI41</f>
        <v>9.3311052982048221E-4</v>
      </c>
      <c r="BN41">
        <f>(0.955*0.943*(0.9442 - 0.0007*$B41 - dis_BMI*($C41-21.75)) - 0.19*0.5)*AJ41</f>
        <v>1.2245735184335334E-5</v>
      </c>
      <c r="BO41">
        <f>(0.955*0.943*(0.9442 - 0.0007*$B41 - dis_BMI*($C41-21.75)) - 0.15*0.5)*AK41</f>
        <v>1.1002656430849807E-5</v>
      </c>
      <c r="BP41">
        <f>(0.955*0.943*(0.9442 - 0.0007*$B41 - dis_BMI*($C41-21.75)))*AL41</f>
        <v>2.83543251936484E-5</v>
      </c>
      <c r="BQ41">
        <f>(0.93*(0.9442 - 0.0007*$B41 - dis_BMI*($C41-21.75)))*AM41</f>
        <v>1.7828335650627852E-4</v>
      </c>
      <c r="BR41">
        <f>(0.93*(0.9442 - 0.0007*$B41 - dis_BMI*($C41-21.75)))*AN41</f>
        <v>2.1680799349677988E-3</v>
      </c>
      <c r="BS41">
        <f>(0.93*0.943*(0.9442 - 0.0007*$B41 - dis_BMI*($C41-21.75)))*AO41</f>
        <v>9.7280064087099638E-6</v>
      </c>
      <c r="BT41">
        <f>(0.93*0.943*(0.9442 - 0.0007*$B41 - dis_BMI*($C41-21.75))-0.19*0.5)*AP41</f>
        <v>2.2201393714327612E-5</v>
      </c>
      <c r="BU41">
        <f>(0.93*0.943*(0.9442 - 0.0007*$B41 - dis_BMI*($C41-21.75)))*AQ41</f>
        <v>5.9323979439278306E-5</v>
      </c>
      <c r="BV41">
        <f>0.962*(0.9442 - 0.0007*$B41 - dis_BMI*($C41-21.75))*AR41</f>
        <v>0.1298489189798272</v>
      </c>
      <c r="BW41">
        <f>0.962*0.959*(0.9442 - 0.0007*$B41 - dis_BMI*($C41-21.75))*AS41</f>
        <v>6.3972176986936774E-2</v>
      </c>
      <c r="BX41">
        <f>0.962*(0.943*(0.9442 - 0.0007*$B41 - dis_BMI*($C41-21.75)) - 0.19*0.5)*AT41</f>
        <v>3.9734845871155656E-3</v>
      </c>
      <c r="BY41">
        <f>0.962*(0.943*(0.9442 - 0.0007*$B41 - dis_BMI*($C41-21.75)))*AU41</f>
        <v>1.4820046833838717E-2</v>
      </c>
      <c r="BZ41">
        <f>0.962*(0.955*(0.9442 - 0.0007*$B41 - dis_BMI*($C41-21.75)) - 0.15*0.5)*AV41</f>
        <v>1.8485377927798721E-3</v>
      </c>
      <c r="CA41">
        <f>0.962*(0.955*(0.9442 - 0.0007*$B41 - dis_BMI*($C41-21.75)))*AW41</f>
        <v>9.2116254285050225E-3</v>
      </c>
      <c r="CB41">
        <f>0.962*(0.955*0.943*(0.9442 - 0.0007*$B41 - dis_BMI*($C41-21.75)) - 0.19*0.5)*AX41</f>
        <v>1.9616835703683541E-4</v>
      </c>
      <c r="CC41">
        <f>0.962*(0.955*0.943*(0.9442 - 0.0007*$B41 - dis_BMI*($C41-21.75)) - 0.15*0.5)*AY41</f>
        <v>1.7129157130376583E-4</v>
      </c>
      <c r="CD41">
        <f>0.962*(0.955*0.943*(0.9442 - 0.0007*$B41 - dis_BMI*($C41-21.75)))*AZ41</f>
        <v>3.9607509718834409E-4</v>
      </c>
      <c r="CE41">
        <f>0.962*(0.93*(0.9442 - 0.0007*$B41 - dis_BMI*($C41-21.75)))*BA41</f>
        <v>1.7918961467993789E-3</v>
      </c>
      <c r="CF41">
        <f>0.962*(0.93*(0.9442 - 0.0007*$B41 - dis_BMI*($C41-21.75)))*BB41</f>
        <v>2.0908018383548343E-2</v>
      </c>
      <c r="CG41">
        <f>0.962*(0.93*0.943*(0.9442 - 0.0007*$B41 - dis_BMI*($C41-21.75)))*BC41</f>
        <v>1.5022798894238473E-4</v>
      </c>
      <c r="CH41">
        <f>0.962*(0.93*0.943*(0.9442 - 0.0007*$B41 - dis_BMI*($C41-21.75))-0.19*0.5)*BD41</f>
        <v>3.4608812282631442E-4</v>
      </c>
      <c r="CI41">
        <f>0.962*(0.93*0.943*(0.9442 - 0.0007*$B41 - dis_BMI*($C41-21.75)))*BE41</f>
        <v>8.0361749170025903E-4</v>
      </c>
      <c r="CJ41">
        <f t="shared" si="17"/>
        <v>0</v>
      </c>
      <c r="CK41">
        <f t="shared" si="18"/>
        <v>0.28724789120682903</v>
      </c>
      <c r="CL41">
        <f>CK41/(1+r_)^A41</f>
        <v>9.3420526435584475E-2</v>
      </c>
      <c r="CM41">
        <f t="shared" si="19"/>
        <v>0</v>
      </c>
      <c r="CN41">
        <f>AE41*c_Other</f>
        <v>134.9775645136412</v>
      </c>
      <c r="CO41">
        <f>AF41*(c_Stroke1+c_Stroke2)</f>
        <v>14.159573933818697</v>
      </c>
      <c r="CP41">
        <f>AG41*c_Stroke2</f>
        <v>13.52073021312621</v>
      </c>
      <c r="CQ41">
        <f>AH41*(c_MI1+c_MI2)</f>
        <v>7.4914487161313588</v>
      </c>
      <c r="CR41">
        <f>AI41*c_MI2</f>
        <v>3.6584348116680934</v>
      </c>
      <c r="CS41">
        <f>AJ41*(c_Stroke1+c_Stroke2+c_MI2)</f>
        <v>0.50376580057246712</v>
      </c>
      <c r="CT41">
        <f>AK41*(c_Stroke2+c_MI1+c_MI2)</f>
        <v>0.58137980632511088</v>
      </c>
      <c r="CU41">
        <f>AL41*(c_Stroke2+c_MI2)</f>
        <v>0.36372459381918881</v>
      </c>
      <c r="CV41">
        <f>AM41*(c_HF1)</f>
        <v>6.2244745976933116</v>
      </c>
      <c r="CW41">
        <f>AN41*(c_HF2)</f>
        <v>43.700349921932492</v>
      </c>
      <c r="CX41">
        <f>AO41*(c_Stroke2+c_HF1)</f>
        <v>0.44677777407968955</v>
      </c>
      <c r="CY41">
        <f>AP41*(c_Stroke1+c_Stroke2+c_HF2)</f>
        <v>1.3781127127944586</v>
      </c>
      <c r="CZ41">
        <f>AQ41*(c_Stroke2+c_HF2)</f>
        <v>1.7962010815452807</v>
      </c>
      <c r="DA41">
        <f>AR41*c_DM</f>
        <v>1852.4575939136553</v>
      </c>
      <c r="DB41">
        <f>AS41*(c_Other+c_DM)</f>
        <v>2141.0507583668141</v>
      </c>
      <c r="DC41">
        <f>AT41*(c_Stroke1+c_Stroke2+c_DM)</f>
        <v>210.95048830899287</v>
      </c>
      <c r="DD41">
        <f>AU41*(c_Stroke2+c_DM)</f>
        <v>351.76350141104001</v>
      </c>
      <c r="DE41">
        <f>AV41*(c_MI1+c_MI2+c_DM)</f>
        <v>108.28836064509849</v>
      </c>
      <c r="DF41">
        <f>AW41*(c_MI2+c_DM)</f>
        <v>175.15025202105056</v>
      </c>
      <c r="DG41">
        <f>AX41*(c_Stroke1+c_Stroke2+c_MI2+c_DM)</f>
        <v>11.9472767493261</v>
      </c>
      <c r="DH41">
        <f>AY41*(c_Stroke2+c_MI1+c_MI2+c_DM)</f>
        <v>12.423705563245104</v>
      </c>
      <c r="DI41">
        <f>AZ41*(c_Stroke2+c_MI2+c_DM)</f>
        <v>11.555885159523477</v>
      </c>
      <c r="DJ41">
        <f>BA41*(c_HF1+c_DM)</f>
        <v>92.520171808308703</v>
      </c>
      <c r="DK41">
        <f>BB41*(c_HF2+c_DM)</f>
        <v>758.80415147944643</v>
      </c>
      <c r="DL41">
        <f>BC41*(c_Stroke2+c_HF1+c_DM)</f>
        <v>9.6158558017582099</v>
      </c>
      <c r="DM41">
        <f>BD41*(c_Stroke1+c_Stroke2+c_HF2+c_DM)</f>
        <v>28.803501094107986</v>
      </c>
      <c r="DN41">
        <f>BE41*(c_Stroke2+c_HF2+c_DM)</f>
        <v>38.365602348808572</v>
      </c>
      <c r="DO41">
        <f t="shared" si="20"/>
        <v>0</v>
      </c>
      <c r="DP41">
        <f t="shared" si="21"/>
        <v>6032.4996431483232</v>
      </c>
      <c r="DQ41">
        <f>DP41/(1+r_)^A41</f>
        <v>1961.9266481563425</v>
      </c>
    </row>
    <row r="42" spans="1:121" x14ac:dyDescent="0.3">
      <c r="A42">
        <v>39</v>
      </c>
      <c r="B42">
        <v>84</v>
      </c>
      <c r="C42">
        <f t="shared" si="40"/>
        <v>38</v>
      </c>
      <c r="D42">
        <f t="shared" si="1"/>
        <v>125</v>
      </c>
      <c r="E42">
        <f t="shared" si="41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2"/>
        <v>5.6857293942168513E-2</v>
      </c>
      <c r="J42">
        <f t="shared" si="23"/>
        <v>0.37111787594973267</v>
      </c>
      <c r="K42">
        <f t="shared" si="24"/>
        <v>0.47772652512751956</v>
      </c>
      <c r="L42">
        <f t="shared" si="25"/>
        <v>0.19713427909630232</v>
      </c>
      <c r="M42">
        <f t="shared" si="26"/>
        <v>0.26471920158354523</v>
      </c>
      <c r="N42">
        <f t="shared" si="27"/>
        <v>0.73116420041927055</v>
      </c>
      <c r="O42">
        <f t="shared" si="28"/>
        <v>0.84373144579034942</v>
      </c>
      <c r="P42">
        <f t="shared" si="29"/>
        <v>0.47595284937138926</v>
      </c>
      <c r="Q42">
        <f t="shared" si="30"/>
        <v>0.59869605127045322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3.0564447627088324E-2</v>
      </c>
      <c r="U42">
        <f t="shared" si="31"/>
        <v>0.63556121713585867</v>
      </c>
      <c r="V42">
        <f t="shared" si="32"/>
        <v>0.75674654901886329</v>
      </c>
      <c r="W42">
        <f t="shared" si="33"/>
        <v>0.37988307304341762</v>
      </c>
      <c r="X42">
        <f t="shared" si="34"/>
        <v>0.48789260797758516</v>
      </c>
      <c r="Y42">
        <f t="shared" si="35"/>
        <v>0.89304892802540481</v>
      </c>
      <c r="Z42">
        <f t="shared" si="36"/>
        <v>0.95751365609289618</v>
      </c>
      <c r="AA42">
        <f t="shared" si="37"/>
        <v>0.66698346264993358</v>
      </c>
      <c r="AB42">
        <f t="shared" si="38"/>
        <v>0.78852965849188672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5.0109369648763669E-2</v>
      </c>
      <c r="AD42">
        <f t="shared" si="39"/>
        <v>2.6334962185713788E-2</v>
      </c>
      <c r="AE42">
        <f t="shared" si="5"/>
        <v>8.2099995169500548E-3</v>
      </c>
      <c r="AF42">
        <f t="shared" si="6"/>
        <v>5.1759456605318058E-4</v>
      </c>
      <c r="AG42">
        <f t="shared" si="7"/>
        <v>1.70864243682765E-3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2.2727424802021574E-4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9.9859082739888632E-4</v>
      </c>
      <c r="AJ42">
        <f t="shared" si="10"/>
        <v>1.6088911495369334E-5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1.4097443583107578E-5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2.8579310161534042E-5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2.0136717873880355E-4</v>
      </c>
      <c r="AN42">
        <f t="shared" si="14"/>
        <v>2.5128458223546593E-3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1.1290003410675747E-5</v>
      </c>
      <c r="AP42">
        <f>AM41*T41*p_Stroke*p_Stroke_rec*(1-I41) + AN41*T41*p_Stroke*p_Stroke_rec*(1-I41) + AO41*(p_recur_Stroke*p_Stroke_rec)*(1-I41) + AP41*(p_recur_Stroke*p_Stroke_rec)*(1-I41) + AQ41*(p_recur_Stroke*p_Stroke_rec)*(1-I41)</f>
        <v>3.1505375356712974E-5</v>
      </c>
      <c r="AQ42">
        <f>AO41*(1-p_recur_Stroke-H41*rr_Stroke*rr_HF)*(1-I41) + AP41*(1-p_recur_Stroke-H41*rr_Stroke*rr_HF)*(1-I41) + AQ41*(1-p_recur_Stroke-H41*rr_Stroke*rr_HF)*(1-I41)</f>
        <v>6.3908398912284592E-5</v>
      </c>
      <c r="AR42">
        <f>AR41*(1-AC41-H41*rr_DM) + AD41*(1-T41-H41)*I41</f>
        <v>0.14408723999690506</v>
      </c>
      <c r="AS42">
        <f>AR41*AC41*p_Other + AD41*T41*p_Other*I41 + AE41*(1-T41*p_Stroke-T41*p_MI-H41*rr_Other)*I41 + AS41*(1-AC41*p_Stroke-AC41*p_MI-H41*rr_Other*rr_DM)</f>
        <v>7.4925490632537575E-2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5.4077060010850244E-3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1.6587690734985665E-2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2.4525655916979396E-3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1.0665023212630685E-2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2.7793462035162182E-4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2.3549114796169701E-4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4.1732940563853137E-4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2.1916749218247309E-3</v>
      </c>
      <c r="BB42">
        <f>AM41*(1-T41*p_Stroke - H41*rr_HF)*I41 + AN41*(1-T41*p_Stroke - H41*rr_HF)*I41 + BA41*(1-AC41*p_Stroke - H41*rr_HF*rr_DM) + BB41*(1-AC41*p_Stroke - H41*rr_HF*rr_DM)</f>
        <v>2.6289198506577793E-2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1.8709281888155472E-4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5.3093046739303203E-4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9.0754568477023113E-4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0.6489603400317816</v>
      </c>
      <c r="BG42">
        <f t="shared" si="16"/>
        <v>0.97499999999999964</v>
      </c>
      <c r="BH42">
        <f>(0.9442 - 0.0007*$B42 - dis_BMI*($C42-21.75))*AD42</f>
        <v>2.1904763172022088E-2</v>
      </c>
      <c r="BI42">
        <f>0.959*(0.9442 - 0.0007*$B42 - dis_BMI*($C42-21.75))*AE42</f>
        <v>6.5488885819344755E-3</v>
      </c>
      <c r="BJ42">
        <f>(0.943*(0.9442 - 0.0007*$B42 - dis_BMI*($C42-21.75)) - 0.19*0.5)*AF42</f>
        <v>3.5681096985363576E-4</v>
      </c>
      <c r="BK42">
        <f>(0.943*(0.9442 - 0.0007*$B42 - dis_BMI*($C42-21.75)))*AG42</f>
        <v>1.3401973173074566E-3</v>
      </c>
      <c r="BL42">
        <f>(0.955*(0.9442 - 0.0007*$B42 - dis_BMI*($C42-21.75)) - 0.15*0.5)*AH42</f>
        <v>1.6348862235138309E-4</v>
      </c>
      <c r="BM42">
        <f>(0.955*(0.9442 - 0.0007*$B42 - dis_BMI*($C42-21.75)))*AI42</f>
        <v>7.9322575561402181E-4</v>
      </c>
      <c r="BN42">
        <f>(0.955*0.943*(0.9442 - 0.0007*$B42 - dis_BMI*($C42-21.75)) - 0.19*0.5)*AJ42</f>
        <v>1.0523233361307528E-5</v>
      </c>
      <c r="BO42">
        <f>(0.955*0.943*(0.9442 - 0.0007*$B42 - dis_BMI*($C42-21.75)) - 0.15*0.5)*AK42</f>
        <v>9.5026278881143399E-6</v>
      </c>
      <c r="BP42">
        <f>(0.955*0.943*(0.9442 - 0.0007*$B42 - dis_BMI*($C42-21.75)))*AL42</f>
        <v>2.1407831067624908E-5</v>
      </c>
      <c r="BQ42">
        <f>(0.93*(0.9442 - 0.0007*$B42 - dis_BMI*($C42-21.75)))*AM42</f>
        <v>1.5576773213878557E-4</v>
      </c>
      <c r="BR42">
        <f>(0.93*(0.9442 - 0.0007*$B42 - dis_BMI*($C42-21.75)))*AN42</f>
        <v>1.9438137705168137E-3</v>
      </c>
      <c r="BS42">
        <f>(0.93*0.943*(0.9442 - 0.0007*$B42 - dis_BMI*($C42-21.75)))*AO42</f>
        <v>8.2355873412984285E-6</v>
      </c>
      <c r="BT42">
        <f>(0.93*0.943*(0.9442 - 0.0007*$B42 - dis_BMI*($C42-21.75))-0.19*0.5)*AP42</f>
        <v>1.998884869336475E-5</v>
      </c>
      <c r="BU42">
        <f>(0.93*0.943*(0.9442 - 0.0007*$B42 - dis_BMI*($C42-21.75)))*AQ42</f>
        <v>4.6618515685032809E-5</v>
      </c>
      <c r="BV42">
        <f>0.962*(0.9442 - 0.0007*$B42 - dis_BMI*($C42-21.75))*AR42</f>
        <v>0.11529393381458554</v>
      </c>
      <c r="BW42">
        <f>0.962*0.959*(0.9442 - 0.0007*$B42 - dis_BMI*($C42-21.75))*AS42</f>
        <v>5.7494875474834131E-2</v>
      </c>
      <c r="BX42">
        <f>0.962*(0.943*(0.9442 - 0.0007*$B42 - dis_BMI*($C42-21.75)) - 0.19*0.5)*AT42</f>
        <v>3.5862175714348565E-3</v>
      </c>
      <c r="BY42">
        <f>0.962*(0.943*(0.9442 - 0.0007*$B42 - dis_BMI*($C42-21.75)))*AU42</f>
        <v>1.2516374739803621E-2</v>
      </c>
      <c r="BZ42">
        <f>0.962*(0.955*(0.9442 - 0.0007*$B42 - dis_BMI*($C42-21.75)) - 0.15*0.5)*AV42</f>
        <v>1.6971999402496884E-3</v>
      </c>
      <c r="CA42">
        <f>0.962*(0.955*(0.9442 - 0.0007*$B42 - dis_BMI*($C42-21.75)))*AW42</f>
        <v>8.1497842474803506E-3</v>
      </c>
      <c r="CB42">
        <f>0.962*(0.955*0.943*(0.9442 - 0.0007*$B42 - dis_BMI*($C42-21.75)) - 0.19*0.5)*AX42</f>
        <v>1.7488004560959713E-4</v>
      </c>
      <c r="CC42">
        <f>0.962*(0.955*0.943*(0.9442 - 0.0007*$B42 - dis_BMI*($C42-21.75)) - 0.15*0.5)*AY42</f>
        <v>1.5270491538646713E-4</v>
      </c>
      <c r="CD42">
        <f>0.962*(0.955*0.943*(0.9442 - 0.0007*$B42 - dis_BMI*($C42-21.75)))*AZ42</f>
        <v>3.0072877564561561E-4</v>
      </c>
      <c r="CE42">
        <f>0.962*(0.93*(0.9442 - 0.0007*$B42 - dis_BMI*($C42-21.75)))*BA42</f>
        <v>1.6309476519114311E-3</v>
      </c>
      <c r="CF42">
        <f>0.962*(0.93*(0.9442 - 0.0007*$B42 - dis_BMI*($C42-21.75)))*BB42</f>
        <v>1.9563260111238972E-2</v>
      </c>
      <c r="CG42">
        <f>0.962*(0.93*0.943*(0.9442 - 0.0007*$B42 - dis_BMI*($C42-21.75)))*BC42</f>
        <v>1.3129031634265549E-4</v>
      </c>
      <c r="CH42">
        <f>0.962*(0.93*0.943*(0.9442 - 0.0007*$B42 - dis_BMI*($C42-21.75))-0.19*0.5)*BD42</f>
        <v>3.2405284781422385E-4</v>
      </c>
      <c r="CI42">
        <f>0.962*(0.93*0.943*(0.9442 - 0.0007*$B42 - dis_BMI*($C42-21.75)))*BE42</f>
        <v>6.3686014653683003E-4</v>
      </c>
      <c r="CJ42">
        <f t="shared" si="17"/>
        <v>0</v>
      </c>
      <c r="CK42">
        <f t="shared" si="18"/>
        <v>0.2549763431646494</v>
      </c>
      <c r="CL42">
        <f>CK42/(1+r_)^A42</f>
        <v>8.0509684499591339E-2</v>
      </c>
      <c r="CM42">
        <f t="shared" si="19"/>
        <v>0</v>
      </c>
      <c r="CN42">
        <f>AE42*c_Other</f>
        <v>117.23058310252983</v>
      </c>
      <c r="CO42">
        <f>AF42*(c_Stroke1+c_Stroke2)</f>
        <v>12.327032185122549</v>
      </c>
      <c r="CP42">
        <f>AG42*c_Stroke2</f>
        <v>11.106175839379725</v>
      </c>
      <c r="CQ42">
        <f>AH42*(c_MI1+c_MI2)</f>
        <v>6.6252716040373087</v>
      </c>
      <c r="CR42">
        <f>AI42*c_MI2</f>
        <v>3.1126076090023287</v>
      </c>
      <c r="CS42">
        <f>AJ42*(c_Stroke1+c_Stroke2+c_MI2)</f>
        <v>0.43332265330478226</v>
      </c>
      <c r="CT42">
        <f>AK42*(c_Stroke2+c_MI1+c_MI2)</f>
        <v>0.50258796118136828</v>
      </c>
      <c r="CU42">
        <f>AL42*(c_Stroke2+c_MI2)</f>
        <v>0.27484722582347287</v>
      </c>
      <c r="CV42">
        <f>AM42*(c_HF1)</f>
        <v>5.4429548413098603</v>
      </c>
      <c r="CW42">
        <f>AN42*(c_HF2)</f>
        <v>39.212959057844458</v>
      </c>
      <c r="CX42">
        <f>AO42*(c_Stroke2+c_HF1)</f>
        <v>0.37855381435995783</v>
      </c>
      <c r="CY42">
        <f>AP42*(c_Stroke1+c_Stroke2+c_HF2)</f>
        <v>1.2419734019369821</v>
      </c>
      <c r="CZ42">
        <f>AQ42*(c_Stroke2+c_HF2)</f>
        <v>1.4126951579560509</v>
      </c>
      <c r="DA42">
        <f>AR42*c_DM</f>
        <v>1646.1967169646405</v>
      </c>
      <c r="DB42">
        <f>AS42*(c_Other+c_DM)</f>
        <v>1925.8848112187459</v>
      </c>
      <c r="DC42">
        <f>AT42*(c_Stroke1+c_Stroke2+c_DM)</f>
        <v>190.57296718423734</v>
      </c>
      <c r="DD42">
        <f>AU42*(c_Stroke2+c_DM)</f>
        <v>297.33435642461802</v>
      </c>
      <c r="DE42">
        <f>AV42*(c_MI1+c_MI2+c_DM)</f>
        <v>99.515301448735599</v>
      </c>
      <c r="DF42">
        <f>AW42*(c_MI2+c_DM)</f>
        <v>155.09076755807541</v>
      </c>
      <c r="DG42">
        <f>AX42*(c_Stroke1+c_Stroke2+c_MI2+c_DM)</f>
        <v>10.66101616744751</v>
      </c>
      <c r="DH42">
        <f>AY42*(c_Stroke2+c_MI1+c_MI2+c_DM)</f>
        <v>11.085981281444848</v>
      </c>
      <c r="DI42">
        <f>AZ42*(c_Stroke2+c_MI2+c_DM)</f>
        <v>8.7814453534459762</v>
      </c>
      <c r="DJ42">
        <f>BA42*(c_HF1+c_DM)</f>
        <v>84.280859118770024</v>
      </c>
      <c r="DK42">
        <f>BB42*(c_HF2+c_DM)</f>
        <v>710.59703563279777</v>
      </c>
      <c r="DL42">
        <f>BC42*(c_Stroke2+c_HF1+c_DM)</f>
        <v>8.4107576728202922</v>
      </c>
      <c r="DM42">
        <f>BD42*(c_Stroke1+c_Stroke2+c_HF2+c_DM)</f>
        <v>26.995690545066108</v>
      </c>
      <c r="DN42">
        <f>BE42*(c_Stroke2+c_HF2+c_DM)</f>
        <v>30.430006810345851</v>
      </c>
      <c r="DO42">
        <f t="shared" si="20"/>
        <v>0</v>
      </c>
      <c r="DP42">
        <f t="shared" si="21"/>
        <v>5405.13927783498</v>
      </c>
      <c r="DQ42">
        <f>DP42/(1+r_)^A42</f>
        <v>1706.6918935841722</v>
      </c>
    </row>
    <row r="43" spans="1:121" x14ac:dyDescent="0.3">
      <c r="A43">
        <v>40</v>
      </c>
      <c r="B43">
        <v>85</v>
      </c>
      <c r="C43">
        <f t="shared" si="40"/>
        <v>38</v>
      </c>
      <c r="D43">
        <f t="shared" si="1"/>
        <v>125</v>
      </c>
      <c r="E43">
        <f t="shared" si="41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22"/>
        <v>5.6857293942168513E-2</v>
      </c>
      <c r="J43">
        <f t="shared" si="23"/>
        <v>0.38059154730418365</v>
      </c>
      <c r="K43">
        <f t="shared" si="24"/>
        <v>0.48871181296336297</v>
      </c>
      <c r="L43">
        <f t="shared" si="25"/>
        <v>0.20288274088619795</v>
      </c>
      <c r="M43">
        <f t="shared" si="26"/>
        <v>0.27208158433093144</v>
      </c>
      <c r="N43">
        <f t="shared" si="27"/>
        <v>0.7440960042366993</v>
      </c>
      <c r="O43">
        <f t="shared" si="28"/>
        <v>0.85424634532122035</v>
      </c>
      <c r="P43">
        <f t="shared" si="29"/>
        <v>0.48850784089997834</v>
      </c>
      <c r="Q43">
        <f t="shared" si="30"/>
        <v>0.61221348289891209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3.1343408658843712E-2</v>
      </c>
      <c r="U43">
        <f t="shared" si="31"/>
        <v>0.64740341909556631</v>
      </c>
      <c r="V43">
        <f t="shared" si="32"/>
        <v>0.76774403682476666</v>
      </c>
      <c r="W43">
        <f t="shared" si="33"/>
        <v>0.38950519315608179</v>
      </c>
      <c r="X43">
        <f t="shared" si="34"/>
        <v>0.49898647455000233</v>
      </c>
      <c r="Y43">
        <f t="shared" si="35"/>
        <v>0.90165490638556112</v>
      </c>
      <c r="Z43">
        <f t="shared" si="36"/>
        <v>0.96226270900840638</v>
      </c>
      <c r="AA43">
        <f t="shared" si="37"/>
        <v>0.68044542249590401</v>
      </c>
      <c r="AB43">
        <f t="shared" si="38"/>
        <v>0.80050701234211896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5.1127551072704426E-2</v>
      </c>
      <c r="AD43">
        <f t="shared" si="39"/>
        <v>2.2372581202928232E-2</v>
      </c>
      <c r="AE43">
        <f t="shared" si="5"/>
        <v>7.0437775318981377E-3</v>
      </c>
      <c r="AF43">
        <f t="shared" si="6"/>
        <v>4.4251683532430512E-4</v>
      </c>
      <c r="AG43">
        <f t="shared" si="7"/>
        <v>1.3822080843825971E-3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1.9869777299731499E-4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8.4440864801470694E-4</v>
      </c>
      <c r="AJ43">
        <f t="shared" si="10"/>
        <v>1.359628369423669E-5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1.1882981544892354E-5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2.1407125615409557E-5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1.7416657409449743E-4</v>
      </c>
      <c r="AN43">
        <f t="shared" si="14"/>
        <v>2.2219051712204251E-3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9.3183684100618495E-6</v>
      </c>
      <c r="AP43">
        <f>AM42*T42*p_Stroke*p_Stroke_rec*(1-I42) + AN42*T42*p_Stroke*p_Stroke_rec*(1-I42) + AO42*(p_recur_Stroke*p_Stroke_rec)*(1-I42) + AP42*(p_recur_Stroke*p_Stroke_rec)*(1-I42) + AQ42*(p_recur_Stroke*p_Stroke_rec)*(1-I42)</f>
        <v>2.7666241477592427E-5</v>
      </c>
      <c r="AQ43">
        <f>AO42*(1-p_recur_Stroke-H42*rr_Stroke*rr_HF)*(1-I42) + AP42*(1-p_recur_Stroke-H42*rr_Stroke*rr_HF)*(1-I42) + AQ42*(1-p_recur_Stroke-H42*rr_Stroke*rr_HF)*(1-I42)</f>
        <v>4.9185889213495884E-5</v>
      </c>
      <c r="AR43">
        <f>AR42*(1-AC42-H42*rr_DM) + AD42*(1-T42-H42)*I42</f>
        <v>0.12683521897360223</v>
      </c>
      <c r="AS43">
        <f>AR42*AC42*p_Other + AD42*T42*p_Other*I42 + AE42*(1-T42*p_Stroke-T42*p_MI-H42*rr_Other)*I42 + AS42*(1-AC42*p_Stroke-AC42*p_MI-H42*rr_Other*rr_DM)</f>
        <v>6.6387598491892283E-2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4.7771921149590661E-3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1.3759075970606039E-2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2.2199263451055991E-3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9.3588792034475926E-3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2.4266268713519541E-4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2.0378017439346639E-4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3.1336439996017121E-4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1.9674681161190337E-3</v>
      </c>
      <c r="BB43">
        <f>AM42*(1-T42*p_Stroke - H42*rr_HF)*I42 + AN42*(1-T42*p_Stroke - H42*rr_HF)*I42 + BA42*(1-AC42*p_Stroke - H42*rr_HF*rr_DM) + BB42*(1-AC42*p_Stroke - H42*rr_HF*rr_DM)</f>
        <v>2.4192408180253627E-2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1.5849011742387621E-4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4.8311743472812701E-4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7.0205416806667052E-4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0.68858544491149076</v>
      </c>
      <c r="BG43">
        <f t="shared" si="16"/>
        <v>0.97499999999999964</v>
      </c>
      <c r="BH43">
        <f>(0.9442 - 0.0007*$B43 - dis_BMI*($C43-21.75))*AD43</f>
        <v>1.8593292923223582E-2</v>
      </c>
      <c r="BI43">
        <f>0.959*(0.9442 - 0.0007*$B43 - dis_BMI*($C43-21.75))*AE43</f>
        <v>5.6138972084170324E-3</v>
      </c>
      <c r="BJ43">
        <f>(0.943*(0.9442 - 0.0007*$B43 - dis_BMI*($C43-21.75)) - 0.19*0.5)*AF43</f>
        <v>3.0476299286306052E-4</v>
      </c>
      <c r="BK43">
        <f>(0.943*(0.9442 - 0.0007*$B43 - dis_BMI*($C43-21.75)))*AG43</f>
        <v>1.0832416244557555E-3</v>
      </c>
      <c r="BL43">
        <f>(0.955*(0.9442 - 0.0007*$B43 - dis_BMI*($C43-21.75)) - 0.15*0.5)*AH43</f>
        <v>1.4279944489272649E-4</v>
      </c>
      <c r="BM43">
        <f>(0.955*(0.9442 - 0.0007*$B43 - dis_BMI*($C43-21.75)))*AI43</f>
        <v>6.7018740587712557E-4</v>
      </c>
      <c r="BN43">
        <f>(0.955*0.943*(0.9442 - 0.0007*$B43 - dis_BMI*($C43-21.75)) - 0.19*0.5)*AJ43</f>
        <v>8.8843156083977164E-6</v>
      </c>
      <c r="BO43">
        <f>(0.955*0.943*(0.9442 - 0.0007*$B43 - dis_BMI*($C43-21.75)) - 0.15*0.5)*AK43</f>
        <v>8.0024401244337386E-6</v>
      </c>
      <c r="BP43">
        <f>(0.955*0.943*(0.9442 - 0.0007*$B43 - dis_BMI*($C43-21.75)))*AL43</f>
        <v>1.6021886102454115E-5</v>
      </c>
      <c r="BQ43">
        <f>(0.93*(0.9442 - 0.0007*$B43 - dis_BMI*($C43-21.75)))*AM43</f>
        <v>1.3461330157599354E-4</v>
      </c>
      <c r="BR43">
        <f>(0.93*(0.9442 - 0.0007*$B43 - dis_BMI*($C43-21.75)))*AN43</f>
        <v>1.7173099513599739E-3</v>
      </c>
      <c r="BS43">
        <f>(0.93*0.943*(0.9442 - 0.0007*$B43 - dis_BMI*($C43-21.75)))*AO43</f>
        <v>6.7916412315156538E-6</v>
      </c>
      <c r="BT43">
        <f>(0.93*0.943*(0.9442 - 0.0007*$B43 - dis_BMI*($C43-21.75))-0.19*0.5)*AP43</f>
        <v>1.7536094007175704E-5</v>
      </c>
      <c r="BU43">
        <f>(0.93*0.943*(0.9442 - 0.0007*$B43 - dis_BMI*($C43-21.75)))*AQ43</f>
        <v>3.5848863072470262E-5</v>
      </c>
      <c r="BV43">
        <f>0.962*(0.9442 - 0.0007*$B43 - dis_BMI*($C43-21.75))*AR43</f>
        <v>0.10140401558336398</v>
      </c>
      <c r="BW43">
        <f>0.962*0.959*(0.9442 - 0.0007*$B43 - dis_BMI*($C43-21.75))*AS43</f>
        <v>5.0900360265117212E-2</v>
      </c>
      <c r="BX43">
        <f>0.962*(0.943*(0.9442 - 0.0007*$B43 - dis_BMI*($C43-21.75)) - 0.19*0.5)*AT43</f>
        <v>3.1650473444376453E-3</v>
      </c>
      <c r="BY43">
        <f>0.962*(0.943*(0.9442 - 0.0007*$B43 - dis_BMI*($C43-21.75)))*AU43</f>
        <v>1.037328360527451E-2</v>
      </c>
      <c r="BZ43">
        <f>0.962*(0.955*(0.9442 - 0.0007*$B43 - dis_BMI*($C43-21.75)) - 0.15*0.5)*AV43</f>
        <v>1.5347836248580124E-3</v>
      </c>
      <c r="CA43">
        <f>0.962*(0.955*(0.9442 - 0.0007*$B43 - dis_BMI*($C43-21.75)))*AW43</f>
        <v>7.1456625608959249E-3</v>
      </c>
      <c r="CB43">
        <f>0.962*(0.955*0.943*(0.9442 - 0.0007*$B43 - dis_BMI*($C43-21.75)) - 0.19*0.5)*AX43</f>
        <v>1.5253933011211173E-4</v>
      </c>
      <c r="CC43">
        <f>0.962*(0.955*0.943*(0.9442 - 0.0007*$B43 - dis_BMI*($C43-21.75)) - 0.15*0.5)*AY43</f>
        <v>1.3201826239709412E-4</v>
      </c>
      <c r="CD43">
        <f>0.962*(0.955*0.943*(0.9442 - 0.0007*$B43 - dis_BMI*($C43-21.75)))*AZ43</f>
        <v>2.256212552753667E-4</v>
      </c>
      <c r="CE43">
        <f>0.962*(0.93*(0.9442 - 0.0007*$B43 - dis_BMI*($C43-21.75)))*BA43</f>
        <v>1.4628707017082798E-3</v>
      </c>
      <c r="CF43">
        <f>0.962*(0.93*(0.9442 - 0.0007*$B43 - dis_BMI*($C43-21.75)))*BB43</f>
        <v>1.7987770597508175E-2</v>
      </c>
      <c r="CG43">
        <f>0.962*(0.93*0.943*(0.9442 - 0.0007*$B43 - dis_BMI*($C43-21.75)))*BC43</f>
        <v>1.1112508822326111E-4</v>
      </c>
      <c r="CH43">
        <f>0.962*(0.93*0.943*(0.9442 - 0.0007*$B43 - dis_BMI*($C43-21.75))-0.19*0.5)*BD43</f>
        <v>2.9458490174485085E-4</v>
      </c>
      <c r="CI43">
        <f>0.962*(0.93*0.943*(0.9442 - 0.0007*$B43 - dis_BMI*($C43-21.75)))*BE43</f>
        <v>4.9224413882706874E-4</v>
      </c>
      <c r="CJ43">
        <f t="shared" si="17"/>
        <v>0</v>
      </c>
      <c r="CK43">
        <f t="shared" si="18"/>
        <v>0.22373511735255519</v>
      </c>
      <c r="CL43">
        <f>CK43/(1+r_)^A43</f>
        <v>6.8587530745756256E-2</v>
      </c>
      <c r="CM43">
        <f t="shared" si="19"/>
        <v>0</v>
      </c>
      <c r="CN43">
        <f>AE43*c_Other</f>
        <v>100.5780993779735</v>
      </c>
      <c r="CO43">
        <f>AF43*(c_Stroke1+c_Stroke2)</f>
        <v>10.538980950083651</v>
      </c>
      <c r="CP43">
        <f>AG43*c_Stroke2</f>
        <v>8.9843525484868803</v>
      </c>
      <c r="CQ43">
        <f>AH43*(c_MI1+c_MI2)</f>
        <v>5.7922387806447295</v>
      </c>
      <c r="CR43">
        <f>AI43*c_MI2</f>
        <v>2.6320217558618415</v>
      </c>
      <c r="CS43">
        <f>AJ43*(c_Stroke1+c_Stroke2+c_MI2)</f>
        <v>0.36618870873687676</v>
      </c>
      <c r="CT43">
        <f>AK43*(c_Stroke2+c_MI1+c_MI2)</f>
        <v>0.42364017505695728</v>
      </c>
      <c r="CU43">
        <f>AL43*(c_Stroke2+c_MI2)</f>
        <v>0.2058723270433937</v>
      </c>
      <c r="CV43">
        <f>AM43*(c_HF1)</f>
        <v>4.7077224977742658</v>
      </c>
      <c r="CW43">
        <f>AN43*(c_HF2)</f>
        <v>34.672830196894736</v>
      </c>
      <c r="CX43">
        <f>AO43*(c_Stroke2+c_HF1)</f>
        <v>0.31244489278937382</v>
      </c>
      <c r="CY43">
        <f>AP43*(c_Stroke1+c_Stroke2+c_HF2)</f>
        <v>1.0906309052881711</v>
      </c>
      <c r="CZ43">
        <f>AQ43*(c_Stroke2+c_HF2)</f>
        <v>1.0872540810643265</v>
      </c>
      <c r="DA43">
        <f>AR43*c_DM</f>
        <v>1449.0923767734055</v>
      </c>
      <c r="DB43">
        <f>AS43*(c_Other+c_DM)</f>
        <v>1706.4268316355992</v>
      </c>
      <c r="DC43">
        <f>AT43*(c_Stroke1+c_Stroke2+c_DM)</f>
        <v>168.35302732327244</v>
      </c>
      <c r="DD43">
        <f>AU43*(c_Stroke2+c_DM)</f>
        <v>246.63143677311325</v>
      </c>
      <c r="DE43">
        <f>AV43*(c_MI1+c_MI2+c_DM)</f>
        <v>90.075731379004793</v>
      </c>
      <c r="DF43">
        <f>AW43*(c_MI2+c_DM)</f>
        <v>136.0968213765349</v>
      </c>
      <c r="DG43">
        <f>AX43*(c_Stroke1+c_Stroke2+c_MI2+c_DM)</f>
        <v>9.3080553531318255</v>
      </c>
      <c r="DH43">
        <f>AY43*(c_Stroke2+c_MI1+c_MI2+c_DM)</f>
        <v>9.5931554897468239</v>
      </c>
      <c r="DI43">
        <f>AZ43*(c_Stroke2+c_MI2+c_DM)</f>
        <v>6.5938137039619225</v>
      </c>
      <c r="DJ43">
        <f>BA43*(c_HF1+c_DM)</f>
        <v>75.658986405357439</v>
      </c>
      <c r="DK43">
        <f>BB43*(c_HF2+c_DM)</f>
        <v>653.92079311225552</v>
      </c>
      <c r="DL43">
        <f>BC43*(c_Stroke2+c_HF1+c_DM)</f>
        <v>7.1249232287903554</v>
      </c>
      <c r="DM43">
        <f>BD43*(c_Stroke1+c_Stroke2+c_HF2+c_DM)</f>
        <v>24.564589086186345</v>
      </c>
      <c r="DN43">
        <f>BE43*(c_Stroke2+c_HF2+c_DM)</f>
        <v>23.539876255275463</v>
      </c>
      <c r="DO43">
        <f t="shared" si="20"/>
        <v>0</v>
      </c>
      <c r="DP43">
        <f t="shared" si="21"/>
        <v>4778.3726950933351</v>
      </c>
      <c r="DQ43">
        <f>DP43/(1+r_)^A43</f>
        <v>1464.8428374476339</v>
      </c>
    </row>
    <row r="44" spans="1:121" x14ac:dyDescent="0.3">
      <c r="A44">
        <v>41</v>
      </c>
      <c r="B44">
        <v>86</v>
      </c>
      <c r="C44">
        <f t="shared" si="40"/>
        <v>38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22"/>
        <v>5.6857293942168513E-2</v>
      </c>
      <c r="J44">
        <f t="shared" si="23"/>
        <v>0.39011188860061308</v>
      </c>
      <c r="K44">
        <f t="shared" si="24"/>
        <v>0.4996836341349562</v>
      </c>
      <c r="L44">
        <f t="shared" si="25"/>
        <v>0.20870635567603923</v>
      </c>
      <c r="M44">
        <f t="shared" si="26"/>
        <v>0.27951856791757668</v>
      </c>
      <c r="N44">
        <f t="shared" si="27"/>
        <v>0.75670782825151162</v>
      </c>
      <c r="O44">
        <f t="shared" si="28"/>
        <v>0.86429187333899182</v>
      </c>
      <c r="P44">
        <f t="shared" si="29"/>
        <v>0.50106666794547028</v>
      </c>
      <c r="Q44">
        <f t="shared" si="30"/>
        <v>0.62559863454118125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3.2125213438639798E-2</v>
      </c>
      <c r="U44">
        <f t="shared" si="31"/>
        <v>0.65909124237775085</v>
      </c>
      <c r="V44">
        <f t="shared" si="32"/>
        <v>0.77845407549853318</v>
      </c>
      <c r="W44">
        <f t="shared" si="33"/>
        <v>0.39917022874425034</v>
      </c>
      <c r="X44">
        <f t="shared" si="34"/>
        <v>0.51005954333674697</v>
      </c>
      <c r="Y44">
        <f t="shared" si="35"/>
        <v>0.90975913761142368</v>
      </c>
      <c r="Z44">
        <f t="shared" si="36"/>
        <v>0.96658077717887392</v>
      </c>
      <c r="AA44">
        <f t="shared" si="37"/>
        <v>0.6936815092069355</v>
      </c>
      <c r="AB44">
        <f t="shared" si="38"/>
        <v>0.81208197343318433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5.2137791284478915E-2</v>
      </c>
      <c r="AD44">
        <f t="shared" si="39"/>
        <v>1.8796834850579893E-2</v>
      </c>
      <c r="AE44">
        <f t="shared" si="5"/>
        <v>5.9308965407004772E-3</v>
      </c>
      <c r="AF44">
        <f t="shared" si="6"/>
        <v>3.7400015186786896E-4</v>
      </c>
      <c r="AG44">
        <f t="shared" si="7"/>
        <v>1.0833269072852191E-3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1.7226385837390036E-4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7.0411746136119576E-4</v>
      </c>
      <c r="AJ44">
        <f t="shared" si="10"/>
        <v>1.1406760273701356E-5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9.873770116927052E-6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1.5078314056121709E-5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1.4951170063564798E-4</v>
      </c>
      <c r="AN44">
        <f t="shared" si="14"/>
        <v>1.9234226546635436E-3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7.5961881488213314E-6</v>
      </c>
      <c r="AP44">
        <f>AM43*T43*p_Stroke*p_Stroke_rec*(1-I43) + AN43*T43*p_Stroke*p_Stroke_rec*(1-I43) + AO43*(p_recur_Stroke*p_Stroke_rec)*(1-I43) + AP43*(p_recur_Stroke*p_Stroke_rec)*(1-I43) + AQ43*(p_recur_Stroke*p_Stroke_rec)*(1-I43)</f>
        <v>2.3960169346158232E-5</v>
      </c>
      <c r="AQ44">
        <f>AO43*(1-p_recur_Stroke-H43*rr_Stroke*rr_HF)*(1-I43) + AP43*(1-p_recur_Stroke-H43*rr_Stroke*rr_HF)*(1-I43) + AQ43*(1-p_recur_Stroke-H43*rr_Stroke*rr_HF)*(1-I43)</f>
        <v>3.5483833146723478E-5</v>
      </c>
      <c r="AR44">
        <f>AR43*(1-AC43-H43*rr_DM) + AD43*(1-T43-H43)*I43</f>
        <v>0.11013070445068475</v>
      </c>
      <c r="AS44">
        <f>AR43*AC43*p_Other + AD43*T43*p_Other*I43 + AE43*(1-T43*p_Stroke-T43*p_MI-H43*rr_Other)*I43 + AS43*(1-AC43*p_Stroke-AC43*p_MI-H43*rr_Other*rr_DM)</f>
        <v>5.7494003096802158E-2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4.1593489738950377E-3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1.0975541697097132E-2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1.9868391813682809E-3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8.063274840572723E-3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2.0983672512093587E-4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1.7324405493691859E-4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2.1611809316885312E-4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1.747725328480036E-3</v>
      </c>
      <c r="BB44">
        <f>AM43*(1-T43*p_Stroke - H43*rr_HF)*I43 + AN43*(1-T43*p_Stroke - H43*rr_HF)*I43 + BA43*(1-AC43*p_Stroke - H43*rr_HF*rr_DM) + BB43*(1-AC43*p_Stroke - H43*rr_HF*rr_DM)</f>
        <v>2.1706591395991286E-2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1.322085940914561E-4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4.3279766214483566E-4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4.994316497937037E-4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0.72783456109529532</v>
      </c>
      <c r="BG44">
        <f t="shared" si="16"/>
        <v>0.97499999999999964</v>
      </c>
      <c r="BH44">
        <f>(0.9442 - 0.0007*$B44 - dis_BMI*($C44-21.75))*AD44</f>
        <v>1.5608421739050278E-2</v>
      </c>
      <c r="BI44">
        <f>0.959*(0.9442 - 0.0007*$B44 - dis_BMI*($C44-21.75))*AE44</f>
        <v>4.7229486181698081E-3</v>
      </c>
      <c r="BJ44">
        <f>(0.943*(0.9442 - 0.0007*$B44 - dis_BMI*($C44-21.75)) - 0.19*0.5)*AF44</f>
        <v>2.5732842024171905E-4</v>
      </c>
      <c r="BK44">
        <f>(0.943*(0.9442 - 0.0007*$B44 - dis_BMI*($C44-21.75)))*AG44</f>
        <v>8.4829222854065672E-4</v>
      </c>
      <c r="BL44">
        <f>(0.955*(0.9442 - 0.0007*$B44 - dis_BMI*($C44-21.75)) - 0.15*0.5)*AH44</f>
        <v>1.2368684995630976E-4</v>
      </c>
      <c r="BM44">
        <f>(0.955*(0.9442 - 0.0007*$B44 - dis_BMI*($C44-21.75)))*AI44</f>
        <v>5.5837086781380181E-4</v>
      </c>
      <c r="BN44">
        <f>(0.955*0.943*(0.9442 - 0.0007*$B44 - dis_BMI*($C44-21.75)) - 0.19*0.5)*AJ44</f>
        <v>7.4464090970833428E-6</v>
      </c>
      <c r="BO44">
        <f>(0.955*0.943*(0.9442 - 0.0007*$B44 - dis_BMI*($C44-21.75)) - 0.15*0.5)*AK44</f>
        <v>6.6431383124908175E-6</v>
      </c>
      <c r="BP44">
        <f>(0.955*0.943*(0.9442 - 0.0007*$B44 - dis_BMI*($C44-21.75)))*AL44</f>
        <v>1.1275663701011265E-5</v>
      </c>
      <c r="BQ44">
        <f>(0.93*(0.9442 - 0.0007*$B44 - dis_BMI*($C44-21.75)))*AM44</f>
        <v>1.1546022392625336E-4</v>
      </c>
      <c r="BR44">
        <f>(0.93*(0.9442 - 0.0007*$B44 - dis_BMI*($C44-21.75)))*AN44</f>
        <v>1.4853607407856032E-3</v>
      </c>
      <c r="BS44">
        <f>(0.93*0.943*(0.9442 - 0.0007*$B44 - dis_BMI*($C44-21.75)))*AO44</f>
        <v>5.5317764349386387E-6</v>
      </c>
      <c r="BT44">
        <f>(0.93*0.943*(0.9442 - 0.0007*$B44 - dis_BMI*($C44-21.75))-0.19*0.5)*AP44</f>
        <v>1.5172311722314517E-5</v>
      </c>
      <c r="BU44">
        <f>(0.93*0.943*(0.9442 - 0.0007*$B44 - dis_BMI*($C44-21.75)))*AQ44</f>
        <v>2.5840412082578123E-5</v>
      </c>
      <c r="BV44">
        <f>0.962*(0.9442 - 0.0007*$B44 - dis_BMI*($C44-21.75))*AR44</f>
        <v>8.7974691927324322E-2</v>
      </c>
      <c r="BW44">
        <f>0.962*0.959*(0.9442 - 0.0007*$B44 - dis_BMI*($C44-21.75))*AS44</f>
        <v>4.4044379164643932E-2</v>
      </c>
      <c r="BX44">
        <f>0.962*(0.943*(0.9442 - 0.0007*$B44 - dis_BMI*($C44-21.75)) - 0.19*0.5)*AT44</f>
        <v>2.7530646309044987E-3</v>
      </c>
      <c r="BY44">
        <f>0.962*(0.943*(0.9442 - 0.0007*$B44 - dis_BMI*($C44-21.75)))*AU44</f>
        <v>8.2677434944739125E-3</v>
      </c>
      <c r="BZ44">
        <f>0.962*(0.955*(0.9442 - 0.0007*$B44 - dis_BMI*($C44-21.75)) - 0.15*0.5)*AV44</f>
        <v>1.3723571416297249E-3</v>
      </c>
      <c r="CA44">
        <f>0.962*(0.955*(0.9442 - 0.0007*$B44 - dis_BMI*($C44-21.75)))*AW44</f>
        <v>6.1512612491003227E-3</v>
      </c>
      <c r="CB44">
        <f>0.962*(0.955*0.943*(0.9442 - 0.0007*$B44 - dis_BMI*($C44-21.75)) - 0.19*0.5)*AX44</f>
        <v>1.3177746520651084E-4</v>
      </c>
      <c r="CC44">
        <f>0.962*(0.955*0.943*(0.9442 - 0.0007*$B44 - dis_BMI*($C44-21.75)) - 0.15*0.5)*AY44</f>
        <v>1.1213048362870899E-4</v>
      </c>
      <c r="CD44">
        <f>0.962*(0.955*0.943*(0.9442 - 0.0007*$B44 - dis_BMI*($C44-21.75)))*AZ44</f>
        <v>1.5547319693010145E-4</v>
      </c>
      <c r="CE44">
        <f>0.962*(0.93*(0.9442 - 0.0007*$B44 - dis_BMI*($C44-21.75)))*BA44</f>
        <v>1.2983909096520895E-3</v>
      </c>
      <c r="CF44">
        <f>0.962*(0.93*(0.9442 - 0.0007*$B44 - dis_BMI*($C44-21.75)))*BB44</f>
        <v>1.6125898325567056E-2</v>
      </c>
      <c r="CG44">
        <f>0.962*(0.93*0.943*(0.9442 - 0.0007*$B44 - dis_BMI*($C44-21.75)))*BC44</f>
        <v>9.2619763079404002E-5</v>
      </c>
      <c r="CH44">
        <f>0.962*(0.93*0.943*(0.9442 - 0.0007*$B44 - dis_BMI*($C44-21.75))-0.19*0.5)*BD44</f>
        <v>2.6364640382388452E-4</v>
      </c>
      <c r="CI44">
        <f>0.962*(0.93*0.943*(0.9442 - 0.0007*$B44 - dis_BMI*($C44-21.75)))*BE44</f>
        <v>3.4988074259567403E-4</v>
      </c>
      <c r="CJ44">
        <f t="shared" si="17"/>
        <v>0</v>
      </c>
      <c r="CK44">
        <f t="shared" si="18"/>
        <v>0.19288509429839495</v>
      </c>
      <c r="CL44">
        <f>CK44/(1+r_)^A44</f>
        <v>5.7408004990751244E-2</v>
      </c>
      <c r="CM44">
        <f t="shared" si="19"/>
        <v>0</v>
      </c>
      <c r="CN44">
        <f>AE44*c_Other</f>
        <v>84.687271704662109</v>
      </c>
      <c r="CO44">
        <f>AF44*(c_Stroke1+c_Stroke2)</f>
        <v>8.9071876168851674</v>
      </c>
      <c r="CP44">
        <f>AG44*c_Stroke2</f>
        <v>7.0416248973539242</v>
      </c>
      <c r="CQ44">
        <f>AH44*(c_MI1+c_MI2)</f>
        <v>5.0216637354575697</v>
      </c>
      <c r="CR44">
        <f>AI44*c_MI2</f>
        <v>2.1947341270628473</v>
      </c>
      <c r="CS44">
        <f>AJ44*(c_Stroke1+c_Stroke2+c_MI2)</f>
        <v>0.30721827445159861</v>
      </c>
      <c r="CT44">
        <f>AK44*(c_Stroke2+c_MI1+c_MI2)</f>
        <v>0.35200977843856635</v>
      </c>
      <c r="CU44">
        <f>AL44*(c_Stroke2+c_MI2)</f>
        <v>0.14500814627772246</v>
      </c>
      <c r="CV44">
        <f>AM44*(c_HF1)</f>
        <v>4.0413012681815648</v>
      </c>
      <c r="CW44">
        <f>AN44*(c_HF2)</f>
        <v>30.015010526024597</v>
      </c>
      <c r="CX44">
        <f>AO44*(c_Stroke2+c_HF1)</f>
        <v>0.25470018862997923</v>
      </c>
      <c r="CY44">
        <f>AP44*(c_Stroke1+c_Stroke2+c_HF2)</f>
        <v>0.94453383579490369</v>
      </c>
      <c r="CZ44">
        <f>AQ44*(c_Stroke2+c_HF2)</f>
        <v>0.78437013170832248</v>
      </c>
      <c r="DA44">
        <f>AR44*c_DM</f>
        <v>1258.2432983490733</v>
      </c>
      <c r="DB44">
        <f>AS44*(c_Other+c_DM)</f>
        <v>1477.8258556002027</v>
      </c>
      <c r="DC44">
        <f>AT44*(c_Stroke1+c_Stroke2+c_DM)</f>
        <v>146.57961718903502</v>
      </c>
      <c r="DD44">
        <f>AU44*(c_Stroke2+c_DM)</f>
        <v>196.7365849204661</v>
      </c>
      <c r="DE44">
        <f>AV44*(c_MI1+c_MI2+c_DM)</f>
        <v>80.617986623199371</v>
      </c>
      <c r="DF44">
        <f>AW44*(c_MI2+c_DM)</f>
        <v>117.25614273160853</v>
      </c>
      <c r="DG44">
        <f>AX44*(c_Stroke1+c_Stroke2+c_MI2+c_DM)</f>
        <v>8.0489171021888577</v>
      </c>
      <c r="DH44">
        <f>AY44*(c_Stroke2+c_MI1+c_MI2+c_DM)</f>
        <v>8.1556371302103798</v>
      </c>
      <c r="DI44">
        <f>AZ44*(c_Stroke2+c_MI2+c_DM)</f>
        <v>4.5475569164590075</v>
      </c>
      <c r="DJ44">
        <f>BA44*(c_HF1+c_DM)</f>
        <v>67.208777506699789</v>
      </c>
      <c r="DK44">
        <f>BB44*(c_HF2+c_DM)</f>
        <v>586.72916543364443</v>
      </c>
      <c r="DL44">
        <f>BC44*(c_Stroke2+c_HF1+c_DM)</f>
        <v>5.9434373473814093</v>
      </c>
      <c r="DM44">
        <f>BD44*(c_Stroke1+c_Stroke2+c_HF2+c_DM)</f>
        <v>22.006029929416314</v>
      </c>
      <c r="DN44">
        <f>BE44*(c_Stroke2+c_HF2+c_DM)</f>
        <v>16.745943217582884</v>
      </c>
      <c r="DO44">
        <f t="shared" si="20"/>
        <v>0</v>
      </c>
      <c r="DP44">
        <f t="shared" si="21"/>
        <v>4141.3415842280974</v>
      </c>
      <c r="DQ44">
        <f>DP44/(1+r_)^A44</f>
        <v>1232.5792161419008</v>
      </c>
    </row>
    <row r="45" spans="1:121" x14ac:dyDescent="0.3">
      <c r="A45">
        <v>42</v>
      </c>
      <c r="B45">
        <v>87</v>
      </c>
      <c r="C45">
        <f t="shared" si="40"/>
        <v>38</v>
      </c>
      <c r="D45">
        <f t="shared" si="1"/>
        <v>125</v>
      </c>
      <c r="E45">
        <f t="shared" ref="E45:E67" si="42">E$4</f>
        <v>5.7</v>
      </c>
      <c r="F45">
        <v>9.1389999999999999E-2</v>
      </c>
      <c r="G45">
        <v>0.11588</v>
      </c>
      <c r="H45">
        <f t="shared" si="3"/>
        <v>9.6287999999999985E-2</v>
      </c>
      <c r="I45">
        <f t="shared" si="22"/>
        <v>5.6857293942168513E-2</v>
      </c>
      <c r="J45">
        <f t="shared" si="23"/>
        <v>0.39967389578821111</v>
      </c>
      <c r="K45">
        <f t="shared" si="24"/>
        <v>0.5106346427384989</v>
      </c>
      <c r="L45">
        <f t="shared" si="25"/>
        <v>0.21460384657188858</v>
      </c>
      <c r="M45">
        <f t="shared" si="26"/>
        <v>0.28702758739502121</v>
      </c>
      <c r="N45">
        <f t="shared" si="27"/>
        <v>0.7689886893445651</v>
      </c>
      <c r="O45">
        <f t="shared" si="28"/>
        <v>0.87386929487717446</v>
      </c>
      <c r="P45">
        <f t="shared" si="29"/>
        <v>0.51361798804971626</v>
      </c>
      <c r="Q45">
        <f t="shared" si="30"/>
        <v>0.63883747381421152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3.2909457718708138E-2</v>
      </c>
      <c r="U45">
        <f t="shared" si="31"/>
        <v>0.67061616163260784</v>
      </c>
      <c r="V45">
        <f t="shared" si="32"/>
        <v>0.78887181929035055</v>
      </c>
      <c r="W45">
        <f t="shared" si="33"/>
        <v>0.40887296862960842</v>
      </c>
      <c r="X45">
        <f t="shared" si="34"/>
        <v>0.52110428187036661</v>
      </c>
      <c r="Y45">
        <f t="shared" si="35"/>
        <v>0.91737247519064435</v>
      </c>
      <c r="Z45">
        <f t="shared" si="36"/>
        <v>0.97049407335985327</v>
      </c>
      <c r="AA45">
        <f t="shared" si="37"/>
        <v>0.70667815895053554</v>
      </c>
      <c r="AB45">
        <f t="shared" si="38"/>
        <v>0.82324832378754653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5.3139507602917399E-2</v>
      </c>
      <c r="AD45">
        <f t="shared" ref="AD45:AD58" si="43">AD44*(1-T44-H44)*(1-I44)</f>
        <v>1.5629991269361328E-2</v>
      </c>
      <c r="AE45">
        <f t="shared" ref="AE45:AE58" si="44">AD44*T44*p_Other*(1-I44) + AE44*(1-T44*(1-p_Other)-H44*rr_Other)*(1-I44)</f>
        <v>4.9096647407175309E-3</v>
      </c>
      <c r="AF45">
        <f t="shared" ref="AF45:AF58" si="45">AD44*T44*p_Stroke*p_Stroke_rec*(1-I44)+AE44*T44*p_Stroke*p_Stroke_rec*(1-I44) + AF44*p_recur_Stroke*p_Stroke_rec*(1-I44) + AG44*p_recur_Stroke*p_Stroke_rec*(1-I44)</f>
        <v>3.1027554714194633E-4</v>
      </c>
      <c r="AG45">
        <f t="shared" ref="AG45:AG58" si="46">AF44*(1-p_recur_Stroke-T44*p_MI-H44*rr_Stroke)*(1-I44) + AG44*(1-p_recur_Stroke-T44*p_MI-H44*rr_Stroke)*(1-I44)</f>
        <v>8.2887438946123275E-4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1.4740111062316711E-4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5.8046914717237597E-4</v>
      </c>
      <c r="AJ45">
        <f t="shared" ref="AJ45:AJ58" si="47">AH44*T44*p_Stroke*p_Stroke_rec*(1-I44) + AI44*T44*p_Stroke*p_Stroke_rec*(1-I44) + AJ44*p_recur_Stroke*p_Stroke_rec*(1-I44) + AK44*p_recur_Stroke*p_Stroke_rec*(1-I44) + AL44*p_recur_Stroke*p_Stroke_rec*(1-I44)</f>
        <v>9.4044432625752503E-6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7.9903374520673775E-6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1.0269910577923704E-5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1.2671239852984621E-4</v>
      </c>
      <c r="AN45">
        <f t="shared" ref="AN45:AN58" si="48">AM44*(1-T44*p_Stroke - H44*rr_HF)*(1-I44) + AN44*(1-T44*p_Stroke-H44*rr_HF)*(1-I44)</f>
        <v>1.63382221919434E-3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6.0276981513773469E-6</v>
      </c>
      <c r="AP45">
        <f>AM44*T44*p_Stroke*p_Stroke_rec*(1-I44) + AN44*T44*p_Stroke*p_Stroke_rec*(1-I44) + AO44*(p_recur_Stroke*p_Stroke_rec)*(1-I44) + AP44*(p_recur_Stroke*p_Stroke_rec)*(1-I44) + AQ44*(p_recur_Stroke*p_Stroke_rec)*(1-I44)</f>
        <v>2.0270412451235492E-5</v>
      </c>
      <c r="AQ45">
        <f>AO44*(1-p_recur_Stroke-H44*rr_Stroke*rr_HF)*(1-I44) + AP44*(1-p_recur_Stroke-H44*rr_Stroke*rr_HF)*(1-I44) + AQ44*(1-p_recur_Stroke-H44*rr_Stroke*rr_HF)*(1-I44)</f>
        <v>2.4584262417117926E-5</v>
      </c>
      <c r="AR45">
        <f>AR44*(1-AC44-H44*rr_DM) + AD44*(1-T44-H44)*I44</f>
        <v>9.4410689389899521E-2</v>
      </c>
      <c r="AS45">
        <f>AR44*AC44*p_Other + AD44*T44*p_Other*I44 + AE44*(1-T44*p_Stroke-T44*p_MI-H44*rr_Other)*I44 + AS44*(1-AC44*p_Stroke-AC44*p_MI-H44*rr_Other*rr_DM)</f>
        <v>4.8767303690615396E-2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3.5388924249866345E-3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8.497756044942982E-3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1.7480448791103347E-3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6.8413257282761639E-3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1.7759494394768596E-4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1.4261938309270041E-4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1.417460376489046E-4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1.5265169301057423E-3</v>
      </c>
      <c r="BB45">
        <f>AM44*(1-T44*p_Stroke - H44*rr_HF)*I44 + AN44*(1-T44*p_Stroke - H44*rr_HF)*I44 + BA44*(1-AC44*p_Stroke - H44*rr_HF*rr_DM) + BB44*(1-AC44*p_Stroke - H44*rr_HF*rr_DM)</f>
        <v>1.9038828407813787E-2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1.0672398230850812E-4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3.7749233201610737E-4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3.3692776183066154E-4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0.76510178017689046</v>
      </c>
      <c r="BG45">
        <f t="shared" ref="BG45:BG58" si="49">SUM(AD45:BF45)</f>
        <v>0.97499999999999976</v>
      </c>
      <c r="BH45">
        <f>(0.9442 - 0.0007*$B45 - dis_BMI*($C45-21.75))*AD45</f>
        <v>1.2967813006407361E-2</v>
      </c>
      <c r="BI45">
        <f>0.959*(0.9442 - 0.0007*$B45 - dis_BMI*($C45-21.75))*AE45</f>
        <v>3.9064156239108699E-3</v>
      </c>
      <c r="BJ45">
        <f>(0.943*(0.9442 - 0.0007*$B45 - dis_BMI*($C45-21.75)) - 0.19*0.5)*AF45</f>
        <v>2.1327829931573473E-4</v>
      </c>
      <c r="BK45">
        <f>(0.943*(0.9442 - 0.0007*$B45 - dis_BMI*($C45-21.75)))*AG45</f>
        <v>6.4849766660890213E-4</v>
      </c>
      <c r="BL45">
        <f>(0.955*(0.9442 - 0.0007*$B45 - dis_BMI*($C45-21.75)) - 0.15*0.5)*AH45</f>
        <v>1.0573665741900622E-4</v>
      </c>
      <c r="BM45">
        <f>(0.955*(0.9442 - 0.0007*$B45 - dis_BMI*($C45-21.75)))*AI45</f>
        <v>4.599287063946302E-4</v>
      </c>
      <c r="BN45">
        <f>(0.955*0.943*(0.9442 - 0.0007*$B45 - dis_BMI*($C45-21.75)) - 0.19*0.5)*AJ45</f>
        <v>6.1333546943218511E-6</v>
      </c>
      <c r="BO45">
        <f>(0.955*0.943*(0.9442 - 0.0007*$B45 - dis_BMI*($C45-21.75)) - 0.15*0.5)*AK45</f>
        <v>5.3709151956069811E-6</v>
      </c>
      <c r="BP45">
        <f>(0.955*0.943*(0.9442 - 0.0007*$B45 - dis_BMI*($C45-21.75)))*AL45</f>
        <v>7.6734334416181525E-6</v>
      </c>
      <c r="BQ45">
        <f>(0.93*(0.9442 - 0.0007*$B45 - dis_BMI*($C45-21.75)))*AM45</f>
        <v>9.7771001602732659E-5</v>
      </c>
      <c r="BR45">
        <f>(0.93*(0.9442 - 0.0007*$B45 - dis_BMI*($C45-21.75)))*AN45</f>
        <v>1.2606535482303598E-3</v>
      </c>
      <c r="BS45">
        <f>(0.93*0.943*(0.9442 - 0.0007*$B45 - dis_BMI*($C45-21.75)))*AO45</f>
        <v>4.3858537063988511E-6</v>
      </c>
      <c r="BT45">
        <f>(0.93*0.943*(0.9442 - 0.0007*$B45 - dis_BMI*($C45-21.75))-0.19*0.5)*AP45</f>
        <v>1.2823400991658039E-5</v>
      </c>
      <c r="BU45">
        <f>(0.93*0.943*(0.9442 - 0.0007*$B45 - dis_BMI*($C45-21.75)))*AQ45</f>
        <v>1.7887919357169664E-5</v>
      </c>
      <c r="BV45">
        <f>0.962*(0.9442 - 0.0007*$B45 - dis_BMI*($C45-21.75))*AR45</f>
        <v>7.5353641548221426E-2</v>
      </c>
      <c r="BW45">
        <f>0.962*0.959*(0.9442 - 0.0007*$B45 - dis_BMI*($C45-21.75))*AS45</f>
        <v>3.7327630944810189E-2</v>
      </c>
      <c r="BX45">
        <f>0.962*(0.943*(0.9442 - 0.0007*$B45 - dis_BMI*($C45-21.75)) - 0.19*0.5)*AT45</f>
        <v>2.3401384483951525E-3</v>
      </c>
      <c r="BY45">
        <f>0.962*(0.943*(0.9442 - 0.0007*$B45 - dis_BMI*($C45-21.75)))*AU45</f>
        <v>6.3958611645293113E-3</v>
      </c>
      <c r="BZ45">
        <f>0.962*(0.955*(0.9442 - 0.0007*$B45 - dis_BMI*($C45-21.75)) - 0.15*0.5)*AV45</f>
        <v>1.2062920674577391E-3</v>
      </c>
      <c r="CA45">
        <f>0.962*(0.955*(0.9442 - 0.0007*$B45 - dis_BMI*($C45-21.75)))*AW45</f>
        <v>5.21466863048747E-3</v>
      </c>
      <c r="CB45">
        <f>0.962*(0.955*0.943*(0.9442 - 0.0007*$B45 - dis_BMI*($C45-21.75)) - 0.19*0.5)*AX45</f>
        <v>1.1142192558698583E-4</v>
      </c>
      <c r="CC45">
        <f>0.962*(0.955*0.943*(0.9442 - 0.0007*$B45 - dis_BMI*($C45-21.75)) - 0.15*0.5)*AY45</f>
        <v>9.2222480591238788E-5</v>
      </c>
      <c r="CD45">
        <f>0.962*(0.955*0.943*(0.9442 - 0.0007*$B45 - dis_BMI*($C45-21.75)))*AZ45</f>
        <v>1.0188472272696829E-4</v>
      </c>
      <c r="CE45">
        <f>0.962*(0.93*(0.9442 - 0.0007*$B45 - dis_BMI*($C45-21.75)))*BA45</f>
        <v>1.133098461519451E-3</v>
      </c>
      <c r="CF45">
        <f>0.962*(0.93*(0.9442 - 0.0007*$B45 - dis_BMI*($C45-21.75)))*BB45</f>
        <v>1.4132085109945203E-2</v>
      </c>
      <c r="CG45">
        <f>0.962*(0.93*0.943*(0.9442 - 0.0007*$B45 - dis_BMI*($C45-21.75)))*BC45</f>
        <v>7.4703291816045171E-5</v>
      </c>
      <c r="CH45">
        <f>0.962*(0.93*0.943*(0.9442 - 0.0007*$B45 - dis_BMI*($C45-21.75))-0.19*0.5)*BD45</f>
        <v>2.297332432293707E-4</v>
      </c>
      <c r="CI45">
        <f>0.962*(0.93*0.943*(0.9442 - 0.0007*$B45 - dis_BMI*($C45-21.75)))*BE45</f>
        <v>2.3583839703624266E-4</v>
      </c>
      <c r="CJ45">
        <f t="shared" ref="CJ45:CJ58" si="50">0*BF45</f>
        <v>0</v>
      </c>
      <c r="CK45">
        <f t="shared" ref="CK45:CK58" si="51">SUM(BH45:CJ45)</f>
        <v>0.16366358982362919</v>
      </c>
      <c r="CL45">
        <f>CK45/(1+r_)^A45</f>
        <v>4.7292103917458687E-2</v>
      </c>
      <c r="CM45">
        <f t="shared" ref="CM45:CM58" si="52">AD45*0</f>
        <v>0</v>
      </c>
      <c r="CN45">
        <f>AE45*c_Other</f>
        <v>70.105102832705626</v>
      </c>
      <c r="CO45">
        <f>AF45*(c_Stroke1+c_Stroke2)</f>
        <v>7.389522430732594</v>
      </c>
      <c r="CP45">
        <f>AG45*c_Stroke2</f>
        <v>5.3876835314980127</v>
      </c>
      <c r="CQ45">
        <f>AH45*(c_MI1+c_MI2)</f>
        <v>4.2968897757759441</v>
      </c>
      <c r="CR45">
        <f>AI45*c_MI2</f>
        <v>1.8093223317362959</v>
      </c>
      <c r="CS45">
        <f>AJ45*(c_Stroke1+c_Stroke2+c_MI2)</f>
        <v>0.2532898703909392</v>
      </c>
      <c r="CT45">
        <f>AK45*(c_Stroke2+c_MI1+c_MI2)</f>
        <v>0.2848635205036541</v>
      </c>
      <c r="CU45">
        <f>AL45*(c_Stroke2+c_MI2)</f>
        <v>9.8765730027892268E-2</v>
      </c>
      <c r="CV45">
        <f>AM45*(c_HF1)</f>
        <v>3.4250361322617433</v>
      </c>
      <c r="CW45">
        <f>AN45*(c_HF2)</f>
        <v>25.495795730527675</v>
      </c>
      <c r="CX45">
        <f>AO45*(c_Stroke2+c_HF1)</f>
        <v>0.20210871901568245</v>
      </c>
      <c r="CY45">
        <f>AP45*(c_Stroke1+c_Stroke2+c_HF2)</f>
        <v>0.79907992924015436</v>
      </c>
      <c r="CZ45">
        <f>AQ45*(c_Stroke2+c_HF2)</f>
        <v>0.5434351207303918</v>
      </c>
      <c r="DA45">
        <f>AR45*c_DM</f>
        <v>1078.6421262796021</v>
      </c>
      <c r="DB45">
        <f>AS45*(c_Other+c_DM)</f>
        <v>1253.5147740635782</v>
      </c>
      <c r="DC45">
        <f>AT45*(c_Stroke1+c_Stroke2+c_DM)</f>
        <v>124.71410794895398</v>
      </c>
      <c r="DD45">
        <f>AU45*(c_Stroke2+c_DM)</f>
        <v>152.32227710560295</v>
      </c>
      <c r="DE45">
        <f>AV45*(c_MI1+c_MI2+c_DM)</f>
        <v>70.928669014780937</v>
      </c>
      <c r="DF45">
        <f>AW45*(c_MI2+c_DM)</f>
        <v>99.486558740591974</v>
      </c>
      <c r="DG45">
        <f>AX45*(c_Stroke1+c_Stroke2+c_MI2+c_DM)</f>
        <v>6.8121868599453377</v>
      </c>
      <c r="DH45">
        <f>AY45*(c_Stroke2+c_MI1+c_MI2+c_DM)</f>
        <v>6.7139500784719646</v>
      </c>
      <c r="DI45">
        <f>AZ45*(c_Stroke2+c_MI2+c_DM)</f>
        <v>2.9826201242082506</v>
      </c>
      <c r="DJ45">
        <f>BA45*(c_HF1+c_DM)</f>
        <v>58.702208547216323</v>
      </c>
      <c r="DK45">
        <f>BB45*(c_HF2+c_DM)</f>
        <v>514.6195318632067</v>
      </c>
      <c r="DL45">
        <f>BC45*(c_Stroke2+c_HF1+c_DM)</f>
        <v>4.797776624678983</v>
      </c>
      <c r="DM45">
        <f>BD45*(c_Stroke1+c_Stroke2+c_HF2+c_DM)</f>
        <v>19.193975113690996</v>
      </c>
      <c r="DN45">
        <f>BE45*(c_Stroke2+c_HF2+c_DM)</f>
        <v>11.297187854182081</v>
      </c>
      <c r="DO45">
        <f t="shared" ref="DO45:DO58" si="53">BF45*0</f>
        <v>0</v>
      </c>
      <c r="DP45">
        <f t="shared" ref="DP45:DP58" si="54">SUM(CM45:DO45)</f>
        <v>3524.8188458738578</v>
      </c>
      <c r="DQ45">
        <f>DP45/(1+r_)^A45</f>
        <v>1018.528918551292</v>
      </c>
    </row>
    <row r="46" spans="1:121" x14ac:dyDescent="0.3">
      <c r="A46">
        <v>43</v>
      </c>
      <c r="B46">
        <v>88</v>
      </c>
      <c r="C46">
        <f t="shared" si="40"/>
        <v>38</v>
      </c>
      <c r="D46">
        <f t="shared" si="1"/>
        <v>125</v>
      </c>
      <c r="E46">
        <f t="shared" si="42"/>
        <v>5.7</v>
      </c>
      <c r="F46">
        <v>0.1036</v>
      </c>
      <c r="G46">
        <v>0.13149</v>
      </c>
      <c r="H46">
        <f t="shared" si="3"/>
        <v>0.109178</v>
      </c>
      <c r="I46">
        <f t="shared" si="22"/>
        <v>5.6857293942168513E-2</v>
      </c>
      <c r="J46">
        <f t="shared" si="23"/>
        <v>0.40927252398338487</v>
      </c>
      <c r="K46">
        <f t="shared" si="24"/>
        <v>0.52155755370892831</v>
      </c>
      <c r="L46">
        <f t="shared" si="25"/>
        <v>0.22057388843207371</v>
      </c>
      <c r="M46">
        <f t="shared" si="26"/>
        <v>0.29460601680295539</v>
      </c>
      <c r="N46">
        <f t="shared" si="27"/>
        <v>0.78092878157392331</v>
      </c>
      <c r="O46">
        <f t="shared" si="28"/>
        <v>0.88298154294934084</v>
      </c>
      <c r="P46">
        <f t="shared" si="29"/>
        <v>0.52615046208631466</v>
      </c>
      <c r="Q46">
        <f t="shared" si="30"/>
        <v>0.65191639730583273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3.3695741302226662E-2</v>
      </c>
      <c r="U46">
        <f t="shared" si="31"/>
        <v>0.68197006248863845</v>
      </c>
      <c r="V46">
        <f t="shared" si="32"/>
        <v>0.79899321176196048</v>
      </c>
      <c r="W46">
        <f t="shared" si="33"/>
        <v>0.41860816562077685</v>
      </c>
      <c r="X46">
        <f t="shared" si="34"/>
        <v>0.5321132336106269</v>
      </c>
      <c r="Y46">
        <f t="shared" si="35"/>
        <v>0.92450726049481002</v>
      </c>
      <c r="Z46">
        <f t="shared" si="36"/>
        <v>0.97402877362760254</v>
      </c>
      <c r="AA46">
        <f t="shared" si="37"/>
        <v>0.71942259722396795</v>
      </c>
      <c r="AB46">
        <f t="shared" si="38"/>
        <v>0.83400134601294784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5.4132144874687989E-2</v>
      </c>
      <c r="AD46">
        <f t="shared" si="43"/>
        <v>1.2836772193829315E-2</v>
      </c>
      <c r="AE46">
        <f t="shared" si="44"/>
        <v>3.981621080562805E-3</v>
      </c>
      <c r="AF46">
        <f t="shared" si="45"/>
        <v>2.5351010921454916E-4</v>
      </c>
      <c r="AG46">
        <f t="shared" si="46"/>
        <v>6.1387815558088248E-4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1.2461165243973093E-4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4.7106347325250335E-4</v>
      </c>
      <c r="AJ46">
        <f t="shared" si="47"/>
        <v>7.6609683184524033E-6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6.3322263570424939E-6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6.5155624608207331E-6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1.0613958254109033E-4</v>
      </c>
      <c r="AN46">
        <f t="shared" si="48"/>
        <v>1.3568856530078066E-3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4.6901571134797308E-6</v>
      </c>
      <c r="AP46">
        <f>AM45*T45*p_Stroke*p_Stroke_rec*(1-I45) + AN45*T45*p_Stroke*p_Stroke_rec*(1-I45) + AO45*(p_recur_Stroke*p_Stroke_rec)*(1-I45) + AP45*(p_recur_Stroke*p_Stroke_rec)*(1-I45) + AQ45*(p_recur_Stroke*p_Stroke_rec)*(1-I45)</f>
        <v>1.6860699358171632E-5</v>
      </c>
      <c r="AQ46">
        <f>AO45*(1-p_recur_Stroke-H45*rr_Stroke*rr_HF)*(1-I45) + AP45*(1-p_recur_Stroke-H45*rr_Stroke*rr_HF)*(1-I45) + AQ45*(1-p_recur_Stroke-H45*rr_Stroke*rr_HF)*(1-I45)</f>
        <v>1.5907783425234985E-5</v>
      </c>
      <c r="AR46">
        <f>AR45*(1-AC45-H45*rr_DM) + AD45*(1-T45-H45)*I45</f>
        <v>7.9713406853662364E-2</v>
      </c>
      <c r="AS46">
        <f>AR45*AC45*p_Other + AD45*T45*p_Other*I45 + AE45*(1-T45*p_Stroke-T45*p_MI-H45*rr_Other)*I45 + AS45*(1-AC45*p_Stroke-AC45*p_MI-H45*rr_Other*rr_DM)</f>
        <v>4.034037145915944E-2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2.9540679745628253E-3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6.316775694459059E-3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1.5138422359885508E-3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5.6864107165125492E-3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1.4804389528172996E-4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1.1444783974104392E-4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8.2755668329901922E-5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1.3127145978679201E-3</v>
      </c>
      <c r="BB46">
        <f>AM45*(1-T45*p_Stroke - H45*rr_HF)*I45 + AN45*(1-T45*p_Stroke - H45*rr_HF)*I45 + BA45*(1-AC45*p_Stroke - H45*rr_HF*rr_DM) + BB45*(1-AC45*p_Stroke - H45*rr_HF*rr_DM)</f>
        <v>1.6251243493384027E-2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8.4125641405386592E-5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3.2291407208007351E-4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2.0559520309802466E-4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0.80015083535700482</v>
      </c>
      <c r="BG46">
        <f t="shared" si="49"/>
        <v>0.97499999999999964</v>
      </c>
      <c r="BH46">
        <f>(0.9442 - 0.0007*$B46 - dis_BMI*($C46-21.75))*AD46</f>
        <v>1.0641363229379657E-2</v>
      </c>
      <c r="BI46">
        <f>0.959*(0.9442 - 0.0007*$B46 - dis_BMI*($C46-21.75))*AE46</f>
        <v>3.1653370975139095E-3</v>
      </c>
      <c r="BJ46">
        <f>(0.943*(0.9442 - 0.0007*$B46 - dis_BMI*($C46-21.75)) - 0.19*0.5)*AF46</f>
        <v>1.7409133047193928E-4</v>
      </c>
      <c r="BK46">
        <f>(0.943*(0.9442 - 0.0007*$B46 - dis_BMI*($C46-21.75)))*AG46</f>
        <v>4.7988293431337032E-4</v>
      </c>
      <c r="BL46">
        <f>(0.955*(0.9442 - 0.0007*$B46 - dis_BMI*($C46-21.75)) - 0.15*0.5)*AH46</f>
        <v>8.930557314209097E-5</v>
      </c>
      <c r="BM46">
        <f>(0.955*(0.9442 - 0.0007*$B46 - dis_BMI*($C46-21.75)))*AI46</f>
        <v>3.7292734981621674E-4</v>
      </c>
      <c r="BN46">
        <f>(0.955*0.943*(0.9442 - 0.0007*$B46 - dis_BMI*($C46-21.75)) - 0.19*0.5)*AJ46</f>
        <v>4.9914722747918559E-6</v>
      </c>
      <c r="BO46">
        <f>(0.955*0.943*(0.9442 - 0.0007*$B46 - dis_BMI*($C46-21.75)) - 0.15*0.5)*AK46</f>
        <v>4.2523804635177304E-6</v>
      </c>
      <c r="BP46">
        <f>(0.955*0.943*(0.9442 - 0.0007*$B46 - dis_BMI*($C46-21.75)))*AL46</f>
        <v>4.8641662515538728E-6</v>
      </c>
      <c r="BQ46">
        <f>(0.93*(0.9442 - 0.0007*$B46 - dis_BMI*($C46-21.75)))*AM46</f>
        <v>8.1827966206410332E-5</v>
      </c>
      <c r="BR46">
        <f>(0.93*(0.9442 - 0.0007*$B46 - dis_BMI*($C46-21.75)))*AN46</f>
        <v>1.0460865843079962E-3</v>
      </c>
      <c r="BS46">
        <f>(0.93*0.943*(0.9442 - 0.0007*$B46 - dis_BMI*($C46-21.75)))*AO46</f>
        <v>3.4097572847598648E-6</v>
      </c>
      <c r="BT46">
        <f>(0.93*0.943*(0.9442 - 0.0007*$B46 - dis_BMI*($C46-21.75))-0.19*0.5)*AP46</f>
        <v>1.065600895562736E-5</v>
      </c>
      <c r="BU46">
        <f>(0.93*0.943*(0.9442 - 0.0007*$B46 - dis_BMI*($C46-21.75)))*AQ46</f>
        <v>1.1565002857299621E-5</v>
      </c>
      <c r="BV46">
        <f>0.962*(0.9442 - 0.0007*$B46 - dis_BMI*($C46-21.75))*AR46</f>
        <v>6.356936543154719E-2</v>
      </c>
      <c r="BW46">
        <f>0.962*0.959*(0.9442 - 0.0007*$B46 - dis_BMI*($C46-21.75))*AS46</f>
        <v>3.0851409161751012E-2</v>
      </c>
      <c r="BX46">
        <f>0.962*(0.943*(0.9442 - 0.0007*$B46 - dis_BMI*($C46-21.75)) - 0.19*0.5)*AT46</f>
        <v>1.9515398254419617E-3</v>
      </c>
      <c r="BY46">
        <f>0.962*(0.943*(0.9442 - 0.0007*$B46 - dis_BMI*($C46-21.75)))*AU46</f>
        <v>4.7503286126577759E-3</v>
      </c>
      <c r="BZ46">
        <f>0.962*(0.955*(0.9442 - 0.0007*$B46 - dis_BMI*($C46-21.75)) - 0.15*0.5)*AV46</f>
        <v>1.0436997916415699E-3</v>
      </c>
      <c r="CA46">
        <f>0.962*(0.955*(0.9442 - 0.0007*$B46 - dis_BMI*($C46-21.75)))*AW46</f>
        <v>4.3307000167257109E-3</v>
      </c>
      <c r="CB46">
        <f>0.962*(0.955*0.943*(0.9442 - 0.0007*$B46 - dis_BMI*($C46-21.75)) - 0.19*0.5)*AX46</f>
        <v>9.2792007909257696E-5</v>
      </c>
      <c r="CC46">
        <f>0.962*(0.955*0.943*(0.9442 - 0.0007*$B46 - dis_BMI*($C46-21.75)) - 0.15*0.5)*AY46</f>
        <v>7.3936409188732639E-5</v>
      </c>
      <c r="CD46">
        <f>0.962*(0.955*0.943*(0.9442 - 0.0007*$B46 - dis_BMI*($C46-21.75)))*AZ46</f>
        <v>5.9433228188828095E-5</v>
      </c>
      <c r="CE46">
        <f>0.962*(0.93*(0.9442 - 0.0007*$B46 - dis_BMI*($C46-21.75)))*BA46</f>
        <v>9.7357579689348432E-4</v>
      </c>
      <c r="CF46">
        <f>0.962*(0.93*(0.9442 - 0.0007*$B46 - dis_BMI*($C46-21.75)))*BB46</f>
        <v>1.2052747307205104E-2</v>
      </c>
      <c r="CG46">
        <f>0.962*(0.93*0.943*(0.9442 - 0.0007*$B46 - dis_BMI*($C46-21.75)))*BC46</f>
        <v>5.8835511739377749E-5</v>
      </c>
      <c r="CH46">
        <f>0.962*(0.93*0.943*(0.9442 - 0.0007*$B46 - dis_BMI*($C46-21.75))-0.19*0.5)*BD46</f>
        <v>1.9632745441888679E-4</v>
      </c>
      <c r="CI46">
        <f>0.962*(0.93*0.943*(0.9442 - 0.0007*$B46 - dis_BMI*($C46-21.75)))*BE46</f>
        <v>1.4378849044542386E-4</v>
      </c>
      <c r="CJ46">
        <f t="shared" si="50"/>
        <v>0</v>
      </c>
      <c r="CK46">
        <f t="shared" si="51"/>
        <v>0.13623903989899344</v>
      </c>
      <c r="CL46">
        <f>CK46/(1+r_)^A46</f>
        <v>3.8220900244518574E-2</v>
      </c>
      <c r="CM46">
        <f t="shared" si="52"/>
        <v>0</v>
      </c>
      <c r="CN46">
        <f>AE46*c_Other</f>
        <v>56.853567409356295</v>
      </c>
      <c r="CO46">
        <f>AF46*(c_Stroke1+c_Stroke2)</f>
        <v>6.0375967610537034</v>
      </c>
      <c r="CP46">
        <f>AG46*c_Stroke2</f>
        <v>3.9902080112757363</v>
      </c>
      <c r="CQ46">
        <f>AH46*(c_MI1+c_MI2)</f>
        <v>3.6325542802705963</v>
      </c>
      <c r="CR46">
        <f>AI46*c_MI2</f>
        <v>1.468304846128053</v>
      </c>
      <c r="CS46">
        <f>AJ46*(c_Stroke1+c_Stroke2+c_MI2)</f>
        <v>0.20633285972087859</v>
      </c>
      <c r="CT46">
        <f>AK46*(c_Stroke2+c_MI1+c_MI2)</f>
        <v>0.22575020185492195</v>
      </c>
      <c r="CU46">
        <f>AL46*(c_Stroke2+c_MI2)</f>
        <v>6.2660164185712991E-2</v>
      </c>
      <c r="CV46">
        <f>AM46*(c_HF1)</f>
        <v>2.8689529160856715</v>
      </c>
      <c r="CW46">
        <f>AN46*(c_HF2)</f>
        <v>21.174200615186823</v>
      </c>
      <c r="CX46">
        <f>AO46*(c_Stroke2+c_HF1)</f>
        <v>0.15726096801497538</v>
      </c>
      <c r="CY46">
        <f>AP46*(c_Stroke1+c_Stroke2+c_HF2)</f>
        <v>0.66466562939848395</v>
      </c>
      <c r="CZ46">
        <f>AQ46*(c_Stroke2+c_HF2)</f>
        <v>0.35164155261481933</v>
      </c>
      <c r="DA46">
        <f>AR46*c_DM</f>
        <v>910.72567330309255</v>
      </c>
      <c r="DB46">
        <f>AS46*(c_Other+c_DM)</f>
        <v>1036.9089079862342</v>
      </c>
      <c r="DC46">
        <f>AT46*(c_Stroke1+c_Stroke2+c_DM)</f>
        <v>104.10430949156853</v>
      </c>
      <c r="DD46">
        <f>AU46*(c_Stroke2+c_DM)</f>
        <v>113.22820432317863</v>
      </c>
      <c r="DE46">
        <f>AV46*(c_MI1+c_MI2+c_DM)</f>
        <v>61.425662567471434</v>
      </c>
      <c r="DF46">
        <f>AW46*(c_MI2+c_DM)</f>
        <v>82.691784639525494</v>
      </c>
      <c r="DG46">
        <f>AX46*(c_Stroke1+c_Stroke2+c_MI2+c_DM)</f>
        <v>5.6786677352165977</v>
      </c>
      <c r="DH46">
        <f>AY46*(c_Stroke2+c_MI1+c_MI2+c_DM)</f>
        <v>5.3877465036493835</v>
      </c>
      <c r="DI46">
        <f>AZ46*(c_Stroke2+c_MI2+c_DM)</f>
        <v>1.7413447729977962</v>
      </c>
      <c r="DJ46">
        <f>BA46*(c_HF1+c_DM)</f>
        <v>50.480439861010865</v>
      </c>
      <c r="DK46">
        <f>BB46*(c_HF2+c_DM)</f>
        <v>439.27111162617024</v>
      </c>
      <c r="DL46">
        <f>BC46*(c_Stroke2+c_HF1+c_DM)</f>
        <v>3.7818682093791542</v>
      </c>
      <c r="DM46">
        <f>BD46*(c_Stroke1+c_Stroke2+c_HF2+c_DM)</f>
        <v>16.418888908983419</v>
      </c>
      <c r="DN46">
        <f>BE46*(c_Stroke2+c_HF2+c_DM)</f>
        <v>6.8936071598767672</v>
      </c>
      <c r="DO46">
        <f t="shared" si="53"/>
        <v>0</v>
      </c>
      <c r="DP46">
        <f t="shared" si="54"/>
        <v>2936.4319133035019</v>
      </c>
      <c r="DQ46">
        <f>DP46/(1+r_)^A46</f>
        <v>823.79523018073735</v>
      </c>
    </row>
    <row r="47" spans="1:121" x14ac:dyDescent="0.3">
      <c r="A47">
        <v>44</v>
      </c>
      <c r="B47">
        <v>89</v>
      </c>
      <c r="C47">
        <f t="shared" si="40"/>
        <v>38</v>
      </c>
      <c r="D47">
        <f t="shared" si="1"/>
        <v>125</v>
      </c>
      <c r="E47">
        <f t="shared" si="42"/>
        <v>5.7</v>
      </c>
      <c r="F47">
        <v>0.11525000000000001</v>
      </c>
      <c r="G47">
        <v>0.14443</v>
      </c>
      <c r="H47">
        <f t="shared" si="3"/>
        <v>0.121086</v>
      </c>
      <c r="I47">
        <f t="shared" si="22"/>
        <v>5.6857293942168513E-2</v>
      </c>
      <c r="J47">
        <f t="shared" si="23"/>
        <v>0.41890269418859061</v>
      </c>
      <c r="K47">
        <f t="shared" si="24"/>
        <v>0.53244515530542302</v>
      </c>
      <c r="L47">
        <f t="shared" si="25"/>
        <v>0.22661510861031653</v>
      </c>
      <c r="M47">
        <f t="shared" si="26"/>
        <v>0.30225117147610214</v>
      </c>
      <c r="N47">
        <f t="shared" si="27"/>
        <v>0.79251949594510207</v>
      </c>
      <c r="O47">
        <f t="shared" si="28"/>
        <v>0.8916331415090557</v>
      </c>
      <c r="P47">
        <f t="shared" si="29"/>
        <v>0.53865278209204526</v>
      </c>
      <c r="Q47">
        <f t="shared" si="30"/>
        <v>0.66482227175660391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3.4483668690207109E-2</v>
      </c>
      <c r="U47">
        <f t="shared" si="31"/>
        <v>0.69314525601631471</v>
      </c>
      <c r="V47">
        <f t="shared" si="32"/>
        <v>0.80881497873297004</v>
      </c>
      <c r="W47">
        <f t="shared" si="33"/>
        <v>0.42837054368484928</v>
      </c>
      <c r="X47">
        <f t="shared" si="34"/>
        <v>0.54307903094396415</v>
      </c>
      <c r="Y47">
        <f t="shared" si="35"/>
        <v>0.93117717158458235</v>
      </c>
      <c r="Z47">
        <f t="shared" si="36"/>
        <v>0.97721080828251938</v>
      </c>
      <c r="AA47">
        <f t="shared" si="37"/>
        <v>0.73190287697580847</v>
      </c>
      <c r="AB47">
        <f t="shared" si="38"/>
        <v>0.8443378063600383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5.5115175815188829E-2</v>
      </c>
      <c r="AD47">
        <f t="shared" si="43"/>
        <v>1.0377148813239456E-2</v>
      </c>
      <c r="AE47">
        <f t="shared" si="44"/>
        <v>3.1436895138188953E-3</v>
      </c>
      <c r="AF47">
        <f t="shared" si="45"/>
        <v>2.0341242165110692E-4</v>
      </c>
      <c r="AG47">
        <f t="shared" si="46"/>
        <v>4.3428095993681905E-4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1.0380945395768153E-4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3.7396588839999059E-4</v>
      </c>
      <c r="AJ47">
        <f t="shared" si="47"/>
        <v>6.1411244010136256E-6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4.8885031648604261E-6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3.5971807148920775E-6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8.7614675649453966E-5</v>
      </c>
      <c r="AN47">
        <f t="shared" si="48"/>
        <v>1.0949677931014737E-3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3.5567995127505782E-6</v>
      </c>
      <c r="AP47">
        <f>AM46*T46*p_Stroke*p_Stroke_rec*(1-I46) + AN46*T46*p_Stroke*p_Stroke_rec*(1-I46) + AO46*(p_recur_Stroke*p_Stroke_rec)*(1-I46) + AP46*(p_recur_Stroke*p_Stroke_rec)*(1-I46) + AQ46*(p_recur_Stroke*p_Stroke_rec)*(1-I46)</f>
        <v>1.3738600753292005E-5</v>
      </c>
      <c r="AQ47">
        <f>AO46*(1-p_recur_Stroke-H46*rr_Stroke*rr_HF)*(1-I46) + AP46*(1-p_recur_Stroke-H46*rr_Stroke*rr_HF)*(1-I46) + AQ46*(1-p_recur_Stroke-H46*rr_Stroke*rr_HF)*(1-I46)</f>
        <v>9.1168412896032169E-6</v>
      </c>
      <c r="AR47">
        <f>AR46*(1-AC46-H46*rr_DM) + AD46*(1-T46-H46)*I46</f>
        <v>6.6015541992928514E-2</v>
      </c>
      <c r="AS47">
        <f>AR46*AC46*p_Other + AD46*T46*p_Other*I46 + AE46*(1-T46*p_Stroke-T46*p_MI-H46*rr_Other)*I46 + AS46*(1-AC46*p_Stroke-AC46*p_MI-H46*rr_Other*rr_DM)</f>
        <v>3.2297146272708951E-2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2.4109032639892045E-3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4.4308021570621985E-3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1.2863087633858913E-3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4.5952320524057901E-3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1.2095983336628667E-4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8.8960167537989167E-5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3.6461545024825797E-5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1.1074578562625735E-3</v>
      </c>
      <c r="BB47">
        <f>AM46*(1-T46*p_Stroke - H46*rr_HF)*I46 + AN46*(1-T46*p_Stroke - H46*rr_HF)*I46 + BA46*(1-AC46*p_Stroke - H46*rr_HF*rr_DM) + BB46*(1-AC46*p_Stroke - H46*rr_HF*rr_DM)</f>
        <v>1.3397757733829611E-2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6.4279527296251705E-5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2.6964705699535936E-4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1.014904589891737E-4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0.83291712274862573</v>
      </c>
      <c r="BG47">
        <f t="shared" si="49"/>
        <v>0.97499999999999964</v>
      </c>
      <c r="BH47">
        <f>(0.9442 - 0.0007*$B47 - dis_BMI*($C47-21.75))*AD47</f>
        <v>8.5951329332859105E-3</v>
      </c>
      <c r="BI47">
        <f>0.959*(0.9442 - 0.0007*$B47 - dis_BMI*($C47-21.75))*AE47</f>
        <v>2.497082015343953E-3</v>
      </c>
      <c r="BJ47">
        <f>(0.943*(0.9442 - 0.0007*$B47 - dis_BMI*($C47-21.75)) - 0.19*0.5)*AF47</f>
        <v>1.3955380234426039E-4</v>
      </c>
      <c r="BK47">
        <f>(0.943*(0.9442 - 0.0007*$B47 - dis_BMI*($C47-21.75)))*AG47</f>
        <v>3.3920093055244365E-4</v>
      </c>
      <c r="BL47">
        <f>(0.955*(0.9442 - 0.0007*$B47 - dis_BMI*($C47-21.75)) - 0.15*0.5)*AH47</f>
        <v>7.4327841533516613E-5</v>
      </c>
      <c r="BM47">
        <f>(0.955*(0.9442 - 0.0007*$B47 - dis_BMI*($C47-21.75)))*AI47</f>
        <v>2.958079993848496E-4</v>
      </c>
      <c r="BN47">
        <f>(0.955*0.943*(0.9442 - 0.0007*$B47 - dis_BMI*($C47-21.75)) - 0.19*0.5)*AJ47</f>
        <v>3.9973529088227958E-6</v>
      </c>
      <c r="BO47">
        <f>(0.955*0.943*(0.9442 - 0.0007*$B47 - dis_BMI*($C47-21.75)) - 0.15*0.5)*AK47</f>
        <v>3.2797724247245247E-6</v>
      </c>
      <c r="BP47">
        <f>(0.955*0.943*(0.9442 - 0.0007*$B47 - dis_BMI*($C47-21.75)))*AL47</f>
        <v>2.6831927629585061E-6</v>
      </c>
      <c r="BQ47">
        <f>(0.93*(0.9442 - 0.0007*$B47 - dis_BMI*($C47-21.75)))*AM47</f>
        <v>6.7489212290402885E-5</v>
      </c>
      <c r="BR47">
        <f>(0.93*(0.9442 - 0.0007*$B47 - dis_BMI*($C47-21.75)))*AN47</f>
        <v>8.4344903741294451E-4</v>
      </c>
      <c r="BS47">
        <f>(0.93*0.943*(0.9442 - 0.0007*$B47 - dis_BMI*($C47-21.75)))*AO47</f>
        <v>2.5836196580222326E-6</v>
      </c>
      <c r="BT47">
        <f>(0.93*0.943*(0.9442 - 0.0007*$B47 - dis_BMI*($C47-21.75))-0.19*0.5)*AP47</f>
        <v>8.6743999106860554E-6</v>
      </c>
      <c r="BU47">
        <f>(0.93*0.943*(0.9442 - 0.0007*$B47 - dis_BMI*($C47-21.75)))*AQ47</f>
        <v>6.6223722451739428E-6</v>
      </c>
      <c r="BV47">
        <f>0.962*(0.9442 - 0.0007*$B47 - dis_BMI*($C47-21.75))*AR47</f>
        <v>5.2601220168513534E-2</v>
      </c>
      <c r="BW47">
        <f>0.962*0.959*(0.9442 - 0.0007*$B47 - dis_BMI*($C47-21.75))*AS47</f>
        <v>2.4679274173070417E-2</v>
      </c>
      <c r="BX47">
        <f>0.962*(0.943*(0.9442 - 0.0007*$B47 - dis_BMI*($C47-21.75)) - 0.19*0.5)*AT47</f>
        <v>1.5911790817830466E-3</v>
      </c>
      <c r="BY47">
        <f>0.962*(0.943*(0.9442 - 0.0007*$B47 - dis_BMI*($C47-21.75)))*AU47</f>
        <v>3.3292290567341104E-3</v>
      </c>
      <c r="BZ47">
        <f>0.962*(0.955*(0.9442 - 0.0007*$B47 - dis_BMI*($C47-21.75)) - 0.15*0.5)*AV47</f>
        <v>8.8600243400129952E-4</v>
      </c>
      <c r="CA47">
        <f>0.962*(0.955*(0.9442 - 0.0007*$B47 - dis_BMI*($C47-21.75)))*AW47</f>
        <v>3.4967166725315066E-3</v>
      </c>
      <c r="CB47">
        <f>0.962*(0.955*0.943*(0.9442 - 0.0007*$B47 - dis_BMI*($C47-21.75)) - 0.19*0.5)*AX47</f>
        <v>7.5742711594295174E-5</v>
      </c>
      <c r="CC47">
        <f>0.962*(0.955*0.943*(0.9442 - 0.0007*$B47 - dis_BMI*($C47-21.75)) - 0.15*0.5)*AY47</f>
        <v>5.7416732475648434E-5</v>
      </c>
      <c r="CD47">
        <f>0.962*(0.955*0.943*(0.9442 - 0.0007*$B47 - dis_BMI*($C47-21.75)))*AZ47</f>
        <v>2.6163735923876102E-5</v>
      </c>
      <c r="CE47">
        <f>0.962*(0.93*(0.9442 - 0.0007*$B47 - dis_BMI*($C47-21.75)))*BA47</f>
        <v>8.2065341694381082E-4</v>
      </c>
      <c r="CF47">
        <f>0.962*(0.93*(0.9442 - 0.0007*$B47 - dis_BMI*($C47-21.75)))*BB47</f>
        <v>9.9280668799064352E-3</v>
      </c>
      <c r="CG47">
        <f>0.962*(0.93*0.943*(0.9442 - 0.0007*$B47 - dis_BMI*($C47-21.75)))*BC47</f>
        <v>4.4917641111248952E-5</v>
      </c>
      <c r="CH47">
        <f>0.962*(0.93*0.943*(0.9442 - 0.0007*$B47 - dis_BMI*($C47-21.75))-0.19*0.5)*BD47</f>
        <v>1.6378257466341122E-4</v>
      </c>
      <c r="CI47">
        <f>0.962*(0.93*0.943*(0.9442 - 0.0007*$B47 - dis_BMI*($C47-21.75)))*BE47</f>
        <v>7.092012348008452E-5</v>
      </c>
      <c r="CJ47">
        <f t="shared" si="50"/>
        <v>0</v>
      </c>
      <c r="CK47">
        <f t="shared" si="51"/>
        <v>0.11065116988479143</v>
      </c>
      <c r="CL47">
        <f>CK47/(1+r_)^A47</f>
        <v>3.0138256374739048E-2</v>
      </c>
      <c r="CM47">
        <f t="shared" si="52"/>
        <v>0</v>
      </c>
      <c r="CN47">
        <f>AE47*c_Other</f>
        <v>44.888742567820003</v>
      </c>
      <c r="CO47">
        <f>AF47*(c_Stroke1+c_Stroke2)</f>
        <v>4.8444702340427623</v>
      </c>
      <c r="CP47">
        <f>AG47*c_Stroke2</f>
        <v>2.822826239589324</v>
      </c>
      <c r="CQ47">
        <f>AH47*(c_MI1+c_MI2)</f>
        <v>3.0261493923203742</v>
      </c>
      <c r="CR47">
        <f>AI47*c_MI2</f>
        <v>1.1656516741427707</v>
      </c>
      <c r="CS47">
        <f>AJ47*(c_Stroke1+c_Stroke2+c_MI2)</f>
        <v>0.16539890349249997</v>
      </c>
      <c r="CT47">
        <f>AK47*(c_Stroke2+c_MI1+c_MI2)</f>
        <v>0.17428002633043904</v>
      </c>
      <c r="CU47">
        <f>AL47*(c_Stroke2+c_MI2)</f>
        <v>3.4594086935117112E-2</v>
      </c>
      <c r="CV47">
        <f>AM47*(c_HF1)</f>
        <v>2.3682246828047409</v>
      </c>
      <c r="CW47">
        <f>AN47*(c_HF2)</f>
        <v>17.086972411348498</v>
      </c>
      <c r="CX47">
        <f>AO47*(c_Stroke2+c_HF1)</f>
        <v>0.11925948766252689</v>
      </c>
      <c r="CY47">
        <f>AP47*(c_Stroke1+c_Stroke2+c_HF2)</f>
        <v>0.54158938029552417</v>
      </c>
      <c r="CZ47">
        <f>AQ47*(c_Stroke2+c_HF2)</f>
        <v>0.2015277767066791</v>
      </c>
      <c r="DA47">
        <f>AR47*c_DM</f>
        <v>754.22756726920829</v>
      </c>
      <c r="DB47">
        <f>AS47*(c_Other+c_DM)</f>
        <v>830.1658477937109</v>
      </c>
      <c r="DC47">
        <f>AT47*(c_Stroke1+c_Stroke2+c_DM)</f>
        <v>84.962641926243549</v>
      </c>
      <c r="DD47">
        <f>AU47*(c_Stroke2+c_DM)</f>
        <v>79.422128665339912</v>
      </c>
      <c r="DE47">
        <f>AV47*(c_MI1+c_MI2+c_DM)</f>
        <v>52.193264383145923</v>
      </c>
      <c r="DF47">
        <f>AW47*(c_MI2+c_DM)</f>
        <v>66.823864506085002</v>
      </c>
      <c r="DG47">
        <f>AX47*(c_Stroke1+c_Stroke2+c_MI2+c_DM)</f>
        <v>4.6397772882640238</v>
      </c>
      <c r="DH47">
        <f>AY47*(c_Stroke2+c_MI1+c_MI2+c_DM)</f>
        <v>4.1878888470183782</v>
      </c>
      <c r="DI47">
        <f>AZ47*(c_Stroke2+c_MI2+c_DM)</f>
        <v>0.7672238304123844</v>
      </c>
      <c r="DJ47">
        <f>BA47*(c_HF1+c_DM)</f>
        <v>42.587291862577267</v>
      </c>
      <c r="DK47">
        <f>BB47*(c_HF2+c_DM)</f>
        <v>362.14139154541442</v>
      </c>
      <c r="DL47">
        <f>BC47*(c_Stroke2+c_HF1+c_DM)</f>
        <v>2.8896861496029955</v>
      </c>
      <c r="DM47">
        <f>BD47*(c_Stroke1+c_Stroke2+c_HF2+c_DM)</f>
        <v>13.710474259986043</v>
      </c>
      <c r="DN47">
        <f>BE47*(c_Stroke2+c_HF2+c_DM)</f>
        <v>3.4029750899069944</v>
      </c>
      <c r="DO47">
        <f t="shared" si="53"/>
        <v>0</v>
      </c>
      <c r="DP47">
        <f t="shared" si="54"/>
        <v>2379.5617102804081</v>
      </c>
      <c r="DQ47">
        <f>DP47/(1+r_)^A47</f>
        <v>648.12546454423455</v>
      </c>
    </row>
    <row r="48" spans="1:121" x14ac:dyDescent="0.3">
      <c r="A48">
        <v>45</v>
      </c>
      <c r="B48">
        <v>90</v>
      </c>
      <c r="C48">
        <f t="shared" si="40"/>
        <v>38</v>
      </c>
      <c r="D48">
        <f t="shared" si="1"/>
        <v>125</v>
      </c>
      <c r="E48">
        <f t="shared" si="42"/>
        <v>5.7</v>
      </c>
      <c r="F48">
        <v>0.12912000000000001</v>
      </c>
      <c r="G48">
        <v>0.16005</v>
      </c>
      <c r="H48">
        <f t="shared" si="3"/>
        <v>0.13530600000000001</v>
      </c>
      <c r="I48">
        <f t="shared" si="22"/>
        <v>5.6857293942168513E-2</v>
      </c>
      <c r="J48">
        <f t="shared" si="23"/>
        <v>0.42855930008479726</v>
      </c>
      <c r="K48">
        <f t="shared" si="24"/>
        <v>0.54329032140840883</v>
      </c>
      <c r="L48">
        <f t="shared" si="25"/>
        <v>0.23272608774522152</v>
      </c>
      <c r="M48">
        <f t="shared" si="26"/>
        <v>0.30996031043299277</v>
      </c>
      <c r="N48">
        <f t="shared" si="27"/>
        <v>0.80375343329735482</v>
      </c>
      <c r="O48">
        <f t="shared" si="28"/>
        <v>0.89983011945758051</v>
      </c>
      <c r="P48">
        <f t="shared" si="29"/>
        <v>0.5511136991978447</v>
      </c>
      <c r="Q48">
        <f t="shared" si="30"/>
        <v>0.67754247324463512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3.5272849696345449E-2</v>
      </c>
      <c r="U48">
        <f t="shared" si="31"/>
        <v>0.70413449165619346</v>
      </c>
      <c r="V48">
        <f t="shared" si="32"/>
        <v>0.81833461808168029</v>
      </c>
      <c r="W48">
        <f t="shared" si="33"/>
        <v>0.43815480518380712</v>
      </c>
      <c r="X48">
        <f t="shared" si="34"/>
        <v>0.55399440794715127</v>
      </c>
      <c r="Y48">
        <f t="shared" si="35"/>
        <v>0.93739706782215892</v>
      </c>
      <c r="Z48">
        <f t="shared" si="36"/>
        <v>0.9800656716637236</v>
      </c>
      <c r="AA48">
        <f t="shared" si="37"/>
        <v>0.74410791248272024</v>
      </c>
      <c r="AB48">
        <f t="shared" si="38"/>
        <v>0.85425592883492552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5.6088101239568686E-2</v>
      </c>
      <c r="AD48">
        <f t="shared" si="43"/>
        <v>8.2645512970979385E-3</v>
      </c>
      <c r="AE48">
        <f t="shared" si="44"/>
        <v>2.4224357533984822E-3</v>
      </c>
      <c r="AF48">
        <f t="shared" si="45"/>
        <v>1.5944718645201746E-4</v>
      </c>
      <c r="AG48">
        <f t="shared" si="46"/>
        <v>2.967571225146038E-4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8.4846517900347425E-5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2.9138846547420812E-4</v>
      </c>
      <c r="AJ48">
        <f t="shared" si="47"/>
        <v>4.8109748461028304E-6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3.6413934064073928E-6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1.7531077643721833E-6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7.0924388914849192E-5</v>
      </c>
      <c r="AN48">
        <f t="shared" si="48"/>
        <v>8.6070232842394481E-4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2.6003824723242515E-6</v>
      </c>
      <c r="AP48">
        <f>AM47*T47*p_Stroke*p_Stroke_rec*(1-I47) + AN47*T47*p_Stroke*p_Stroke_rec*(1-I47) + AO47*(p_recur_Stroke*p_Stroke_rec)*(1-I47) + AP47*(p_recur_Stroke*p_Stroke_rec)*(1-I47) + AQ47*(p_recur_Stroke*p_Stroke_rec)*(1-I47)</f>
        <v>1.0888500817922882E-5</v>
      </c>
      <c r="AQ48">
        <f>AO47*(1-p_recur_Stroke-H47*rr_Stroke*rr_HF)*(1-I47) + AP47*(1-p_recur_Stroke-H47*rr_Stroke*rr_HF)*(1-I47) + AQ47*(1-p_recur_Stroke-H47*rr_Stroke*rr_HF)*(1-I47)</f>
        <v>4.738514954334336E-6</v>
      </c>
      <c r="AR48">
        <f>AR47*(1-AC47-H47*rr_DM) + AD47*(1-T47-H47)*I47</f>
        <v>5.3682720097351047E-2</v>
      </c>
      <c r="AS48">
        <f>AR47*AC47*p_Other + AD47*T47*p_Other*I47 + AE47*(1-T47*p_Stroke-T47*p_MI-H47*rr_Other)*I47 + AS47*(1-AC47*p_Stroke-AC47*p_MI-H47*rr_Other*rr_DM)</f>
        <v>2.5098356382510678E-2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1.9114956057528234E-3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2.9736819020779225E-3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1.0665036906939629E-3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3.6241874335400221E-3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9.6083264198615616E-5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6.6211615043028382E-5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9.2854903328415293E-6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9.1107528395684622E-4</v>
      </c>
      <c r="BB48">
        <f>AM47*(1-T47*p_Stroke - H47*rr_HF)*I47 + AN47*(1-T47*p_Stroke - H47*rr_HF)*I47 + BA47*(1-AC47*p_Stroke - H47*rr_HF*rr_DM) + BB47*(1-AC47*p_Stroke - H47*rr_HF*rr_DM)</f>
        <v>1.0697127471116055E-2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4.6992872159632018E-5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2.1789166269392193E-4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3.8060143096602518E-5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0.86208084115103778</v>
      </c>
      <c r="BG48">
        <f t="shared" si="49"/>
        <v>0.97499999999999964</v>
      </c>
      <c r="BH48">
        <f>(0.9442 - 0.0007*$B48 - dis_BMI*($C48-21.75))*AD48</f>
        <v>6.8395360396958258E-3</v>
      </c>
      <c r="BI48">
        <f>0.959*(0.9442 - 0.0007*$B48 - dis_BMI*($C48-21.75))*AE48</f>
        <v>1.9225526306053799E-3</v>
      </c>
      <c r="BJ48">
        <f>(0.943*(0.9442 - 0.0007*$B48 - dis_BMI*($C48-21.75)) - 0.19*0.5)*AF48</f>
        <v>1.0928561581138907E-4</v>
      </c>
      <c r="BK48">
        <f>(0.943*(0.9442 - 0.0007*$B48 - dis_BMI*($C48-21.75)))*AG48</f>
        <v>2.3159021545211689E-4</v>
      </c>
      <c r="BL48">
        <f>(0.955*(0.9442 - 0.0007*$B48 - dis_BMI*($C48-21.75)) - 0.15*0.5)*AH48</f>
        <v>6.0693609641541855E-5</v>
      </c>
      <c r="BM48">
        <f>(0.955*(0.9442 - 0.0007*$B48 - dis_BMI*($C48-21.75)))*AI48</f>
        <v>2.3029424789565095E-4</v>
      </c>
      <c r="BN48">
        <f>(0.955*0.943*(0.9442 - 0.0007*$B48 - dis_BMI*($C48-21.75)) - 0.19*0.5)*AJ48</f>
        <v>3.1285051620745949E-6</v>
      </c>
      <c r="BO48">
        <f>(0.955*0.943*(0.9442 - 0.0007*$B48 - dis_BMI*($C48-21.75)) - 0.15*0.5)*AK48</f>
        <v>2.4407716702700777E-6</v>
      </c>
      <c r="BP48">
        <f>(0.955*0.943*(0.9442 - 0.0007*$B48 - dis_BMI*($C48-21.75)))*AL48</f>
        <v>1.3065650601996052E-6</v>
      </c>
      <c r="BQ48">
        <f>(0.93*(0.9442 - 0.0007*$B48 - dis_BMI*($C48-21.75)))*AM48</f>
        <v>5.4586583575271876E-5</v>
      </c>
      <c r="BR48">
        <f>(0.93*(0.9442 - 0.0007*$B48 - dis_BMI*($C48-21.75)))*AN48</f>
        <v>6.6243502838426484E-4</v>
      </c>
      <c r="BS48">
        <f>(0.93*0.943*(0.9442 - 0.0007*$B48 - dis_BMI*($C48-21.75)))*AO48</f>
        <v>1.8872925869008468E-6</v>
      </c>
      <c r="BT48">
        <f>(0.93*0.943*(0.9442 - 0.0007*$B48 - dis_BMI*($C48-21.75))-0.19*0.5)*AP48</f>
        <v>6.8681940952589304E-6</v>
      </c>
      <c r="BU48">
        <f>(0.93*0.943*(0.9442 - 0.0007*$B48 - dis_BMI*($C48-21.75)))*AQ48</f>
        <v>3.4390956874281167E-6</v>
      </c>
      <c r="BV48">
        <f>0.962*(0.9442 - 0.0007*$B48 - dis_BMI*($C48-21.75))*AR48</f>
        <v>4.2738270955351806E-2</v>
      </c>
      <c r="BW48">
        <f>0.962*0.959*(0.9442 - 0.0007*$B48 - dis_BMI*($C48-21.75))*AS48</f>
        <v>1.9162242136096339E-2</v>
      </c>
      <c r="BX48">
        <f>0.962*(0.943*(0.9442 - 0.0007*$B48 - dis_BMI*($C48-21.75)) - 0.19*0.5)*AT48</f>
        <v>1.2603597331515737E-3</v>
      </c>
      <c r="BY48">
        <f>0.962*(0.943*(0.9442 - 0.0007*$B48 - dis_BMI*($C48-21.75)))*AU48</f>
        <v>2.2324854505385264E-3</v>
      </c>
      <c r="BZ48">
        <f>0.962*(0.955*(0.9442 - 0.0007*$B48 - dis_BMI*($C48-21.75)) - 0.15*0.5)*AV48</f>
        <v>7.3391603798494661E-4</v>
      </c>
      <c r="CA48">
        <f>0.962*(0.955*(0.9442 - 0.0007*$B48 - dis_BMI*($C48-21.75)))*AW48</f>
        <v>2.7554748819661806E-3</v>
      </c>
      <c r="CB48">
        <f>0.962*(0.955*0.943*(0.9442 - 0.0007*$B48 - dis_BMI*($C48-21.75)) - 0.19*0.5)*AX48</f>
        <v>6.0107215634953672E-5</v>
      </c>
      <c r="CC48">
        <f>0.962*(0.955*0.943*(0.9442 - 0.0007*$B48 - dis_BMI*($C48-21.75)) - 0.15*0.5)*AY48</f>
        <v>4.2694192686013807E-5</v>
      </c>
      <c r="CD48">
        <f>0.962*(0.955*0.943*(0.9442 - 0.0007*$B48 - dis_BMI*($C48-21.75)))*AZ48</f>
        <v>6.657364583023506E-6</v>
      </c>
      <c r="CE48">
        <f>0.962*(0.93*(0.9442 - 0.0007*$B48 - dis_BMI*($C48-21.75)))*BA48</f>
        <v>6.7455854540436437E-4</v>
      </c>
      <c r="CF48">
        <f>0.962*(0.93*(0.9442 - 0.0007*$B48 - dis_BMI*($C48-21.75)))*BB48</f>
        <v>7.9201344542926891E-3</v>
      </c>
      <c r="CG48">
        <f>0.962*(0.93*0.943*(0.9442 - 0.0007*$B48 - dis_BMI*($C48-21.75)))*BC48</f>
        <v>3.2810214189668612E-5</v>
      </c>
      <c r="CH48">
        <f>0.962*(0.93*0.943*(0.9442 - 0.0007*$B48 - dis_BMI*($C48-21.75))-0.19*0.5)*BD48</f>
        <v>1.3221787006419095E-4</v>
      </c>
      <c r="CI48">
        <f>0.962*(0.93*0.943*(0.9442 - 0.0007*$B48 - dis_BMI*($C48-21.75)))*BE48</f>
        <v>2.6573422514950704E-5</v>
      </c>
      <c r="CJ48">
        <f t="shared" si="50"/>
        <v>0</v>
      </c>
      <c r="CK48">
        <f t="shared" si="51"/>
        <v>8.7908546869782819E-2</v>
      </c>
      <c r="CL48">
        <f>CK48/(1+r_)^A48</f>
        <v>2.3246415151386216E-2</v>
      </c>
      <c r="CM48">
        <f t="shared" si="52"/>
        <v>0</v>
      </c>
      <c r="CN48">
        <f>AE48*c_Other</f>
        <v>34.58996012277693</v>
      </c>
      <c r="CO48">
        <f>AF48*(c_Stroke1+c_Stroke2)</f>
        <v>3.797394192541248</v>
      </c>
      <c r="CP48">
        <f>AG48*c_Stroke2</f>
        <v>1.9289212963449247</v>
      </c>
      <c r="CQ48">
        <f>AH48*(c_MI1+c_MI2)</f>
        <v>2.4733608433130279</v>
      </c>
      <c r="CR48">
        <f>AI48*c_MI2</f>
        <v>0.90825784688310673</v>
      </c>
      <c r="CS48">
        <f>AJ48*(c_Stroke1+c_Stroke2+c_MI2)</f>
        <v>0.12957398553008753</v>
      </c>
      <c r="CT48">
        <f>AK48*(c_Stroke2+c_MI1+c_MI2)</f>
        <v>0.12981931633182997</v>
      </c>
      <c r="CU48">
        <f>AL48*(c_Stroke2+c_MI2)</f>
        <v>1.6859637369967286E-2</v>
      </c>
      <c r="CV48">
        <f>AM48*(c_HF1)</f>
        <v>1.9170862323683737</v>
      </c>
      <c r="CW48">
        <f>AN48*(c_HF2)</f>
        <v>13.431259835055659</v>
      </c>
      <c r="CX48">
        <f>AO48*(c_Stroke2+c_HF1)</f>
        <v>8.7190824297032149E-2</v>
      </c>
      <c r="CY48">
        <f>AP48*(c_Stroke1+c_Stroke2+c_HF2)</f>
        <v>0.42923559074333795</v>
      </c>
      <c r="CZ48">
        <f>AQ48*(c_Stroke2+c_HF2)</f>
        <v>0.1047448730655605</v>
      </c>
      <c r="DA48">
        <f>AR48*c_DM</f>
        <v>613.3250771122357</v>
      </c>
      <c r="DB48">
        <f>AS48*(c_Other+c_DM)</f>
        <v>645.12815245605452</v>
      </c>
      <c r="DC48">
        <f>AT48*(c_Stroke1+c_Stroke2+c_DM)</f>
        <v>67.363016642335253</v>
      </c>
      <c r="DD48">
        <f>AU48*(c_Stroke2+c_DM)</f>
        <v>53.303248094746763</v>
      </c>
      <c r="DE48">
        <f>AV48*(c_MI1+c_MI2+c_DM)</f>
        <v>43.274453753598237</v>
      </c>
      <c r="DF48">
        <f>AW48*(c_MI2+c_DM)</f>
        <v>52.702933658539003</v>
      </c>
      <c r="DG48">
        <f>AX48*(c_Stroke1+c_Stroke2+c_MI2+c_DM)</f>
        <v>3.6855618481304977</v>
      </c>
      <c r="DH48">
        <f>AY48*(c_Stroke2+c_MI1+c_MI2+c_DM)</f>
        <v>3.116977989765604</v>
      </c>
      <c r="DI48">
        <f>AZ48*(c_Stroke2+c_MI2+c_DM)</f>
        <v>0.19538528758365145</v>
      </c>
      <c r="DJ48">
        <f>BA48*(c_HF1+c_DM)</f>
        <v>35.035400044560518</v>
      </c>
      <c r="DK48">
        <f>BB48*(c_HF2+c_DM)</f>
        <v>289.14335554426697</v>
      </c>
      <c r="DL48">
        <f>BC48*(c_Stroke2+c_HF1+c_DM)</f>
        <v>2.1125645679362575</v>
      </c>
      <c r="DM48">
        <f>BD48*(c_Stroke1+c_Stroke2+c_HF2+c_DM)</f>
        <v>11.078919481335154</v>
      </c>
      <c r="DN48">
        <f>BE48*(c_Stroke2+c_HF2+c_DM)</f>
        <v>1.2761565980290823</v>
      </c>
      <c r="DO48">
        <f t="shared" si="53"/>
        <v>0</v>
      </c>
      <c r="DP48">
        <f t="shared" si="54"/>
        <v>1880.6848676757381</v>
      </c>
      <c r="DQ48">
        <f>DP48/(1+r_)^A48</f>
        <v>497.32571814297432</v>
      </c>
    </row>
    <row r="49" spans="1:121" x14ac:dyDescent="0.3">
      <c r="A49">
        <v>46</v>
      </c>
      <c r="B49">
        <v>91</v>
      </c>
      <c r="C49">
        <f t="shared" si="40"/>
        <v>38</v>
      </c>
      <c r="D49">
        <f t="shared" si="1"/>
        <v>125</v>
      </c>
      <c r="E49">
        <f t="shared" si="42"/>
        <v>5.7</v>
      </c>
      <c r="F49">
        <v>0.14421999999999999</v>
      </c>
      <c r="G49">
        <v>0.17713000000000001</v>
      </c>
      <c r="H49">
        <f t="shared" si="3"/>
        <v>0.15080199999999999</v>
      </c>
      <c r="I49">
        <f t="shared" si="22"/>
        <v>5.6857293942168513E-2</v>
      </c>
      <c r="J49">
        <f t="shared" si="23"/>
        <v>0.43823721488412926</v>
      </c>
      <c r="K49">
        <f t="shared" si="24"/>
        <v>0.55408602359436832</v>
      </c>
      <c r="L49">
        <f t="shared" si="25"/>
        <v>0.23890536059585632</v>
      </c>
      <c r="M49">
        <f t="shared" si="26"/>
        <v>0.31773063884401032</v>
      </c>
      <c r="N49">
        <f t="shared" si="27"/>
        <v>0.81462441028150334</v>
      </c>
      <c r="O49">
        <f t="shared" si="28"/>
        <v>0.90757991672567218</v>
      </c>
      <c r="P49">
        <f t="shared" si="29"/>
        <v>0.56352205154925472</v>
      </c>
      <c r="Q49">
        <f t="shared" si="30"/>
        <v>0.69006492416179577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3.60629000284561E-2</v>
      </c>
      <c r="U49">
        <f t="shared" si="31"/>
        <v>0.71493096857418181</v>
      </c>
      <c r="V49">
        <f t="shared" si="32"/>
        <v>0.82755038651903667</v>
      </c>
      <c r="W49">
        <f t="shared" si="33"/>
        <v>0.44795563816099249</v>
      </c>
      <c r="X49">
        <f t="shared" si="34"/>
        <v>0.56485221287936516</v>
      </c>
      <c r="Y49">
        <f t="shared" si="35"/>
        <v>0.9431828320814486</v>
      </c>
      <c r="Z49">
        <f t="shared" si="36"/>
        <v>0.98261825206209452</v>
      </c>
      <c r="AA49">
        <f t="shared" si="37"/>
        <v>0.75602750878720704</v>
      </c>
      <c r="AB49">
        <f t="shared" si="38"/>
        <v>0.86375536072701653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5.7050450187903959E-2</v>
      </c>
      <c r="AD49">
        <f t="shared" si="43"/>
        <v>6.4650486264764507E-3</v>
      </c>
      <c r="AE49">
        <f t="shared" si="44"/>
        <v>1.8123002379546861E-3</v>
      </c>
      <c r="AF49">
        <f t="shared" si="45"/>
        <v>1.227309669552473E-4</v>
      </c>
      <c r="AG49">
        <f t="shared" si="46"/>
        <v>1.9307410099145733E-4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6.8140483944706027E-5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2.2142354276041623E-4</v>
      </c>
      <c r="AJ49">
        <f t="shared" si="47"/>
        <v>3.7110805269263642E-6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2.6419709982603274E-6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5.4630543750967348E-7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5.6396127606405918E-5</v>
      </c>
      <c r="AN49">
        <f t="shared" si="48"/>
        <v>6.5515326176365676E-4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1.8559811605358821E-6</v>
      </c>
      <c r="AP49">
        <f>AM48*T48*p_Stroke*p_Stroke_rec*(1-I48) + AN48*T48*p_Stroke*p_Stroke_rec*(1-I48) + AO48*(p_recur_Stroke*p_Stroke_rec)*(1-I48) + AP48*(p_recur_Stroke*p_Stroke_rec)*(1-I48) + AQ48*(p_recur_Stroke*p_Stroke_rec)*(1-I48)</f>
        <v>8.4559531390254571E-6</v>
      </c>
      <c r="AQ49">
        <f>AO48*(1-p_recur_Stroke-H48*rr_Stroke*rr_HF)*(1-I48) + AP48*(1-p_recur_Stroke-H48*rr_Stroke*rr_HF)*(1-I48) + AQ48*(1-p_recur_Stroke-H48*rr_Stroke*rr_HF)*(1-I48)</f>
        <v>1.8775336302765447E-6</v>
      </c>
      <c r="AR49">
        <f>AR48*(1-AC48-H48*rr_DM) + AD48*(1-T48-H48)*I48</f>
        <v>4.2708370030505469E-2</v>
      </c>
      <c r="AS49">
        <f>AR48*AC48*p_Other + AD48*T48*p_Other*I48 + AE48*(1-T48*p_Stroke-T48*p_MI-H48*rr_Other)*I48 + AS48*(1-AC48*p_Stroke-AC48*p_MI-H48*rr_Other*rr_DM)</f>
        <v>1.8809997485828029E-2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1.481715323063032E-3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1.8710683097751409E-3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8.6454574455560086E-4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2.7674818617605705E-3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7.4836453490765068E-5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4.7751475179339653E-5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-7.4503098418025985E-6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7.3233205492571635E-4</v>
      </c>
      <c r="BB49">
        <f>AM48*(1-T48*p_Stroke - H48*rr_HF)*I48 + AN48*(1-T48*p_Stroke - H48*rr_HF)*I48 + BA48*(1-AC48*p_Stroke - H48*rr_HF*rr_DM) + BB48*(1-AC48*p_Stroke - H48*rr_HF*rr_DM)</f>
        <v>8.2105594573494995E-3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3.3400757001492556E-5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1.7172382106873883E-4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-1.8261992655210027E-6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0.88762213756125796</v>
      </c>
      <c r="BG49">
        <f t="shared" si="49"/>
        <v>0.97499999999999964</v>
      </c>
      <c r="BH49">
        <f>(0.9442 - 0.0007*$B49 - dis_BMI*($C49-21.75))*AD49</f>
        <v>5.3457870830177154E-3</v>
      </c>
      <c r="BI49">
        <f>0.959*(0.9442 - 0.0007*$B49 - dis_BMI*($C49-21.75))*AE49</f>
        <v>1.4371053831291709E-3</v>
      </c>
      <c r="BJ49">
        <f>(0.943*(0.9442 - 0.0007*$B49 - dis_BMI*($C49-21.75)) - 0.19*0.5)*AF49</f>
        <v>8.4039185847207781E-5</v>
      </c>
      <c r="BK49">
        <f>(0.943*(0.9442 - 0.0007*$B49 - dis_BMI*($C49-21.75)))*AG49</f>
        <v>1.5054820286364453E-4</v>
      </c>
      <c r="BL49">
        <f>(0.955*(0.9442 - 0.0007*$B49 - dis_BMI*($C49-21.75)) - 0.15*0.5)*AH49</f>
        <v>4.8697661546145804E-5</v>
      </c>
      <c r="BM49">
        <f>(0.955*(0.9442 - 0.0007*$B49 - dis_BMI*($C49-21.75)))*AI49</f>
        <v>1.7485056028361832E-4</v>
      </c>
      <c r="BN49">
        <f>(0.955*0.943*(0.9442 - 0.0007*$B49 - dis_BMI*($C49-21.75)) - 0.19*0.5)*AJ49</f>
        <v>2.4109208484105555E-6</v>
      </c>
      <c r="BO49">
        <f>(0.955*0.943*(0.9442 - 0.0007*$B49 - dis_BMI*($C49-21.75)) - 0.15*0.5)*AK49</f>
        <v>1.7692082549679232E-6</v>
      </c>
      <c r="BP49">
        <f>(0.955*0.943*(0.9442 - 0.0007*$B49 - dis_BMI*($C49-21.75)))*AL49</f>
        <v>4.0680890314111216E-7</v>
      </c>
      <c r="BQ49">
        <f>(0.93*(0.9442 - 0.0007*$B49 - dis_BMI*($C49-21.75)))*AM49</f>
        <v>4.3368269653528614E-5</v>
      </c>
      <c r="BR49">
        <f>(0.93*(0.9442 - 0.0007*$B49 - dis_BMI*($C49-21.75)))*AN49</f>
        <v>5.0380876358836605E-4</v>
      </c>
      <c r="BS49">
        <f>(0.93*0.943*(0.9442 - 0.0007*$B49 - dis_BMI*($C49-21.75)))*AO49</f>
        <v>1.3458853515533592E-6</v>
      </c>
      <c r="BT49">
        <f>(0.93*0.943*(0.9442 - 0.0007*$B49 - dis_BMI*($C49-21.75))-0.19*0.5)*AP49</f>
        <v>5.3286127844864433E-6</v>
      </c>
      <c r="BU49">
        <f>(0.93*0.943*(0.9442 - 0.0007*$B49 - dis_BMI*($C49-21.75)))*AQ49</f>
        <v>1.3615143643529178E-6</v>
      </c>
      <c r="BV49">
        <f>0.962*(0.9442 - 0.0007*$B49 - dis_BMI*($C49-21.75))*AR49</f>
        <v>3.3972533097153187E-2</v>
      </c>
      <c r="BW49">
        <f>0.962*0.959*(0.9442 - 0.0007*$B49 - dis_BMI*($C49-21.75))*AS49</f>
        <v>1.4349021233051186E-2</v>
      </c>
      <c r="BX49">
        <f>0.962*(0.943*(0.9442 - 0.0007*$B49 - dis_BMI*($C49-21.75)) - 0.19*0.5)*AT49</f>
        <v>9.7603979420893164E-4</v>
      </c>
      <c r="BY49">
        <f>0.962*(0.943*(0.9442 - 0.0007*$B49 - dis_BMI*($C49-21.75)))*AU49</f>
        <v>1.4035124502163399E-3</v>
      </c>
      <c r="BZ49">
        <f>0.962*(0.955*(0.9442 - 0.0007*$B49 - dis_BMI*($C49-21.75)) - 0.15*0.5)*AV49</f>
        <v>5.9438240212870996E-4</v>
      </c>
      <c r="CA49">
        <f>0.962*(0.955*(0.9442 - 0.0007*$B49 - dis_BMI*($C49-21.75)))*AW49</f>
        <v>2.1023406528696783E-3</v>
      </c>
      <c r="CB49">
        <f>0.962*(0.955*0.943*(0.9442 - 0.0007*$B49 - dis_BMI*($C49-21.75)) - 0.19*0.5)*AX49</f>
        <v>4.677037417454042E-5</v>
      </c>
      <c r="CC49">
        <f>0.962*(0.955*0.943*(0.9442 - 0.0007*$B49 - dis_BMI*($C49-21.75)) - 0.15*0.5)*AY49</f>
        <v>3.0761873076154212E-5</v>
      </c>
      <c r="CD49">
        <f>0.962*(0.955*0.943*(0.9442 - 0.0007*$B49 - dis_BMI*($C49-21.75)))*AZ49</f>
        <v>-5.3370876150412172E-6</v>
      </c>
      <c r="CE49">
        <f>0.962*(0.93*(0.9442 - 0.0007*$B49 - dis_BMI*($C49-21.75)))*BA49</f>
        <v>5.4175873978235629E-4</v>
      </c>
      <c r="CF49">
        <f>0.962*(0.93*(0.9442 - 0.0007*$B49 - dis_BMI*($C49-21.75)))*BB49</f>
        <v>6.0739418882503607E-3</v>
      </c>
      <c r="CG49">
        <f>0.962*(0.93*0.943*(0.9442 - 0.0007*$B49 - dis_BMI*($C49-21.75)))*BC49</f>
        <v>2.3300534560711767E-5</v>
      </c>
      <c r="CH49">
        <f>0.962*(0.93*0.943*(0.9442 - 0.0007*$B49 - dis_BMI*($C49-21.75))-0.19*0.5)*BD49</f>
        <v>1.041015534780957E-4</v>
      </c>
      <c r="CI49">
        <f>0.962*(0.93*0.943*(0.9442 - 0.0007*$B49 - dis_BMI*($C49-21.75)))*BE49</f>
        <v>-1.2739657097926583E-6</v>
      </c>
      <c r="CJ49">
        <f t="shared" si="50"/>
        <v>0</v>
      </c>
      <c r="CK49">
        <f t="shared" si="51"/>
        <v>6.8012681600061728E-2</v>
      </c>
      <c r="CL49">
        <f>CK49/(1+r_)^A49</f>
        <v>1.7461339728986794E-2</v>
      </c>
      <c r="CM49">
        <f t="shared" si="52"/>
        <v>0</v>
      </c>
      <c r="CN49">
        <f>AE49*c_Other</f>
        <v>25.877835097754964</v>
      </c>
      <c r="CO49">
        <f>AF49*(c_Stroke1+c_Stroke2)</f>
        <v>2.9229607090061696</v>
      </c>
      <c r="CP49">
        <f>AG49*c_Stroke2</f>
        <v>1.2549816564444727</v>
      </c>
      <c r="CQ49">
        <f>AH49*(c_MI1+c_MI2)</f>
        <v>1.9863632474721253</v>
      </c>
      <c r="CR49">
        <f>AI49*c_MI2</f>
        <v>0.69017718278421736</v>
      </c>
      <c r="CS49">
        <f>AJ49*(c_Stroke1+c_Stroke2+c_MI2)</f>
        <v>9.9950531831707767E-2</v>
      </c>
      <c r="CT49">
        <f>AK49*(c_Stroke2+c_MI1+c_MI2)</f>
        <v>9.4188908058978935E-2</v>
      </c>
      <c r="CU49">
        <f>AL49*(c_Stroke2+c_MI2)</f>
        <v>5.2538193925305296E-3</v>
      </c>
      <c r="CV49">
        <f>AM49*(c_HF1)</f>
        <v>1.5243873292011521</v>
      </c>
      <c r="CW49">
        <f>AN49*(c_HF2)</f>
        <v>10.223666649821864</v>
      </c>
      <c r="CX49">
        <f>AO49*(c_Stroke2+c_HF1)</f>
        <v>6.2231048312768128E-2</v>
      </c>
      <c r="CY49">
        <f>AP49*(c_Stroke1+c_Stroke2+c_HF2)</f>
        <v>0.33334212869352253</v>
      </c>
      <c r="CZ49">
        <f>AQ49*(c_Stroke2+c_HF2)</f>
        <v>4.150288089726302E-2</v>
      </c>
      <c r="DA49">
        <f>AR49*c_DM</f>
        <v>487.943127598525</v>
      </c>
      <c r="DB49">
        <f>AS49*(c_Other+c_DM)</f>
        <v>483.49217537572366</v>
      </c>
      <c r="DC49">
        <f>AT49*(c_Stroke1+c_Stroke2+c_DM)</f>
        <v>52.217129700064312</v>
      </c>
      <c r="DD49">
        <f>AU49*(c_Stroke2+c_DM)</f>
        <v>33.538899452719399</v>
      </c>
      <c r="DE49">
        <f>AV49*(c_MI1+c_MI2+c_DM)</f>
        <v>35.079808131088058</v>
      </c>
      <c r="DF49">
        <f>AW49*(c_MI2+c_DM)</f>
        <v>40.244721233722217</v>
      </c>
      <c r="DG49">
        <f>AX49*(c_Stroke1+c_Stroke2+c_MI2+c_DM)</f>
        <v>2.8705766829987667</v>
      </c>
      <c r="DH49">
        <f>AY49*(c_Stroke2+c_MI1+c_MI2+c_DM)</f>
        <v>2.2479484455425935</v>
      </c>
      <c r="DI49">
        <f>AZ49*(c_Stroke2+c_MI2+c_DM)</f>
        <v>-0.15676941969121028</v>
      </c>
      <c r="DJ49">
        <f>BA49*(c_HF1+c_DM)</f>
        <v>28.161829172168421</v>
      </c>
      <c r="DK49">
        <f>BB49*(c_HF2+c_DM)</f>
        <v>221.93142213215697</v>
      </c>
      <c r="DL49">
        <f>BC49*(c_Stroke2+c_HF1+c_DM)</f>
        <v>1.5015310310020979</v>
      </c>
      <c r="DM49">
        <f>BD49*(c_Stroke1+c_Stroke2+c_HF2+c_DM)</f>
        <v>8.7314694060610947</v>
      </c>
      <c r="DN49">
        <f>BE49*(c_Stroke2+c_HF2+c_DM)</f>
        <v>-6.1232461372919218E-2</v>
      </c>
      <c r="DO49">
        <f t="shared" si="53"/>
        <v>0</v>
      </c>
      <c r="DP49">
        <f t="shared" si="54"/>
        <v>1442.8594776703801</v>
      </c>
      <c r="DQ49">
        <f>DP49/(1+r_)^A49</f>
        <v>370.43473258328453</v>
      </c>
    </row>
    <row r="50" spans="1:121" x14ac:dyDescent="0.3">
      <c r="A50">
        <v>47</v>
      </c>
      <c r="B50">
        <v>92</v>
      </c>
      <c r="C50">
        <f t="shared" si="40"/>
        <v>38</v>
      </c>
      <c r="D50">
        <f t="shared" si="1"/>
        <v>125</v>
      </c>
      <c r="E50">
        <f t="shared" si="42"/>
        <v>5.7</v>
      </c>
      <c r="F50">
        <v>0.15822</v>
      </c>
      <c r="G50">
        <v>0.19409999999999999</v>
      </c>
      <c r="H50">
        <f t="shared" si="3"/>
        <v>0.16539599999999999</v>
      </c>
      <c r="I50">
        <f t="shared" si="22"/>
        <v>5.6857293942168513E-2</v>
      </c>
      <c r="J50">
        <f t="shared" si="23"/>
        <v>0.44793129822897726</v>
      </c>
      <c r="K50">
        <f t="shared" si="24"/>
        <v>0.56482534295534981</v>
      </c>
      <c r="L50">
        <f t="shared" si="25"/>
        <v>0.24515141692309805</v>
      </c>
      <c r="M50">
        <f t="shared" si="26"/>
        <v>0.32555931057592813</v>
      </c>
      <c r="N50">
        <f t="shared" si="27"/>
        <v>0.82512745846275115</v>
      </c>
      <c r="O50">
        <f t="shared" si="28"/>
        <v>0.91489128351840365</v>
      </c>
      <c r="P50">
        <f t="shared" si="29"/>
        <v>0.57586679210451286</v>
      </c>
      <c r="Q50">
        <f t="shared" si="30"/>
        <v>0.70237812778190989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3.6853441835320681E-2</v>
      </c>
      <c r="U50">
        <f t="shared" si="31"/>
        <v>0.72552834541433286</v>
      </c>
      <c r="V50">
        <f t="shared" si="32"/>
        <v>0.8364612834711298</v>
      </c>
      <c r="W50">
        <f t="shared" si="33"/>
        <v>0.4577677236625749</v>
      </c>
      <c r="X50">
        <f t="shared" si="34"/>
        <v>0.57564542036767885</v>
      </c>
      <c r="Y50">
        <f t="shared" si="35"/>
        <v>0.94855121231096884</v>
      </c>
      <c r="Z50">
        <f t="shared" si="36"/>
        <v>0.98489268250719975</v>
      </c>
      <c r="AA50">
        <f t="shared" si="37"/>
        <v>0.76765238653401235</v>
      </c>
      <c r="AB50">
        <f t="shared" si="38"/>
        <v>0.87283712998965235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5.8001779948935003E-2</v>
      </c>
      <c r="AD50">
        <f t="shared" si="43"/>
        <v>4.9580615571686347E-3</v>
      </c>
      <c r="AE50">
        <f t="shared" si="44"/>
        <v>1.3127170868858827E-3</v>
      </c>
      <c r="AF50">
        <f t="shared" si="45"/>
        <v>9.2454940961427204E-5</v>
      </c>
      <c r="AG50">
        <f t="shared" si="46"/>
        <v>1.1915634891471888E-4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5.3577439012685097E-5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1.6367942936657269E-4</v>
      </c>
      <c r="AJ50">
        <f t="shared" si="47"/>
        <v>2.8023843812242541E-6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1.8551109317752878E-6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-1.2933605791292468E-7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4.3870644283721316E-5</v>
      </c>
      <c r="AN50">
        <f t="shared" si="48"/>
        <v>4.8133842306330525E-4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1.2830965159687829E-6</v>
      </c>
      <c r="AP50">
        <f>AM49*T49*p_Stroke*p_Stroke_rec*(1-I49) + AN49*T49*p_Stroke*p_Stroke_rec*(1-I49) + AO49*(p_recur_Stroke*p_Stroke_rec)*(1-I49) + AP49*(p_recur_Stroke*p_Stroke_rec)*(1-I49) + AQ49*(p_recur_Stroke*p_Stroke_rec)*(1-I49)</f>
        <v>6.390250538936923E-6</v>
      </c>
      <c r="AQ50">
        <f>AO49*(1-p_recur_Stroke-H49*rr_Stroke*rr_HF)*(1-I49) + AP49*(1-p_recur_Stroke-H49*rr_Stroke*rr_HF)*(1-I49) + AQ49*(1-p_recur_Stroke-H49*rr_Stroke*rr_HF)*(1-I49)</f>
        <v>2.4075003211150452E-7</v>
      </c>
      <c r="AR50">
        <f>AR49*(1-AC49-H49*rr_DM) + AD49*(1-T49-H49)*I49</f>
        <v>3.3164150937574403E-2</v>
      </c>
      <c r="AS50">
        <f>AR49*AC49*p_Other + AD49*T49*p_Other*I49 + AE49*(1-T49*p_Stroke-T49*p_MI-H49*rr_Other)*I49 + AS49*(1-AC49*p_Stroke-AC49*p_MI-H49*rr_Other*rr_DM)</f>
        <v>1.3548384779226749E-2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1.1183630117395735E-3</v>
      </c>
      <c r="AU50">
        <f>AF49*(1-p_recur_Stroke-T49*p_MI-H49*rr_Stroke)*I49 + AG49*(1-p_recur_Stroke-T49*p_MI-H49*rr_Stroke)*I49 + AT49*(1-p_recur_Stroke-AC49*p_MI-H49*rr_Stroke*rr_DM) + AU49*(1-p_recur_Stroke-AC49*p_MI-H49*rr_Stroke*rr_DM)</f>
        <v>1.0956212944559108E-3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6.8212906497988612E-4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2.0393396909327197E-3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5.6725518874082131E-5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3.3111391917266607E-5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-1.5176331161849328E-5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5.7226365425676914E-4</v>
      </c>
      <c r="BB50">
        <f>AM49*(1-T49*p_Stroke - H49*rr_HF)*I49 + AN49*(1-T49*p_Stroke - H49*rr_HF)*I49 + BA49*(1-AC49*p_Stroke - H49*rr_HF*rr_DM) + BB49*(1-AC49*p_Stroke - H49*rr_HF*rr_DM)</f>
        <v>6.0319316866746771E-3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2.2852595847224026E-5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1.3078684763727895E-4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-2.1924933946167814E-5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0.90930414266499204</v>
      </c>
      <c r="BG50">
        <f t="shared" si="49"/>
        <v>0.97499999999999964</v>
      </c>
      <c r="BH50">
        <f>(0.9442 - 0.0007*$B50 - dis_BMI*($C50-21.75))*AD50</f>
        <v>4.0962265069937965E-3</v>
      </c>
      <c r="BI50">
        <f>0.959*(0.9442 - 0.0007*$B50 - dis_BMI*($C50-21.75))*AE50</f>
        <v>1.0400681436483685E-3</v>
      </c>
      <c r="BJ50">
        <f>(0.943*(0.9442 - 0.0007*$B50 - dis_BMI*($C50-21.75)) - 0.19*0.5)*AF50</f>
        <v>6.3246855689089529E-5</v>
      </c>
      <c r="BK50">
        <f>(0.943*(0.9442 - 0.0007*$B50 - dis_BMI*($C50-21.75)))*AG50</f>
        <v>9.283268876043464E-5</v>
      </c>
      <c r="BL50">
        <f>(0.955*(0.9442 - 0.0007*$B50 - dis_BMI*($C50-21.75)) - 0.15*0.5)*AH50</f>
        <v>3.8254137419919997E-5</v>
      </c>
      <c r="BM50">
        <f>(0.955*(0.9442 - 0.0007*$B50 - dis_BMI*($C50-21.75)))*AI50</f>
        <v>1.2914259919186643E-4</v>
      </c>
      <c r="BN50">
        <f>(0.955*0.943*(0.9442 - 0.0007*$B50 - dis_BMI*($C50-21.75)) - 0.19*0.5)*AJ50</f>
        <v>1.8188155301784784E-6</v>
      </c>
      <c r="BO50">
        <f>(0.955*0.943*(0.9442 - 0.0007*$B50 - dis_BMI*($C50-21.75)) - 0.15*0.5)*AK50</f>
        <v>1.2411142719152005E-6</v>
      </c>
      <c r="BP50">
        <f>(0.955*0.943*(0.9442 - 0.0007*$B50 - dis_BMI*($C50-21.75)))*AL50</f>
        <v>-9.6229168514559593E-8</v>
      </c>
      <c r="BQ50">
        <f>(0.93*(0.9442 - 0.0007*$B50 - dis_BMI*($C50-21.75)))*AM50</f>
        <v>3.370769147322622E-5</v>
      </c>
      <c r="BR50">
        <f>(0.93*(0.9442 - 0.0007*$B50 - dis_BMI*($C50-21.75)))*AN50</f>
        <v>3.6983288765712343E-4</v>
      </c>
      <c r="BS50">
        <f>(0.93*0.943*(0.9442 - 0.0007*$B50 - dis_BMI*($C50-21.75)))*AO50</f>
        <v>9.2966400497596581E-7</v>
      </c>
      <c r="BT50">
        <f>(0.93*0.943*(0.9442 - 0.0007*$B50 - dis_BMI*($C50-21.75))-0.19*0.5)*AP50</f>
        <v>4.0229644187570507E-6</v>
      </c>
      <c r="BU50">
        <f>(0.93*0.943*(0.9442 - 0.0007*$B50 - dis_BMI*($C50-21.75)))*AQ50</f>
        <v>1.7443476485623864E-7</v>
      </c>
      <c r="BV50">
        <f>0.962*(0.9442 - 0.0007*$B50 - dis_BMI*($C50-21.75))*AR50</f>
        <v>2.6358215489618208E-2</v>
      </c>
      <c r="BW50">
        <f>0.962*0.959*(0.9442 - 0.0007*$B50 - dis_BMI*($C50-21.75))*AS50</f>
        <v>1.0326502406900999E-2</v>
      </c>
      <c r="BX50">
        <f>0.962*(0.943*(0.9442 - 0.0007*$B50 - dis_BMI*($C50-21.75)) - 0.19*0.5)*AT50</f>
        <v>7.3598113233839906E-4</v>
      </c>
      <c r="BY50">
        <f>0.962*(0.943*(0.9442 - 0.0007*$B50 - dis_BMI*($C50-21.75)))*AU50</f>
        <v>8.2114391415023975E-4</v>
      </c>
      <c r="BZ50">
        <f>0.962*(0.955*(0.9442 - 0.0007*$B50 - dis_BMI*($C50-21.75)) - 0.15*0.5)*AV50</f>
        <v>4.6853074000614294E-4</v>
      </c>
      <c r="CA50">
        <f>0.962*(0.955*(0.9442 - 0.0007*$B50 - dis_BMI*($C50-21.75)))*AW50</f>
        <v>1.5478898932286208E-3</v>
      </c>
      <c r="CB50">
        <f>0.962*(0.955*0.943*(0.9442 - 0.0007*$B50 - dis_BMI*($C50-21.75)) - 0.19*0.5)*AX50</f>
        <v>3.5417222445480516E-5</v>
      </c>
      <c r="CC50">
        <f>0.962*(0.955*0.943*(0.9442 - 0.0007*$B50 - dis_BMI*($C50-21.75)) - 0.15*0.5)*AY50</f>
        <v>2.1310537064728506E-5</v>
      </c>
      <c r="CD50">
        <f>0.962*(0.955*0.943*(0.9442 - 0.0007*$B50 - dis_BMI*($C50-21.75)))*AZ50</f>
        <v>-1.0862479758410242E-5</v>
      </c>
      <c r="CE50">
        <f>0.962*(0.93*(0.9442 - 0.0007*$B50 - dis_BMI*($C50-21.75)))*BA50</f>
        <v>4.2298623390290082E-4</v>
      </c>
      <c r="CF50">
        <f>0.962*(0.93*(0.9442 - 0.0007*$B50 - dis_BMI*($C50-21.75)))*BB50</f>
        <v>4.4584765227135932E-3</v>
      </c>
      <c r="CG50">
        <f>0.962*(0.93*0.943*(0.9442 - 0.0007*$B50 - dis_BMI*($C50-21.75)))*BC50</f>
        <v>1.5928588820442573E-5</v>
      </c>
      <c r="CH50">
        <f>0.962*(0.93*0.943*(0.9442 - 0.0007*$B50 - dis_BMI*($C50-21.75))-0.19*0.5)*BD50</f>
        <v>7.9207708632328858E-5</v>
      </c>
      <c r="CI50">
        <f>0.962*(0.93*0.943*(0.9442 - 0.0007*$B50 - dis_BMI*($C50-21.75)))*BE50</f>
        <v>-1.5281995099313539E-5</v>
      </c>
      <c r="CJ50">
        <f t="shared" si="50"/>
        <v>0</v>
      </c>
      <c r="CK50">
        <f t="shared" si="51"/>
        <v>5.113684818962036E-2</v>
      </c>
      <c r="CL50">
        <f>CK50/(1+r_)^A50</f>
        <v>1.2746307624582507E-2</v>
      </c>
      <c r="CM50">
        <f t="shared" si="52"/>
        <v>0</v>
      </c>
      <c r="CN50">
        <f>AE50*c_Other</f>
        <v>18.744287283643519</v>
      </c>
      <c r="CO50">
        <f>AF50*(c_Stroke1+c_Stroke2)</f>
        <v>2.2019068739373502</v>
      </c>
      <c r="CP50">
        <f>AG50*c_Stroke2</f>
        <v>0.77451626794567274</v>
      </c>
      <c r="CQ50">
        <f>AH50*(c_MI1+c_MI2)</f>
        <v>1.5618359246587832</v>
      </c>
      <c r="CR50">
        <f>AI50*c_MI2</f>
        <v>0.51018878133560708</v>
      </c>
      <c r="CS50">
        <f>AJ50*(c_Stroke1+c_Stroke2+c_MI2)</f>
        <v>7.5476618539512833E-2</v>
      </c>
      <c r="CT50">
        <f>AK50*(c_Stroke2+c_MI1+c_MI2)</f>
        <v>6.6136559828720784E-2</v>
      </c>
      <c r="CU50">
        <f>AL50*(c_Stroke2+c_MI2)</f>
        <v>-1.2438248689485966E-3</v>
      </c>
      <c r="CV50">
        <f>AM50*(c_HF1)</f>
        <v>1.1858235149889871</v>
      </c>
      <c r="CW50">
        <f>AN50*(c_HF2)</f>
        <v>7.5112860919028783</v>
      </c>
      <c r="CX50">
        <f>AO50*(c_Stroke2+c_HF1)</f>
        <v>4.302222618043329E-2</v>
      </c>
      <c r="CY50">
        <f>AP50*(c_Stroke1+c_Stroke2+c_HF2)</f>
        <v>0.25191006649543246</v>
      </c>
      <c r="CZ50">
        <f>AQ50*(c_Stroke2+c_HF2)</f>
        <v>5.3217794598248071E-3</v>
      </c>
      <c r="DA50">
        <f>AR50*c_DM</f>
        <v>378.90042446178757</v>
      </c>
      <c r="DB50">
        <f>AS50*(c_Other+c_DM)</f>
        <v>348.24768236524437</v>
      </c>
      <c r="DC50">
        <f>AT50*(c_Stroke1+c_Stroke2+c_DM)</f>
        <v>39.412230896714313</v>
      </c>
      <c r="DD50">
        <f>AU50*(c_Stroke2+c_DM)</f>
        <v>19.6390117031222</v>
      </c>
      <c r="DE50">
        <f>AV50*(c_MI1+c_MI2+c_DM)</f>
        <v>27.678068940623859</v>
      </c>
      <c r="DF50">
        <f>AW50*(c_MI2+c_DM)</f>
        <v>29.656077785543609</v>
      </c>
      <c r="DG50">
        <f>AX50*(c_Stroke1+c_Stroke2+c_MI2+c_DM)</f>
        <v>2.1758774529720424</v>
      </c>
      <c r="DH50">
        <f>AY50*(c_Stroke2+c_MI1+c_MI2+c_DM)</f>
        <v>1.5587518858972427</v>
      </c>
      <c r="DI50">
        <f>AZ50*(c_Stroke2+c_MI2+c_DM)</f>
        <v>-0.31934036030763358</v>
      </c>
      <c r="DJ50">
        <f>BA50*(c_HF1+c_DM)</f>
        <v>22.006398824444059</v>
      </c>
      <c r="DK50">
        <f>BB50*(c_HF2+c_DM)</f>
        <v>163.04311349081652</v>
      </c>
      <c r="DL50">
        <f>BC50*(c_Stroke2+c_HF1+c_DM)</f>
        <v>1.0273384463119561</v>
      </c>
      <c r="DM50">
        <f>BD50*(c_Stroke1+c_Stroke2+c_HF2+c_DM)</f>
        <v>6.6499880549650854</v>
      </c>
      <c r="DN50">
        <f>BE50*(c_Stroke2+c_HF2+c_DM)</f>
        <v>-0.73514303521500679</v>
      </c>
      <c r="DO50">
        <f t="shared" si="53"/>
        <v>0</v>
      </c>
      <c r="DP50">
        <f t="shared" si="54"/>
        <v>1071.8709490769677</v>
      </c>
      <c r="DQ50">
        <f>DP50/(1+r_)^A50</f>
        <v>267.17322898209835</v>
      </c>
    </row>
    <row r="51" spans="1:121" x14ac:dyDescent="0.3">
      <c r="A51">
        <v>48</v>
      </c>
      <c r="B51">
        <v>93</v>
      </c>
      <c r="C51">
        <f t="shared" si="40"/>
        <v>38</v>
      </c>
      <c r="D51">
        <f t="shared" si="1"/>
        <v>125</v>
      </c>
      <c r="E51">
        <f t="shared" si="42"/>
        <v>5.7</v>
      </c>
      <c r="F51">
        <v>0.17560000000000001</v>
      </c>
      <c r="G51">
        <v>0.21640000000000001</v>
      </c>
      <c r="H51">
        <f t="shared" si="3"/>
        <v>0.18376000000000001</v>
      </c>
      <c r="I51">
        <f t="shared" si="22"/>
        <v>5.6857293942168513E-2</v>
      </c>
      <c r="J51">
        <f t="shared" si="23"/>
        <v>0.45763640312358733</v>
      </c>
      <c r="K51">
        <f t="shared" si="24"/>
        <v>0.57550148163075643</v>
      </c>
      <c r="L51">
        <f t="shared" si="25"/>
        <v>0.25146270241632762</v>
      </c>
      <c r="M51">
        <f t="shared" si="26"/>
        <v>0.3334434308099602</v>
      </c>
      <c r="N51">
        <f t="shared" si="27"/>
        <v>0.8352588166394519</v>
      </c>
      <c r="O51">
        <f t="shared" si="28"/>
        <v>0.92177417385928162</v>
      </c>
      <c r="P51">
        <f t="shared" si="29"/>
        <v>0.58813701619726522</v>
      </c>
      <c r="Q51">
        <f t="shared" si="30"/>
        <v>0.71447120023533017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3.7644104217993718E-2</v>
      </c>
      <c r="U51">
        <f t="shared" si="31"/>
        <v>0.73592074842731625</v>
      </c>
      <c r="V51">
        <f t="shared" si="32"/>
        <v>0.84506703222121926</v>
      </c>
      <c r="W51">
        <f t="shared" si="33"/>
        <v>0.46758574307869816</v>
      </c>
      <c r="X51">
        <f t="shared" si="34"/>
        <v>0.58636714325186667</v>
      </c>
      <c r="Y51">
        <f t="shared" si="35"/>
        <v>0.95351966414409461</v>
      </c>
      <c r="Z51">
        <f t="shared" si="36"/>
        <v>0.98691221280345032</v>
      </c>
      <c r="AA51">
        <f t="shared" si="37"/>
        <v>0.7789742020763275</v>
      </c>
      <c r="AB51">
        <f t="shared" si="38"/>
        <v>0.88150359498256292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5.8941675987085829E-2</v>
      </c>
      <c r="AD51">
        <f t="shared" si="43"/>
        <v>3.7304089260444696E-3</v>
      </c>
      <c r="AE51">
        <f t="shared" si="44"/>
        <v>9.2326062196115019E-4</v>
      </c>
      <c r="AF51">
        <f t="shared" si="45"/>
        <v>6.8153943175493093E-5</v>
      </c>
      <c r="AG51">
        <f t="shared" si="46"/>
        <v>7.069166150322926E-5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4.1163771253152237E-5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1.1804492334300994E-4</v>
      </c>
      <c r="AJ51">
        <f t="shared" si="47"/>
        <v>2.0693670945234256E-6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1.2613606334996871E-6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-3.9311531469520786E-7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3.3312416214592253E-5</v>
      </c>
      <c r="AN51">
        <f t="shared" si="48"/>
        <v>3.42038653541241E-4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8.6012941909418913E-7</v>
      </c>
      <c r="AP51">
        <f>AM50*T50*p_Stroke*p_Stroke_rec*(1-I50) + AN50*T50*p_Stroke*p_Stroke_rec*(1-I50) + AO50*(p_recur_Stroke*p_Stroke_rec)*(1-I50) + AP50*(p_recur_Stroke*p_Stroke_rec)*(1-I50) + AQ50*(p_recur_Stroke*p_Stroke_rec)*(1-I50)</f>
        <v>4.6868491367240795E-6</v>
      </c>
      <c r="AQ51">
        <f>AO50*(1-p_recur_Stroke-H50*rr_Stroke*rr_HF)*(1-I50) + AP50*(1-p_recur_Stroke-H50*rr_Stroke*rr_HF)*(1-I50) + AQ50*(1-p_recur_Stroke-H50*rr_Stroke*rr_HF)*(1-I50)</f>
        <v>-4.642300336707542E-7</v>
      </c>
      <c r="AR51">
        <f>AR50*(1-AC50-H50*rr_DM) + AD50*(1-T50-H50)*I50</f>
        <v>2.5157458006559882E-2</v>
      </c>
      <c r="AS51">
        <f>AR50*AC50*p_Other + AD50*T50*p_Other*I50 + AE50*(1-T50*p_Stroke-T50*p_MI-H50*rr_Other)*I50 + AS50*(1-AC50*p_Stroke-AC50*p_MI-H50*rr_Other*rr_DM)</f>
        <v>9.4121343721337222E-3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8.2184372526038782E-4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6.0623668291048967E-4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5.2260222104939639E-4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1.455033119243828E-3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4.1768346399685226E-5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2.210298453624936E-5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-1.6056445080750748E-5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4.3351766737458974E-4</v>
      </c>
      <c r="BB51">
        <f>AM50*(1-T50*p_Stroke - H50*rr_HF)*I50 + AN50*(1-T50*p_Stroke - H50*rr_HF)*I50 + BA50*(1-AC50*p_Stroke - H50*rr_HF*rr_DM) + BB50*(1-AC50*p_Stroke - H50*rr_HF*rr_DM)</f>
        <v>4.2505128663584491E-3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1.5078718933225984E-5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9.5878284200528053E-5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-2.6835060668485121E-5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0.92687362923281658</v>
      </c>
      <c r="BG51">
        <f t="shared" si="49"/>
        <v>0.97499999999999953</v>
      </c>
      <c r="BH51">
        <f>(0.9442 - 0.0007*$B51 - dis_BMI*($C51-21.75))*AD51</f>
        <v>3.0793593082265583E-3</v>
      </c>
      <c r="BI51">
        <f>0.959*(0.9442 - 0.0007*$B51 - dis_BMI*($C51-21.75))*AE51</f>
        <v>7.3088129087493185E-4</v>
      </c>
      <c r="BJ51">
        <f>(0.943*(0.9442 - 0.0007*$B51 - dis_BMI*($C51-21.75)) - 0.19*0.5)*AF51</f>
        <v>4.6577967195279268E-5</v>
      </c>
      <c r="BK51">
        <f>(0.943*(0.9442 - 0.0007*$B51 - dis_BMI*($C51-21.75)))*AG51</f>
        <v>5.5028009920453608E-5</v>
      </c>
      <c r="BL51">
        <f>(0.955*(0.9442 - 0.0007*$B51 - dis_BMI*($C51-21.75)) - 0.15*0.5)*AH51</f>
        <v>2.9363296347825609E-5</v>
      </c>
      <c r="BM51">
        <f>(0.955*(0.9442 - 0.0007*$B51 - dis_BMI*($C51-21.75)))*AI51</f>
        <v>9.3058192107225421E-5</v>
      </c>
      <c r="BN51">
        <f>(0.955*0.943*(0.9442 - 0.0007*$B51 - dis_BMI*($C51-21.75)) - 0.19*0.5)*AJ51</f>
        <v>1.3417649872401556E-6</v>
      </c>
      <c r="BO51">
        <f>(0.955*0.943*(0.9442 - 0.0007*$B51 - dis_BMI*($C51-21.75)) - 0.15*0.5)*AK51</f>
        <v>8.4308574477481236E-7</v>
      </c>
      <c r="BP51">
        <f>(0.955*0.943*(0.9442 - 0.0007*$B51 - dis_BMI*($C51-21.75)))*AL51</f>
        <v>-2.9223952433660888E-7</v>
      </c>
      <c r="BQ51">
        <f>(0.93*(0.9442 - 0.0007*$B51 - dis_BMI*($C51-21.75)))*AM51</f>
        <v>2.5573667100508704E-5</v>
      </c>
      <c r="BR51">
        <f>(0.93*(0.9442 - 0.0007*$B51 - dis_BMI*($C51-21.75)))*AN51</f>
        <v>2.6258025250471901E-4</v>
      </c>
      <c r="BS51">
        <f>(0.93*0.943*(0.9442 - 0.0007*$B51 - dis_BMI*($C51-21.75)))*AO51</f>
        <v>6.2267634620956013E-7</v>
      </c>
      <c r="BT51">
        <f>(0.93*0.943*(0.9442 - 0.0007*$B51 - dis_BMI*($C51-21.75))-0.19*0.5)*AP51</f>
        <v>2.9477155890707216E-6</v>
      </c>
      <c r="BU51">
        <f>(0.93*0.943*(0.9442 - 0.0007*$B51 - dis_BMI*($C51-21.75)))*AQ51</f>
        <v>-3.360715896350384E-7</v>
      </c>
      <c r="BV51">
        <f>0.962*(0.9442 - 0.0007*$B51 - dis_BMI*($C51-21.75))*AR51</f>
        <v>1.9977712247342346E-2</v>
      </c>
      <c r="BW51">
        <f>0.962*0.959*(0.9442 - 0.0007*$B51 - dis_BMI*($C51-21.75))*AS51</f>
        <v>7.1677974251562176E-3</v>
      </c>
      <c r="BX51">
        <f>0.962*(0.943*(0.9442 - 0.0007*$B51 - dis_BMI*($C51-21.75)) - 0.19*0.5)*AT51</f>
        <v>5.4032350259115717E-4</v>
      </c>
      <c r="BY51">
        <f>0.962*(0.943*(0.9442 - 0.0007*$B51 - dis_BMI*($C51-21.75)))*AU51</f>
        <v>4.5397600773924851E-4</v>
      </c>
      <c r="BZ51">
        <f>0.962*(0.955*(0.9442 - 0.0007*$B51 - dis_BMI*($C51-21.75)) - 0.15*0.5)*AV51</f>
        <v>3.5862121306011371E-4</v>
      </c>
      <c r="CA51">
        <f>0.962*(0.955*(0.9442 - 0.0007*$B51 - dis_BMI*($C51-21.75)))*AW51</f>
        <v>1.1034565764104758E-3</v>
      </c>
      <c r="CB51">
        <f>0.962*(0.955*0.943*(0.9442 - 0.0007*$B51 - dis_BMI*($C51-21.75)) - 0.19*0.5)*AX51</f>
        <v>2.6053211793734317E-5</v>
      </c>
      <c r="CC51">
        <f>0.962*(0.955*0.943*(0.9442 - 0.0007*$B51 - dis_BMI*($C51-21.75)) - 0.15*0.5)*AY51</f>
        <v>1.4212106893594266E-5</v>
      </c>
      <c r="CD51">
        <f>0.962*(0.955*0.943*(0.9442 - 0.0007*$B51 - dis_BMI*($C51-21.75)))*AZ51</f>
        <v>-1.1482685219892199E-5</v>
      </c>
      <c r="CE51">
        <f>0.962*(0.93*(0.9442 - 0.0007*$B51 - dis_BMI*($C51-21.75)))*BA51</f>
        <v>3.2016123512725346E-4</v>
      </c>
      <c r="CF51">
        <f>0.962*(0.93*(0.9442 - 0.0007*$B51 - dis_BMI*($C51-21.75)))*BB51</f>
        <v>3.139086481662889E-3</v>
      </c>
      <c r="CG51">
        <f>0.962*(0.93*0.943*(0.9442 - 0.0007*$B51 - dis_BMI*($C51-21.75)))*BC51</f>
        <v>1.0501179554073846E-5</v>
      </c>
      <c r="CH51">
        <f>0.962*(0.93*0.943*(0.9442 - 0.0007*$B51 - dis_BMI*($C51-21.75))-0.19*0.5)*BD51</f>
        <v>5.8009607812471001E-5</v>
      </c>
      <c r="CI51">
        <f>0.962*(0.93*0.943*(0.9442 - 0.0007*$B51 - dis_BMI*($C51-21.75)))*BE51</f>
        <v>-1.8688576375230446E-5</v>
      </c>
      <c r="CJ51">
        <f t="shared" si="50"/>
        <v>0</v>
      </c>
      <c r="CK51">
        <f t="shared" si="51"/>
        <v>3.7467288449379285E-2</v>
      </c>
      <c r="CL51">
        <f>CK51/(1+r_)^A51</f>
        <v>9.0670388795582296E-3</v>
      </c>
      <c r="CM51">
        <f t="shared" si="52"/>
        <v>0</v>
      </c>
      <c r="CN51">
        <f>AE51*c_Other</f>
        <v>13.183238420983264</v>
      </c>
      <c r="CO51">
        <f>AF51*(c_Stroke1+c_Stroke2)</f>
        <v>1.6231543106675435</v>
      </c>
      <c r="CP51">
        <f>AG51*c_Stroke2</f>
        <v>0.4594957997709902</v>
      </c>
      <c r="CQ51">
        <f>AH51*(c_MI1+c_MI2)</f>
        <v>1.1999650958006409</v>
      </c>
      <c r="CR51">
        <f>AI51*c_MI2</f>
        <v>0.36794602606016202</v>
      </c>
      <c r="CS51">
        <f>AJ51*(c_Stroke1+c_Stroke2+c_MI2)</f>
        <v>5.5734263956799424E-2</v>
      </c>
      <c r="CT51">
        <f>AK51*(c_Stroke2+c_MI1+c_MI2)</f>
        <v>4.4968767944897348E-2</v>
      </c>
      <c r="CU51">
        <f>AL51*(c_Stroke2+c_MI2)</f>
        <v>-3.7805899814238142E-3</v>
      </c>
      <c r="CV51">
        <f>AM51*(c_HF1)</f>
        <v>0.90043461028042859</v>
      </c>
      <c r="CW51">
        <f>AN51*(c_HF2)</f>
        <v>5.3375131885110658</v>
      </c>
      <c r="CX51">
        <f>AO51*(c_Stroke2+c_HF1)</f>
        <v>2.8840139422228163E-2</v>
      </c>
      <c r="CY51">
        <f>AP51*(c_Stroke1+c_Stroke2+c_HF2)</f>
        <v>0.18476027981879994</v>
      </c>
      <c r="CZ51">
        <f>AQ51*(c_Stroke2+c_HF2)</f>
        <v>-1.0261804894292022E-2</v>
      </c>
      <c r="DA51">
        <f>AR51*c_DM</f>
        <v>287.42395772494666</v>
      </c>
      <c r="DB51">
        <f>AS51*(c_Other+c_DM)</f>
        <v>241.92950190132521</v>
      </c>
      <c r="DC51">
        <f>AT51*(c_Stroke1+c_Stroke2+c_DM)</f>
        <v>28.962594721901326</v>
      </c>
      <c r="DD51">
        <f>AU51*(c_Stroke2+c_DM)</f>
        <v>10.866792541170527</v>
      </c>
      <c r="DE51">
        <f>AV51*(c_MI1+c_MI2+c_DM)</f>
        <v>21.205107721300308</v>
      </c>
      <c r="DF51">
        <f>AW51*(c_MI2+c_DM)</f>
        <v>21.159091620043746</v>
      </c>
      <c r="DG51">
        <f>AX51*(c_Stroke1+c_Stroke2+c_MI2+c_DM)</f>
        <v>1.6021502311991258</v>
      </c>
      <c r="DH51">
        <f>AY51*(c_Stroke2+c_MI1+c_MI2+c_DM)</f>
        <v>1.0405201000284749</v>
      </c>
      <c r="DI51">
        <f>AZ51*(c_Stroke2+c_MI2+c_DM)</f>
        <v>-0.33785971738915727</v>
      </c>
      <c r="DJ51">
        <f>BA51*(c_HF1+c_DM)</f>
        <v>16.670921898889848</v>
      </c>
      <c r="DK51">
        <f>BB51*(c_HF2+c_DM)</f>
        <v>114.89136277766887</v>
      </c>
      <c r="DL51">
        <f>BC51*(c_Stroke2+c_HF1+c_DM)</f>
        <v>0.67786380964317416</v>
      </c>
      <c r="DM51">
        <f>BD51*(c_Stroke1+c_Stroke2+c_HF2+c_DM)</f>
        <v>4.8750272384600493</v>
      </c>
      <c r="DN51">
        <f>BE51*(c_Stroke2+c_HF2+c_DM)</f>
        <v>-0.89977958421430615</v>
      </c>
      <c r="DO51">
        <f t="shared" si="53"/>
        <v>0</v>
      </c>
      <c r="DP51">
        <f t="shared" si="54"/>
        <v>773.43926149331514</v>
      </c>
      <c r="DQ51">
        <f>DP51/(1+r_)^A51</f>
        <v>187.17137388822363</v>
      </c>
    </row>
    <row r="52" spans="1:121" x14ac:dyDescent="0.3">
      <c r="A52">
        <v>49</v>
      </c>
      <c r="B52">
        <v>94</v>
      </c>
      <c r="C52">
        <f t="shared" si="40"/>
        <v>38</v>
      </c>
      <c r="D52">
        <f t="shared" si="1"/>
        <v>125</v>
      </c>
      <c r="E52">
        <f t="shared" si="42"/>
        <v>5.7</v>
      </c>
      <c r="F52">
        <v>0.19406999999999999</v>
      </c>
      <c r="G52">
        <v>0.23441000000000001</v>
      </c>
      <c r="H52">
        <f t="shared" si="3"/>
        <v>0.20213799999999998</v>
      </c>
      <c r="I52">
        <f t="shared" si="22"/>
        <v>5.6857293942168513E-2</v>
      </c>
      <c r="J52">
        <f t="shared" si="23"/>
        <v>0.46734738288396815</v>
      </c>
      <c r="K52">
        <f t="shared" si="24"/>
        <v>0.58610777401987046</v>
      </c>
      <c r="L52">
        <f t="shared" si="25"/>
        <v>0.25783761966499608</v>
      </c>
      <c r="M52">
        <f t="shared" si="26"/>
        <v>0.34138005873019373</v>
      </c>
      <c r="N52">
        <f t="shared" si="27"/>
        <v>0.84501591652541985</v>
      </c>
      <c r="O52">
        <f t="shared" si="28"/>
        <v>0.92823963460161052</v>
      </c>
      <c r="P52">
        <f t="shared" si="29"/>
        <v>0.6003219887503809</v>
      </c>
      <c r="Q52">
        <f t="shared" si="30"/>
        <v>0.72633389971969309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3.8434523704814441E-2</v>
      </c>
      <c r="U52">
        <f t="shared" si="31"/>
        <v>0.7461027779606304</v>
      </c>
      <c r="V52">
        <f t="shared" si="32"/>
        <v>0.85336805847648955</v>
      </c>
      <c r="W52">
        <f t="shared" si="33"/>
        <v>0.47740438548883557</v>
      </c>
      <c r="X52">
        <f t="shared" si="34"/>
        <v>0.59701064405551618</v>
      </c>
      <c r="Y52">
        <f t="shared" si="35"/>
        <v>0.95810619616771409</v>
      </c>
      <c r="Z52">
        <f t="shared" si="36"/>
        <v>0.98869910281074058</v>
      </c>
      <c r="AA52">
        <f t="shared" si="37"/>
        <v>0.78998556275782839</v>
      </c>
      <c r="AB52">
        <f t="shared" si="38"/>
        <v>0.88975838715027056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5.9869751777773587E-2</v>
      </c>
      <c r="AD52">
        <f t="shared" si="43"/>
        <v>2.7393401449254872E-3</v>
      </c>
      <c r="AE52">
        <f t="shared" si="44"/>
        <v>6.2483691701662966E-4</v>
      </c>
      <c r="AF52">
        <f t="shared" si="45"/>
        <v>4.941815434152479E-5</v>
      </c>
      <c r="AG52">
        <f t="shared" si="46"/>
        <v>3.8833518230591224E-5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3.0954097147171698E-5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8.2120758837862589E-5</v>
      </c>
      <c r="AJ52">
        <f t="shared" si="47"/>
        <v>1.5019435035678777E-6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8.4094936957357134E-7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-5.0664824465565447E-7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2.4735984768491707E-5</v>
      </c>
      <c r="AN52">
        <f t="shared" si="48"/>
        <v>2.3254844599812248E-4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5.6731332295325479E-7</v>
      </c>
      <c r="AP52">
        <f>AM51*T51*p_Stroke*p_Stroke_rec*(1-I51) + AN51*T51*p_Stroke*p_Stroke_rec*(1-I51) + AO51*(p_recur_Stroke*p_Stroke_rec)*(1-I51) + AP51*(p_recur_Stroke*p_Stroke_rec)*(1-I51) + AQ51*(p_recur_Stroke*p_Stroke_rec)*(1-I51)</f>
        <v>3.349091779686888E-6</v>
      </c>
      <c r="AQ52">
        <f>AO51*(1-p_recur_Stroke-H51*rr_Stroke*rr_HF)*(1-I51) + AP51*(1-p_recur_Stroke-H51*rr_Stroke*rr_HF)*(1-I51) + AQ51*(1-p_recur_Stroke-H51*rr_Stroke*rr_HF)*(1-I51)</f>
        <v>-7.9963329194291622E-7</v>
      </c>
      <c r="AR52">
        <f>AR51*(1-AC51-H51*rr_DM) + AD51*(1-T51-H51)*I51</f>
        <v>1.8523401546781552E-2</v>
      </c>
      <c r="AS52">
        <f>AR51*AC51*p_Other + AD51*T51*p_Other*I51 + AE51*(1-T51*p_Stroke-T51*p_MI-H51*rr_Other)*I51 + AS51*(1-AC51*p_Stroke-AC51*p_MI-H51*rr_Other*rr_DM)</f>
        <v>6.2365912111421494E-3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5.9179323040707554E-4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2.9593828673167186E-4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3.8968382579701491E-4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9.9070593535651483E-4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3.0034491890891806E-5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1.443462677445799E-5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-1.5292180266585535E-5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3.1911178855799973E-4</v>
      </c>
      <c r="BB52">
        <f>AM51*(1-T51*p_Stroke - H51*rr_HF)*I51 + AN51*(1-T51*p_Stroke - H51*rr_HF)*I51 + BA51*(1-AC51*p_Stroke - H51*rr_HF*rr_DM) + BB51*(1-AC51*p_Stroke - H51*rr_HF*rr_DM)</f>
        <v>2.8330267560000319E-3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9.7718043400621301E-6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6.7908465701475729E-5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-2.728927132529537E-5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0.94091243844440553</v>
      </c>
      <c r="BG52">
        <f t="shared" si="49"/>
        <v>0.97499999999999964</v>
      </c>
      <c r="BH52">
        <f>(0.9442 - 0.0007*$B52 - dis_BMI*($C52-21.75))*AD52</f>
        <v>2.259339268030919E-3</v>
      </c>
      <c r="BI52">
        <f>0.959*(0.9442 - 0.0007*$B52 - dis_BMI*($C52-21.75))*AE52</f>
        <v>4.9422052363486276E-4</v>
      </c>
      <c r="BJ52">
        <f>(0.943*(0.9442 - 0.0007*$B52 - dis_BMI*($C52-21.75)) - 0.19*0.5)*AF52</f>
        <v>3.3740878664505486E-5</v>
      </c>
      <c r="BK52">
        <f>(0.943*(0.9442 - 0.0007*$B52 - dis_BMI*($C52-21.75)))*AG52</f>
        <v>3.0203266843713635E-5</v>
      </c>
      <c r="BL52">
        <f>(0.955*(0.9442 - 0.0007*$B52 - dis_BMI*($C52-21.75)) - 0.15*0.5)*AH52</f>
        <v>2.2059750742165527E-5</v>
      </c>
      <c r="BM52">
        <f>(0.955*(0.9442 - 0.0007*$B52 - dis_BMI*($C52-21.75)))*AI52</f>
        <v>6.4683247171325701E-5</v>
      </c>
      <c r="BN52">
        <f>(0.955*0.943*(0.9442 - 0.0007*$B52 - dis_BMI*($C52-21.75)) - 0.19*0.5)*AJ52</f>
        <v>9.7290417748176105E-7</v>
      </c>
      <c r="BO52">
        <f>(0.955*0.943*(0.9442 - 0.0007*$B52 - dis_BMI*($C52-21.75)) - 0.15*0.5)*AK52</f>
        <v>5.6155529256222413E-7</v>
      </c>
      <c r="BP52">
        <f>(0.955*0.943*(0.9442 - 0.0007*$B52 - dis_BMI*($C52-21.75)))*AL52</f>
        <v>-3.7631982239266268E-7</v>
      </c>
      <c r="BQ52">
        <f>(0.93*(0.9442 - 0.0007*$B52 - dis_BMI*($C52-21.75)))*AM52</f>
        <v>1.8973508308812457E-5</v>
      </c>
      <c r="BR52">
        <f>(0.93*(0.9442 - 0.0007*$B52 - dis_BMI*($C52-21.75)))*AN52</f>
        <v>1.7837413442973438E-4</v>
      </c>
      <c r="BS52">
        <f>(0.93*0.943*(0.9442 - 0.0007*$B52 - dis_BMI*($C52-21.75)))*AO52</f>
        <v>4.103487478298426E-7</v>
      </c>
      <c r="BT52">
        <f>(0.93*0.943*(0.9442 - 0.0007*$B52 - dis_BMI*($C52-21.75))-0.19*0.5)*AP52</f>
        <v>2.1042994288205491E-6</v>
      </c>
      <c r="BU52">
        <f>(0.93*0.943*(0.9442 - 0.0007*$B52 - dis_BMI*($C52-21.75)))*AQ52</f>
        <v>-5.7839029473818232E-7</v>
      </c>
      <c r="BV52">
        <f>0.962*(0.9442 - 0.0007*$B52 - dis_BMI*($C52-21.75))*AR52</f>
        <v>1.4697088247338379E-2</v>
      </c>
      <c r="BW52">
        <f>0.962*0.959*(0.9442 - 0.0007*$B52 - dis_BMI*($C52-21.75))*AS52</f>
        <v>4.7454395556685474E-3</v>
      </c>
      <c r="BX52">
        <f>0.962*(0.943*(0.9442 - 0.0007*$B52 - dis_BMI*($C52-21.75)) - 0.19*0.5)*AT52</f>
        <v>3.8870034993188362E-4</v>
      </c>
      <c r="BY52">
        <f>0.962*(0.943*(0.9442 - 0.0007*$B52 - dis_BMI*($C52-21.75)))*AU52</f>
        <v>2.2142334559334989E-4</v>
      </c>
      <c r="BZ52">
        <f>0.962*(0.955*(0.9442 - 0.0007*$B52 - dis_BMI*($C52-21.75)) - 0.15*0.5)*AV52</f>
        <v>2.6715906329086571E-4</v>
      </c>
      <c r="CA52">
        <f>0.962*(0.955*(0.9442 - 0.0007*$B52 - dis_BMI*($C52-21.75)))*AW52</f>
        <v>7.5068665756767054E-4</v>
      </c>
      <c r="CB52">
        <f>0.962*(0.955*0.943*(0.9442 - 0.0007*$B52 - dis_BMI*($C52-21.75)) - 0.19*0.5)*AX52</f>
        <v>1.8715948118224986E-5</v>
      </c>
      <c r="CC52">
        <f>0.962*(0.955*0.943*(0.9442 - 0.0007*$B52 - dis_BMI*($C52-21.75)) - 0.15*0.5)*AY52</f>
        <v>9.2726380245457719E-6</v>
      </c>
      <c r="CD52">
        <f>0.962*(0.955*0.943*(0.9442 - 0.0007*$B52 - dis_BMI*($C52-21.75)))*AZ52</f>
        <v>-1.0926851319356244E-5</v>
      </c>
      <c r="CE52">
        <f>0.962*(0.93*(0.9442 - 0.0007*$B52 - dis_BMI*($C52-21.75)))*BA52</f>
        <v>2.3547041929545349E-4</v>
      </c>
      <c r="CF52">
        <f>0.962*(0.93*(0.9442 - 0.0007*$B52 - dis_BMI*($C52-21.75)))*BB52</f>
        <v>2.0904711829200229E-3</v>
      </c>
      <c r="CG52">
        <f>0.962*(0.93*0.943*(0.9442 - 0.0007*$B52 - dis_BMI*($C52-21.75)))*BC52</f>
        <v>6.7995467535515975E-6</v>
      </c>
      <c r="CH52">
        <f>0.962*(0.93*0.943*(0.9442 - 0.0007*$B52 - dis_BMI*($C52-21.75))-0.19*0.5)*BD52</f>
        <v>4.1046816360528358E-5</v>
      </c>
      <c r="CI52">
        <f>0.962*(0.93*0.943*(0.9442 - 0.0007*$B52 - dis_BMI*($C52-21.75)))*BE52</f>
        <v>-1.8988783421089362E-5</v>
      </c>
      <c r="CJ52">
        <f t="shared" si="50"/>
        <v>0</v>
      </c>
      <c r="CK52">
        <f t="shared" si="51"/>
        <v>2.6547047111478178E-2</v>
      </c>
      <c r="CL52">
        <f>CK52/(1+r_)^A52</f>
        <v>6.2372364754495202E-3</v>
      </c>
      <c r="CM52">
        <f t="shared" si="52"/>
        <v>0</v>
      </c>
      <c r="CN52">
        <f>AE52*c_Other</f>
        <v>8.9220463380804542</v>
      </c>
      <c r="CO52">
        <f>AF52*(c_Stroke1+c_Stroke2)</f>
        <v>1.1769427637977543</v>
      </c>
      <c r="CP52">
        <f>AG52*c_Stroke2</f>
        <v>0.25241786849884296</v>
      </c>
      <c r="CQ52">
        <f>AH52*(c_MI1+c_MI2)</f>
        <v>0.90234288593720213</v>
      </c>
      <c r="CR52">
        <f>AI52*c_MI2</f>
        <v>0.25597040529761766</v>
      </c>
      <c r="CS52">
        <f>AJ52*(c_Stroke1+c_Stroke2+c_MI2)</f>
        <v>4.0451844381593653E-2</v>
      </c>
      <c r="CT52">
        <f>AK52*(c_Stroke2+c_MI1+c_MI2)</f>
        <v>2.9980685974667392E-2</v>
      </c>
      <c r="CU52">
        <f>AL52*(c_Stroke2+c_MI2)</f>
        <v>-4.8724361688534286E-3</v>
      </c>
      <c r="CV52">
        <f>AM52*(c_HF1)</f>
        <v>0.66861366829233082</v>
      </c>
      <c r="CW52">
        <f>AN52*(c_HF2)</f>
        <v>3.6289184998007014</v>
      </c>
      <c r="CX52">
        <f>AO52*(c_Stroke2+c_HF1)</f>
        <v>1.9022015718622633E-2</v>
      </c>
      <c r="CY52">
        <f>AP52*(c_Stroke1+c_Stroke2+c_HF2)</f>
        <v>0.13202454704703681</v>
      </c>
      <c r="CZ52">
        <f>AQ52*(c_Stroke2+c_HF2)</f>
        <v>-1.7675893918398165E-2</v>
      </c>
      <c r="DA52">
        <f>AR52*c_DM</f>
        <v>211.62986267197923</v>
      </c>
      <c r="DB52">
        <f>AS52*(c_Other+c_DM)</f>
        <v>160.3053404911978</v>
      </c>
      <c r="DC52">
        <f>AT52*(c_Stroke1+c_Stroke2+c_DM)</f>
        <v>20.855385232775749</v>
      </c>
      <c r="DD52">
        <f>AU52*(c_Stroke2+c_DM)</f>
        <v>5.304693789665218</v>
      </c>
      <c r="DE52">
        <f>AV52*(c_MI1+c_MI2+c_DM)</f>
        <v>15.811810915539677</v>
      </c>
      <c r="DF52">
        <f>AW52*(c_MI2+c_DM)</f>
        <v>14.406845711954439</v>
      </c>
      <c r="DG52">
        <f>AX52*(c_Stroke1+c_Stroke2+c_MI2+c_DM)</f>
        <v>1.1520630399508278</v>
      </c>
      <c r="DH52">
        <f>AY52*(c_Stroke2+c_MI1+c_MI2+c_DM)</f>
        <v>0.67952449003438431</v>
      </c>
      <c r="DI52">
        <f>AZ52*(c_Stroke2+c_MI2+c_DM)</f>
        <v>-0.32177805716949281</v>
      </c>
      <c r="DJ52">
        <f>BA52*(c_HF1+c_DM)</f>
        <v>12.27144382899788</v>
      </c>
      <c r="DK52">
        <f>BB52*(c_HF2+c_DM)</f>
        <v>76.576713214680865</v>
      </c>
      <c r="DL52">
        <f>BC52*(c_Stroke2+c_HF1+c_DM)</f>
        <v>0.43929146410749303</v>
      </c>
      <c r="DM52">
        <f>BD52*(c_Stroke1+c_Stroke2+c_HF2+c_DM)</f>
        <v>3.4528738470572349</v>
      </c>
      <c r="DN52">
        <f>BE52*(c_Stroke2+c_HF2+c_DM)</f>
        <v>-0.91500926753715373</v>
      </c>
      <c r="DO52">
        <f t="shared" si="53"/>
        <v>0</v>
      </c>
      <c r="DP52">
        <f t="shared" si="54"/>
        <v>537.6552445659737</v>
      </c>
      <c r="DQ52">
        <f>DP52/(1+r_)^A52</f>
        <v>126.32225680473796</v>
      </c>
    </row>
    <row r="53" spans="1:121" x14ac:dyDescent="0.3">
      <c r="A53">
        <v>50</v>
      </c>
      <c r="B53">
        <v>95</v>
      </c>
      <c r="C53">
        <f t="shared" si="40"/>
        <v>38</v>
      </c>
      <c r="D53">
        <f t="shared" si="1"/>
        <v>125</v>
      </c>
      <c r="E53">
        <f t="shared" si="42"/>
        <v>5.7</v>
      </c>
      <c r="F53">
        <v>0.21340000000000001</v>
      </c>
      <c r="G53">
        <v>0.25403999999999999</v>
      </c>
      <c r="H53">
        <f t="shared" si="3"/>
        <v>0.221528</v>
      </c>
      <c r="I53">
        <f t="shared" si="22"/>
        <v>5.6857293942168513E-2</v>
      </c>
      <c r="J53">
        <f t="shared" si="23"/>
        <v>0.47705909809177183</v>
      </c>
      <c r="K53">
        <f t="shared" si="24"/>
        <v>0.59663769764452113</v>
      </c>
      <c r="L53">
        <f t="shared" si="25"/>
        <v>0.26427452917450467</v>
      </c>
      <c r="M53">
        <f t="shared" si="26"/>
        <v>0.34936621027907599</v>
      </c>
      <c r="N53">
        <f t="shared" si="27"/>
        <v>0.8543973619982641</v>
      </c>
      <c r="O53">
        <f t="shared" si="28"/>
        <v>0.93429969109075583</v>
      </c>
      <c r="P53">
        <f t="shared" si="29"/>
        <v>0.61241117102745024</v>
      </c>
      <c r="Q53">
        <f t="shared" si="30"/>
        <v>0.73795665279346301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3.922434468957807E-2</v>
      </c>
      <c r="U53">
        <f t="shared" si="31"/>
        <v>0.75606951330453365</v>
      </c>
      <c r="V53">
        <f t="shared" si="32"/>
        <v>0.86136546653747215</v>
      </c>
      <c r="W53">
        <f t="shared" si="33"/>
        <v>0.48721835499574173</v>
      </c>
      <c r="X53">
        <f t="shared" si="34"/>
        <v>0.60756934605160184</v>
      </c>
      <c r="Y53">
        <f t="shared" si="35"/>
        <v>0.96232921935566318</v>
      </c>
      <c r="Z53">
        <f t="shared" si="36"/>
        <v>0.99027453661202558</v>
      </c>
      <c r="AA53">
        <f t="shared" si="37"/>
        <v>0.80068003731234694</v>
      </c>
      <c r="AB53">
        <f t="shared" si="38"/>
        <v>0.8976063472683351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6.0785648556247636E-2</v>
      </c>
      <c r="AD53">
        <f t="shared" si="43"/>
        <v>1.9620482288332571E-3</v>
      </c>
      <c r="AE53">
        <f t="shared" si="44"/>
        <v>4.074005508723236E-4</v>
      </c>
      <c r="AF53">
        <f t="shared" si="45"/>
        <v>3.4993404543180322E-5</v>
      </c>
      <c r="AG53">
        <f t="shared" si="46"/>
        <v>1.9880627252350229E-5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2.264474133264671E-5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5.5208574636246305E-5</v>
      </c>
      <c r="AJ53">
        <f t="shared" si="47"/>
        <v>1.0585177315279132E-6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5.425433773975923E-7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-4.7409705406739507E-7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1.7839619214137945E-5</v>
      </c>
      <c r="AN53">
        <f t="shared" si="48"/>
        <v>1.5123989711485469E-4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3.6155588575079573E-7</v>
      </c>
      <c r="AP53">
        <f>AM52*T52*p_Stroke*p_Stroke_rec*(1-I52) + AN52*T52*p_Stroke*p_Stroke_rec*(1-I52) + AO52*(p_recur_Stroke*p_Stroke_rec)*(1-I52) + AP52*(p_recur_Stroke*p_Stroke_rec)*(1-I52) + AQ52*(p_recur_Stroke*p_Stroke_rec)*(1-I52)</f>
        <v>2.2979863786778303E-6</v>
      </c>
      <c r="AQ53">
        <f>AO52*(1-p_recur_Stroke-H52*rr_Stroke*rr_HF)*(1-I52) + AP52*(1-p_recur_Stroke-H52*rr_Stroke*rr_HF)*(1-I52) + AQ52*(1-p_recur_Stroke-H52*rr_Stroke*rr_HF)*(1-I52)</f>
        <v>-7.9808873566615725E-7</v>
      </c>
      <c r="AR53">
        <f>AR52*(1-AC52-H52*rr_DM) + AD52*(1-T52-H52)*I52</f>
        <v>1.3226766195094478E-2</v>
      </c>
      <c r="AS53">
        <f>AR52*AC52*p_Other + AD52*T52*p_Other*I52 + AE52*(1-T52*p_Stroke-T52*p_MI-H52*rr_Other)*I52 + AS52*(1-AC52*p_Stroke-AC52*p_MI-H52*rr_Other*rr_DM)</f>
        <v>3.948549416945806E-3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4.1378560419131407E-4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1.2479995677387642E-4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2.8068799885633955E-4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6.4499581508159574E-4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2.0772330811443516E-5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9.0659256651635986E-6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-1.2390886324717109E-5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2.2632033293401517E-4</v>
      </c>
      <c r="BB53">
        <f>AM52*(1-T52*p_Stroke - H52*rr_HF)*I52 + AN52*(1-T52*p_Stroke - H52*rr_HF)*I52 + BA52*(1-AC52*p_Stroke - H52*rr_HF*rr_DM) + BB52*(1-AC52*p_Stroke - H52*rr_HF*rr_DM)</f>
        <v>1.7842604569806761E-3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6.068992166561723E-6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4.5634376583206761E-5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-2.2433015350012467E-5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0.95162887243820726</v>
      </c>
      <c r="BG53">
        <f t="shared" si="49"/>
        <v>0.97499999999999964</v>
      </c>
      <c r="BH53">
        <f>(0.9442 - 0.0007*$B53 - dis_BMI*($C53-21.75))*AD53</f>
        <v>1.6168748941757663E-3</v>
      </c>
      <c r="BI53">
        <f>0.959*(0.9442 - 0.0007*$B53 - dis_BMI*($C53-21.75))*AE53</f>
        <v>3.2196373599274557E-4</v>
      </c>
      <c r="BJ53">
        <f>(0.943*(0.9442 - 0.0007*$B53 - dis_BMI*($C53-21.75)) - 0.19*0.5)*AF53</f>
        <v>2.3869096595930678E-5</v>
      </c>
      <c r="BK53">
        <f>(0.943*(0.9442 - 0.0007*$B53 - dis_BMI*($C53-21.75)))*AG53</f>
        <v>1.5449289612510627E-5</v>
      </c>
      <c r="BL53">
        <f>(0.955*(0.9442 - 0.0007*$B53 - dis_BMI*($C53-21.75)) - 0.15*0.5)*AH53</f>
        <v>1.6122866179135798E-5</v>
      </c>
      <c r="BM53">
        <f>(0.955*(0.9442 - 0.0007*$B53 - dis_BMI*($C53-21.75)))*AI53</f>
        <v>4.344868586691326E-5</v>
      </c>
      <c r="BN53">
        <f>(0.955*0.943*(0.9442 - 0.0007*$B53 - dis_BMI*($C53-21.75)) - 0.19*0.5)*AJ53</f>
        <v>6.8500186352260587E-7</v>
      </c>
      <c r="BO53">
        <f>(0.955*0.943*(0.9442 - 0.0007*$B53 - dis_BMI*($C53-21.75)) - 0.15*0.5)*AK53</f>
        <v>3.6194864653626619E-7</v>
      </c>
      <c r="BP53">
        <f>(0.955*0.943*(0.9442 - 0.0007*$B53 - dis_BMI*($C53-21.75)))*AL53</f>
        <v>-3.51843117561884E-7</v>
      </c>
      <c r="BQ53">
        <f>(0.93*(0.9442 - 0.0007*$B53 - dis_BMI*($C53-21.75)))*AM53</f>
        <v>1.3672101309618378E-5</v>
      </c>
      <c r="BR53">
        <f>(0.93*(0.9442 - 0.0007*$B53 - dis_BMI*($C53-21.75)))*AN53</f>
        <v>1.1590870693987922E-4</v>
      </c>
      <c r="BS53">
        <f>(0.93*0.943*(0.9442 - 0.0007*$B53 - dis_BMI*($C53-21.75)))*AO53</f>
        <v>2.6129843957276081E-7</v>
      </c>
      <c r="BT53">
        <f>(0.93*0.943*(0.9442 - 0.0007*$B53 - dis_BMI*($C53-21.75))-0.19*0.5)*AP53</f>
        <v>1.4424587675271905E-6</v>
      </c>
      <c r="BU53">
        <f>(0.93*0.943*(0.9442 - 0.0007*$B53 - dis_BMI*($C53-21.75)))*AQ53</f>
        <v>-5.7678314608851726E-7</v>
      </c>
      <c r="BV53">
        <f>0.962*(0.9442 - 0.0007*$B53 - dis_BMI*($C53-21.75))*AR53</f>
        <v>1.0485653152838028E-2</v>
      </c>
      <c r="BW53">
        <f>0.962*0.959*(0.9442 - 0.0007*$B53 - dis_BMI*($C53-21.75))*AS53</f>
        <v>3.0019122703098945E-3</v>
      </c>
      <c r="BX53">
        <f>0.962*(0.943*(0.9442 - 0.0007*$B53 - dis_BMI*($C53-21.75)) - 0.19*0.5)*AT53</f>
        <v>2.7151900523364941E-4</v>
      </c>
      <c r="BY53">
        <f>0.962*(0.943*(0.9442 - 0.0007*$B53 - dis_BMI*($C53-21.75)))*AU53</f>
        <v>9.3297055802284829E-5</v>
      </c>
      <c r="BZ53">
        <f>0.962*(0.955*(0.9442 - 0.0007*$B53 - dis_BMI*($C53-21.75)) - 0.15*0.5)*AV53</f>
        <v>1.9225329925562183E-4</v>
      </c>
      <c r="CA53">
        <f>0.962*(0.955*(0.9442 - 0.0007*$B53 - dis_BMI*($C53-21.75)))*AW53</f>
        <v>4.8831726505335247E-4</v>
      </c>
      <c r="CB53">
        <f>0.962*(0.955*0.943*(0.9442 - 0.0007*$B53 - dis_BMI*($C53-21.75)) - 0.19*0.5)*AX53</f>
        <v>1.2931649292069611E-5</v>
      </c>
      <c r="CC53">
        <f>0.962*(0.955*0.943*(0.9442 - 0.0007*$B53 - dis_BMI*($C53-21.75)) - 0.15*0.5)*AY53</f>
        <v>5.8183483085354614E-6</v>
      </c>
      <c r="CD53">
        <f>0.962*(0.955*0.943*(0.9442 - 0.0007*$B53 - dis_BMI*($C53-21.75)))*AZ53</f>
        <v>-8.846250806783414E-6</v>
      </c>
      <c r="CE53">
        <f>0.962*(0.93*(0.9442 - 0.0007*$B53 - dis_BMI*($C53-21.75)))*BA53</f>
        <v>1.6685849920888244E-4</v>
      </c>
      <c r="CF53">
        <f>0.962*(0.93*(0.9442 - 0.0007*$B53 - dis_BMI*($C53-21.75)))*BB53</f>
        <v>1.3154762463890148E-3</v>
      </c>
      <c r="CG53">
        <f>0.962*(0.93*0.943*(0.9442 - 0.0007*$B53 - dis_BMI*($C53-21.75)))*BC53</f>
        <v>4.2194226455024816E-6</v>
      </c>
      <c r="CH53">
        <f>0.962*(0.93*0.943*(0.9442 - 0.0007*$B53 - dis_BMI*($C53-21.75))-0.19*0.5)*BD53</f>
        <v>2.7556442605461049E-5</v>
      </c>
      <c r="CI53">
        <f>0.962*(0.93*0.943*(0.9442 - 0.0007*$B53 - dis_BMI*($C53-21.75)))*BE53</f>
        <v>-1.5596390698321183E-5</v>
      </c>
      <c r="CJ53">
        <f t="shared" si="50"/>
        <v>0</v>
      </c>
      <c r="CK53">
        <f t="shared" si="51"/>
        <v>1.8210501473563196E-2</v>
      </c>
      <c r="CL53">
        <f>CK53/(1+r_)^A53</f>
        <v>4.1539443126415122E-3</v>
      </c>
      <c r="CM53">
        <f t="shared" si="52"/>
        <v>0</v>
      </c>
      <c r="CN53">
        <f>AE53*c_Other</f>
        <v>5.8172724659059085</v>
      </c>
      <c r="CO53">
        <f>AF53*(c_Stroke1+c_Stroke2)</f>
        <v>0.83340292260038251</v>
      </c>
      <c r="CP53">
        <f>AG53*c_Stroke2</f>
        <v>0.12922407714027648</v>
      </c>
      <c r="CQ53">
        <f>AH53*(c_MI1+c_MI2)</f>
        <v>0.6601168545879843</v>
      </c>
      <c r="CR53">
        <f>AI53*c_MI2</f>
        <v>0.17208512714117974</v>
      </c>
      <c r="CS53">
        <f>AJ53*(c_Stroke1+c_Stroke2+c_MI2)</f>
        <v>2.8509058063241288E-2</v>
      </c>
      <c r="CT53">
        <f>AK53*(c_Stroke2+c_MI1+c_MI2)</f>
        <v>1.9342213947601564E-2</v>
      </c>
      <c r="CU53">
        <f>AL53*(c_Stroke2+c_MI2)</f>
        <v>-4.5593913689661383E-3</v>
      </c>
      <c r="CV53">
        <f>AM53*(c_HF1)</f>
        <v>0.48220490735814864</v>
      </c>
      <c r="CW53">
        <f>AN53*(c_HF2)</f>
        <v>2.3600985944773072</v>
      </c>
      <c r="CX53">
        <f>AO53*(c_Stroke2+c_HF1)</f>
        <v>1.212296884922418E-2</v>
      </c>
      <c r="CY53">
        <f>AP53*(c_Stroke1+c_Stroke2+c_HF2)</f>
        <v>9.0588921033858752E-2</v>
      </c>
      <c r="CZ53">
        <f>AQ53*(c_Stroke2+c_HF2)</f>
        <v>-1.7641751501900407E-2</v>
      </c>
      <c r="DA53">
        <f>AR53*c_DM</f>
        <v>151.11580377895442</v>
      </c>
      <c r="DB53">
        <f>AS53*(c_Other+c_DM)</f>
        <v>101.493514213175</v>
      </c>
      <c r="DC53">
        <f>AT53*(c_Stroke1+c_Stroke2+c_DM)</f>
        <v>14.5822184773061</v>
      </c>
      <c r="DD53">
        <f>AU53*(c_Stroke2+c_DM)</f>
        <v>2.2370392251717348</v>
      </c>
      <c r="DE53">
        <f>AV53*(c_MI1+c_MI2+c_DM)</f>
        <v>11.389196241594833</v>
      </c>
      <c r="DF53">
        <f>AW53*(c_MI2+c_DM)</f>
        <v>9.3795291429165655</v>
      </c>
      <c r="DG53">
        <f>AX53*(c_Stroke1+c_Stroke2+c_MI2+c_DM)</f>
        <v>0.79678506526535042</v>
      </c>
      <c r="DH53">
        <f>AY53*(c_Stroke2+c_MI1+c_MI2+c_DM)</f>
        <v>0.42678751661324155</v>
      </c>
      <c r="DI53">
        <f>AZ53*(c_Stroke2+c_MI2+c_DM)</f>
        <v>-0.26072903004469744</v>
      </c>
      <c r="DJ53">
        <f>BA53*(c_HF1+c_DM)</f>
        <v>8.7031484029775541</v>
      </c>
      <c r="DK53">
        <f>BB53*(c_HF2+c_DM)</f>
        <v>48.228560152187676</v>
      </c>
      <c r="DL53">
        <f>BC53*(c_Stroke2+c_HF1+c_DM)</f>
        <v>0.27283154284778227</v>
      </c>
      <c r="DM53">
        <f>BD53*(c_Stroke1+c_Stroke2+c_HF2+c_DM)</f>
        <v>2.320325511749731</v>
      </c>
      <c r="DN53">
        <f>BE53*(c_Stroke2+c_HF2+c_DM)</f>
        <v>-0.75217900468591803</v>
      </c>
      <c r="DO53">
        <f t="shared" si="53"/>
        <v>0</v>
      </c>
      <c r="DP53">
        <f t="shared" si="54"/>
        <v>360.51559820426365</v>
      </c>
      <c r="DQ53">
        <f>DP53/(1+r_)^A53</f>
        <v>82.236160325030852</v>
      </c>
    </row>
    <row r="54" spans="1:121" x14ac:dyDescent="0.3">
      <c r="A54">
        <v>51</v>
      </c>
      <c r="B54">
        <v>96</v>
      </c>
      <c r="C54">
        <f t="shared" si="40"/>
        <v>38</v>
      </c>
      <c r="D54">
        <f t="shared" si="1"/>
        <v>125</v>
      </c>
      <c r="E54">
        <f t="shared" si="42"/>
        <v>5.7</v>
      </c>
      <c r="F54">
        <v>0.23330999999999999</v>
      </c>
      <c r="G54">
        <v>0.27490999999999999</v>
      </c>
      <c r="H54">
        <f t="shared" si="3"/>
        <v>0.24162999999999998</v>
      </c>
      <c r="I54">
        <f t="shared" si="22"/>
        <v>5.6857293942168513E-2</v>
      </c>
      <c r="J54">
        <f t="shared" si="23"/>
        <v>0.48676642353768651</v>
      </c>
      <c r="K54">
        <f t="shared" si="24"/>
        <v>0.60708488363239388</v>
      </c>
      <c r="L54">
        <f t="shared" si="25"/>
        <v>0.27077175042576651</v>
      </c>
      <c r="M54">
        <f t="shared" si="26"/>
        <v>0.35739886097648232</v>
      </c>
      <c r="N54">
        <f t="shared" si="27"/>
        <v>0.86340290216886395</v>
      </c>
      <c r="O54">
        <f t="shared" si="28"/>
        <v>0.93996723066081522</v>
      </c>
      <c r="P54">
        <f t="shared" si="29"/>
        <v>0.62439424680933819</v>
      </c>
      <c r="Q54">
        <f t="shared" si="30"/>
        <v>0.74933057761704647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4.0013219832516503E-2</v>
      </c>
      <c r="U54">
        <f t="shared" si="31"/>
        <v>0.7658165158956004</v>
      </c>
      <c r="V54">
        <f t="shared" si="32"/>
        <v>0.86906101325926388</v>
      </c>
      <c r="W54">
        <f t="shared" si="33"/>
        <v>0.4970223780322961</v>
      </c>
      <c r="X54">
        <f t="shared" si="34"/>
        <v>0.61803684389203239</v>
      </c>
      <c r="Y54">
        <f t="shared" si="35"/>
        <v>0.96620740205007483</v>
      </c>
      <c r="Z54">
        <f t="shared" si="36"/>
        <v>0.99165855689089155</v>
      </c>
      <c r="AA54">
        <f t="shared" si="37"/>
        <v>0.81105216135940261</v>
      </c>
      <c r="AB54">
        <f t="shared" si="38"/>
        <v>0.90505345593912356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6.1689034985394242E-2</v>
      </c>
      <c r="AD54">
        <f t="shared" si="43"/>
        <v>1.3679714847737059E-3</v>
      </c>
      <c r="AE54">
        <f t="shared" si="44"/>
        <v>2.556495609010579E-4</v>
      </c>
      <c r="AF54">
        <f t="shared" si="45"/>
        <v>2.4261603972989016E-5</v>
      </c>
      <c r="AG54">
        <f t="shared" si="46"/>
        <v>9.2115987927212772E-6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1.6120824470001193E-5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3.574887107516878E-5</v>
      </c>
      <c r="AJ54">
        <f t="shared" si="47"/>
        <v>7.2677571284383154E-7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3.4253735856864418E-7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-3.9289075250074989E-7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1.2500494130394E-5</v>
      </c>
      <c r="AN54">
        <f t="shared" si="48"/>
        <v>9.373377285012784E-5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2.2582859883132832E-7</v>
      </c>
      <c r="AP54">
        <f>AM53*T53*p_Stroke*p_Stroke_rec*(1-I53) + AN53*T53*p_Stroke*p_Stroke_rec*(1-I53) + AO53*(p_recur_Stroke*p_Stroke_rec)*(1-I53) + AP53*(p_recur_Stroke*p_Stroke_rec)*(1-I53) + AQ53*(p_recur_Stroke*p_Stroke_rec)*(1-I53)</f>
        <v>1.5173682583712257E-6</v>
      </c>
      <c r="AQ54">
        <f>AO53*(1-p_recur_Stroke-H53*rr_Stroke*rr_HF)*(1-I53) + AP53*(1-p_recur_Stroke-H53*rr_Stroke*rr_HF)*(1-I53) + AQ53*(1-p_recur_Stroke-H53*rr_Stroke*rr_HF)*(1-I53)</f>
        <v>-6.7056889715293045E-7</v>
      </c>
      <c r="AR54">
        <f>AR53*(1-AC53-H53*rr_DM) + AD53*(1-T53-H53)*I53</f>
        <v>9.1356227807041293E-3</v>
      </c>
      <c r="AS54">
        <f>AR53*AC53*p_Other + AD53*T53*p_Other*I53 + AE53*(1-T53*p_Stroke-T53*p_MI-H53*rr_Other)*I53 + AS53*(1-AC53*p_Stroke-AC53*p_MI-H53*rr_Other*rr_DM)</f>
        <v>2.3869024327429185E-3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2.8183554210874058E-4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3.7845434431700982E-5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1.9544777153957226E-4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3.9964645543805264E-4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1.3876373662339647E-5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5.5595659505224258E-6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-9.3401667984211499E-6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1.5474625499001374E-4</v>
      </c>
      <c r="BB54">
        <f>AM53*(1-T53*p_Stroke - H53*rr_HF)*I53 + AN53*(1-T53*p_Stroke - H53*rr_HF)*I53 + BA53*(1-AC53*p_Stroke - H53*rr_HF*rr_DM) + BB53*(1-AC53*p_Stroke - H53*rr_HF*rr_DM)</f>
        <v>1.0559001218738583E-3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3.6861360623042368E-6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2.9183500620174108E-5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-1.6761110643728952E-5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0.95950890164607228</v>
      </c>
      <c r="BG54">
        <f t="shared" si="49"/>
        <v>0.97499999999999953</v>
      </c>
      <c r="BH54">
        <f>(0.9442 - 0.0007*$B54 - dis_BMI*($C54-21.75))*AD54</f>
        <v>1.1263535212755501E-3</v>
      </c>
      <c r="BI54">
        <f>0.959*(0.9442 - 0.0007*$B54 - dis_BMI*($C54-21.75))*AE54</f>
        <v>2.0186514346142529E-4</v>
      </c>
      <c r="BJ54">
        <f>(0.943*(0.9442 - 0.0007*$B54 - dis_BMI*($C54-21.75)) - 0.19*0.5)*AF54</f>
        <v>1.6532891098064065E-5</v>
      </c>
      <c r="BK54">
        <f>(0.943*(0.9442 - 0.0007*$B54 - dis_BMI*($C54-21.75)))*AG54</f>
        <v>7.152277947067339E-6</v>
      </c>
      <c r="BL54">
        <f>(0.955*(0.9442 - 0.0007*$B54 - dis_BMI*($C54-21.75)) - 0.15*0.5)*AH54</f>
        <v>1.1467115239577716E-5</v>
      </c>
      <c r="BM54">
        <f>(0.955*(0.9442 - 0.0007*$B54 - dis_BMI*($C54-21.75)))*AI54</f>
        <v>2.8110164019048821E-5</v>
      </c>
      <c r="BN54">
        <f>(0.955*0.943*(0.9442 - 0.0007*$B54 - dis_BMI*($C54-21.75)) - 0.19*0.5)*AJ54</f>
        <v>4.6986246564454479E-7</v>
      </c>
      <c r="BO54">
        <f>(0.955*0.943*(0.9442 - 0.0007*$B54 - dis_BMI*($C54-21.75)) - 0.15*0.5)*AK54</f>
        <v>2.2830207669181383E-7</v>
      </c>
      <c r="BP54">
        <f>(0.955*0.943*(0.9442 - 0.0007*$B54 - dis_BMI*($C54-21.75)))*AL54</f>
        <v>-2.9132955648546172E-7</v>
      </c>
      <c r="BQ54">
        <f>(0.93*(0.9442 - 0.0007*$B54 - dis_BMI*($C54-21.75)))*AM54</f>
        <v>9.57211274979024E-6</v>
      </c>
      <c r="BR54">
        <f>(0.93*(0.9442 - 0.0007*$B54 - dis_BMI*($C54-21.75)))*AN54</f>
        <v>7.1775582055040826E-5</v>
      </c>
      <c r="BS54">
        <f>(0.93*0.943*(0.9442 - 0.0007*$B54 - dis_BMI*($C54-21.75)))*AO54</f>
        <v>1.6306894357130169E-7</v>
      </c>
      <c r="BT54">
        <f>(0.93*0.943*(0.9442 - 0.0007*$B54 - dis_BMI*($C54-21.75))-0.19*0.5)*AP54</f>
        <v>9.5152895152266603E-7</v>
      </c>
      <c r="BU54">
        <f>(0.93*0.943*(0.9442 - 0.0007*$B54 - dis_BMI*($C54-21.75)))*AQ54</f>
        <v>-4.8421219551636202E-7</v>
      </c>
      <c r="BV54">
        <f>0.962*(0.9442 - 0.0007*$B54 - dis_BMI*($C54-21.75))*AR54</f>
        <v>7.2362057575938964E-3</v>
      </c>
      <c r="BW54">
        <f>0.962*0.959*(0.9442 - 0.0007*$B54 - dis_BMI*($C54-21.75))*AS54</f>
        <v>1.8131178051071757E-3</v>
      </c>
      <c r="BX54">
        <f>0.962*(0.943*(0.9442 - 0.0007*$B54 - dis_BMI*($C54-21.75)) - 0.19*0.5)*AT54</f>
        <v>1.8475667107082882E-4</v>
      </c>
      <c r="BY54">
        <f>0.962*(0.943*(0.9442 - 0.0007*$B54 - dis_BMI*($C54-21.75)))*AU54</f>
        <v>2.8268185733147508E-5</v>
      </c>
      <c r="BZ54">
        <f>0.962*(0.955*(0.9442 - 0.0007*$B54 - dis_BMI*($C54-21.75)) - 0.15*0.5)*AV54</f>
        <v>1.3374351188003364E-4</v>
      </c>
      <c r="CA54">
        <f>0.962*(0.955*(0.9442 - 0.0007*$B54 - dis_BMI*($C54-21.75)))*AW54</f>
        <v>3.0230970224528428E-4</v>
      </c>
      <c r="CB54">
        <f>0.962*(0.955*0.943*(0.9442 - 0.0007*$B54 - dis_BMI*($C54-21.75)) - 0.19*0.5)*AX54</f>
        <v>8.6302108352077014E-6</v>
      </c>
      <c r="CC54">
        <f>0.962*(0.955*0.943*(0.9442 - 0.0007*$B54 - dis_BMI*($C54-21.75)) - 0.15*0.5)*AY54</f>
        <v>3.5646580563804942E-6</v>
      </c>
      <c r="CD54">
        <f>0.962*(0.955*0.943*(0.9442 - 0.0007*$B54 - dis_BMI*($C54-21.75)))*AZ54</f>
        <v>-6.6625801230729401E-6</v>
      </c>
      <c r="CE54">
        <f>0.962*(0.93*(0.9442 - 0.0007*$B54 - dis_BMI*($C54-21.75)))*BA54</f>
        <v>1.1399238611643146E-4</v>
      </c>
      <c r="CF54">
        <f>0.962*(0.93*(0.9442 - 0.0007*$B54 - dis_BMI*($C54-21.75)))*BB54</f>
        <v>7.7781898114949151E-4</v>
      </c>
      <c r="CG54">
        <f>0.962*(0.93*0.943*(0.9442 - 0.0007*$B54 - dis_BMI*($C54-21.75)))*BC54</f>
        <v>2.5605823736142755E-6</v>
      </c>
      <c r="CH54">
        <f>0.962*(0.93*0.943*(0.9442 - 0.0007*$B54 - dis_BMI*($C54-21.75))-0.19*0.5)*BD54</f>
        <v>1.7605301587875009E-5</v>
      </c>
      <c r="CI54">
        <f>0.962*(0.93*0.943*(0.9442 - 0.0007*$B54 - dis_BMI*($C54-21.75)))*BE54</f>
        <v>-1.1643141693934765E-5</v>
      </c>
      <c r="CJ54">
        <f t="shared" si="50"/>
        <v>0</v>
      </c>
      <c r="CK54">
        <f t="shared" si="51"/>
        <v>1.2078134060463354E-2</v>
      </c>
      <c r="CL54">
        <f>CK54/(1+r_)^A54</f>
        <v>2.6748620289722908E-3</v>
      </c>
      <c r="CM54">
        <f t="shared" si="52"/>
        <v>0</v>
      </c>
      <c r="CN54">
        <f>AE54*c_Other</f>
        <v>3.6504200801062057</v>
      </c>
      <c r="CO54">
        <f>AF54*(c_Stroke1+c_Stroke2)</f>
        <v>0.57781436022070642</v>
      </c>
      <c r="CP54">
        <f>AG54*c_Stroke2</f>
        <v>5.9875392152688299E-2</v>
      </c>
      <c r="CQ54">
        <f>AH54*(c_MI1+c_MI2)</f>
        <v>0.46993815412500478</v>
      </c>
      <c r="CR54">
        <f>AI54*c_MI2</f>
        <v>0.11142923114130109</v>
      </c>
      <c r="CS54">
        <f>AJ54*(c_Stroke1+c_Stroke2+c_MI2)</f>
        <v>1.9574250274022913E-2</v>
      </c>
      <c r="CT54">
        <f>AK54*(c_Stroke2+c_MI1+c_MI2)</f>
        <v>1.2211799370330734E-2</v>
      </c>
      <c r="CU54">
        <f>AL54*(c_Stroke2+c_MI2)</f>
        <v>-3.7784303667997119E-3</v>
      </c>
      <c r="CV54">
        <f>AM54*(c_HF1)</f>
        <v>0.33788835634454983</v>
      </c>
      <c r="CW54">
        <f>AN54*(c_HF2)</f>
        <v>1.4627155253262449</v>
      </c>
      <c r="CX54">
        <f>AO54*(c_Stroke2+c_HF1)</f>
        <v>7.5720329188144388E-3</v>
      </c>
      <c r="CY54">
        <f>AP54*(c_Stroke1+c_Stroke2+c_HF2)</f>
        <v>5.9816174113252088E-2</v>
      </c>
      <c r="CZ54">
        <f>AQ54*(c_Stroke2+c_HF2)</f>
        <v>-1.4822925471565527E-2</v>
      </c>
      <c r="DA54">
        <f>AR54*c_DM</f>
        <v>104.37449026954468</v>
      </c>
      <c r="DB54">
        <f>AS54*(c_Other+c_DM)</f>
        <v>61.352940131223981</v>
      </c>
      <c r="DC54">
        <f>AT54*(c_Stroke1+c_Stroke2+c_DM)</f>
        <v>9.9321663394541257</v>
      </c>
      <c r="DD54">
        <f>AU54*(c_Stroke2+c_DM)</f>
        <v>0.67837941218824005</v>
      </c>
      <c r="DE54">
        <f>AV54*(c_MI1+c_MI2+c_DM)</f>
        <v>7.9304887779896838</v>
      </c>
      <c r="DF54">
        <f>AW54*(c_MI2+c_DM)</f>
        <v>5.8116587549801615</v>
      </c>
      <c r="DG54">
        <f>AX54*(c_Stroke1+c_Stroke2+c_MI2+c_DM)</f>
        <v>0.53226994094002422</v>
      </c>
      <c r="DH54">
        <f>AY54*(c_Stroke2+c_MI1+c_MI2+c_DM)</f>
        <v>0.26172212668679373</v>
      </c>
      <c r="DI54">
        <f>AZ54*(c_Stroke2+c_MI2+c_DM)</f>
        <v>-0.19653578977237784</v>
      </c>
      <c r="DJ54">
        <f>BA54*(c_HF1+c_DM)</f>
        <v>5.9507672356409778</v>
      </c>
      <c r="DK54">
        <f>BB54*(c_HF2+c_DM)</f>
        <v>28.540980294250389</v>
      </c>
      <c r="DL54">
        <f>BC54*(c_Stroke2+c_HF1+c_DM)</f>
        <v>0.16571024668088696</v>
      </c>
      <c r="DM54">
        <f>BD54*(c_Stroke1+c_Stroke2+c_HF2+c_DM)</f>
        <v>1.4838642725333726</v>
      </c>
      <c r="DN54">
        <f>BE54*(c_Stroke2+c_HF2+c_DM)</f>
        <v>-0.56200003988423175</v>
      </c>
      <c r="DO54">
        <f t="shared" si="53"/>
        <v>0</v>
      </c>
      <c r="DP54">
        <f t="shared" si="54"/>
        <v>233.0075559727114</v>
      </c>
      <c r="DQ54">
        <f>DP54/(1+r_)^A54</f>
        <v>51.602595302798875</v>
      </c>
    </row>
    <row r="55" spans="1:121" x14ac:dyDescent="0.3">
      <c r="A55">
        <v>52</v>
      </c>
      <c r="B55">
        <v>97</v>
      </c>
      <c r="C55">
        <f t="shared" si="40"/>
        <v>38</v>
      </c>
      <c r="D55">
        <f t="shared" si="1"/>
        <v>125</v>
      </c>
      <c r="E55">
        <f t="shared" si="42"/>
        <v>5.7</v>
      </c>
      <c r="F55">
        <v>0.25402999999999998</v>
      </c>
      <c r="G55">
        <v>0.29626000000000002</v>
      </c>
      <c r="H55">
        <f t="shared" si="3"/>
        <v>0.26247599999999999</v>
      </c>
      <c r="I55">
        <f t="shared" si="22"/>
        <v>5.6857293942168513E-2</v>
      </c>
      <c r="J55">
        <f t="shared" si="23"/>
        <v>0.49646425513981896</v>
      </c>
      <c r="K55">
        <f t="shared" si="24"/>
        <v>0.61744312679274271</v>
      </c>
      <c r="L55">
        <f t="shared" si="25"/>
        <v>0.27732756297775207</v>
      </c>
      <c r="M55">
        <f t="shared" si="26"/>
        <v>0.36547494879873155</v>
      </c>
      <c r="N55">
        <f t="shared" si="27"/>
        <v>0.87203339857683781</v>
      </c>
      <c r="O55">
        <f t="shared" si="28"/>
        <v>0.94525588513351766</v>
      </c>
      <c r="P55">
        <f t="shared" si="29"/>
        <v>0.63626114788464549</v>
      </c>
      <c r="Q55">
        <f t="shared" si="30"/>
        <v>0.76044750402560646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4.080081042393259E-2</v>
      </c>
      <c r="U55">
        <f t="shared" si="31"/>
        <v>0.77533983088768532</v>
      </c>
      <c r="V55">
        <f t="shared" si="32"/>
        <v>0.87645708000328126</v>
      </c>
      <c r="W55">
        <f t="shared" si="33"/>
        <v>0.50681121062551937</v>
      </c>
      <c r="X55">
        <f t="shared" si="34"/>
        <v>0.62840691377215119</v>
      </c>
      <c r="Y55">
        <f t="shared" si="35"/>
        <v>0.96975953173477825</v>
      </c>
      <c r="Z55">
        <f t="shared" si="36"/>
        <v>0.99287001856105794</v>
      </c>
      <c r="AA55">
        <f t="shared" si="37"/>
        <v>0.82109743801050383</v>
      </c>
      <c r="AB55">
        <f t="shared" si="38"/>
        <v>0.91210675905999694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6.2579606748101813E-2</v>
      </c>
      <c r="AD55">
        <f t="shared" si="43"/>
        <v>9.2681840650972078E-4</v>
      </c>
      <c r="AE55">
        <f t="shared" si="44"/>
        <v>1.5447142142052732E-4</v>
      </c>
      <c r="AF55">
        <f t="shared" si="45"/>
        <v>1.645058924335109E-5</v>
      </c>
      <c r="AG55">
        <f t="shared" si="46"/>
        <v>3.6272420084782832E-6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1.1152434147677614E-5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2.2255001530134373E-5</v>
      </c>
      <c r="AJ55">
        <f t="shared" si="47"/>
        <v>4.84631260457591E-7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2.1201796029201771E-7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-2.9924090723714782E-7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8.4977713750946739E-6</v>
      </c>
      <c r="AN55">
        <f t="shared" si="48"/>
        <v>5.5209976629710689E-5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1.3818550884950417E-7</v>
      </c>
      <c r="AP55">
        <f>AM54*T54*p_Stroke*p_Stroke_rec*(1-I54) + AN54*T54*p_Stroke*p_Stroke_rec*(1-I54) + AO54*(p_recur_Stroke*p_Stroke_rec)*(1-I54) + AP54*(p_recur_Stroke*p_Stroke_rec)*(1-I54) + AQ54*(p_recur_Stroke*p_Stroke_rec)*(1-I54)</f>
        <v>9.6000810973046936E-7</v>
      </c>
      <c r="AQ55">
        <f>AO54*(1-p_recur_Stroke-H54*rr_Stroke*rr_HF)*(1-I54) + AP54*(1-p_recur_Stroke-H54*rr_Stroke*rr_HF)*(1-I54) + AQ54*(1-p_recur_Stroke-H54*rr_Stroke*rr_HF)*(1-I54)</f>
        <v>-5.0224897654167061E-7</v>
      </c>
      <c r="AR55">
        <f>AR54*(1-AC54-H54*rr_DM) + AD54*(1-T54-H54)*I54</f>
        <v>6.0893715996483888E-3</v>
      </c>
      <c r="AS55">
        <f>AR54*AC54*p_Other + AD54*T54*p_Other*I54 + AE54*(1-T54*p_Stroke-T54*p_MI-H54*rr_Other)*I54 + AS54*(1-AC54*p_Stroke-AC54*p_MI-H54*rr_Other*rr_DM)</f>
        <v>1.3797237196728524E-3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1.866926308149069E-4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-8.4228045863747796E-7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1.3138231298915134E-4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2.3501717945670938E-4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8.9117921464594604E-6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3.3292937015565794E-6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-6.5631348092548471E-6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1.0184724462407579E-4</v>
      </c>
      <c r="BB55">
        <f>AM54*(1-T54*p_Stroke - H54*rr_HF)*I54 + AN54*(1-T54*p_Stroke - H54*rr_HF)*I54 + BA54*(1-AC54*p_Stroke - H54*rr_HF*rr_DM) + BB54*(1-AC54*p_Stroke - H54*rr_HF*rr_DM)</f>
        <v>5.8453535991364279E-4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2.1792212757073949E-6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1.7639306475482269E-5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-1.1353603352917049E-5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0.96507865316208119</v>
      </c>
      <c r="BG55">
        <f t="shared" si="49"/>
        <v>0.97499999999999953</v>
      </c>
      <c r="BH55">
        <f>(0.9442 - 0.0007*$B55 - dis_BMI*($C55-21.75))*AD55</f>
        <v>7.6247033257538456E-4</v>
      </c>
      <c r="BI55">
        <f>0.959*(0.9442 - 0.0007*$B55 - dis_BMI*($C55-21.75))*AE55</f>
        <v>1.2186950577582989E-4</v>
      </c>
      <c r="BJ55">
        <f>(0.943*(0.9442 - 0.0007*$B55 - dis_BMI*($C55-21.75)) - 0.19*0.5)*AF55</f>
        <v>1.1199273682826396E-5</v>
      </c>
      <c r="BK55">
        <f>(0.943*(0.9442 - 0.0007*$B55 - dis_BMI*($C55-21.75)))*AG55</f>
        <v>2.8139509641233539E-6</v>
      </c>
      <c r="BL55">
        <f>(0.955*(0.9442 - 0.0007*$B55 - dis_BMI*($C55-21.75)) - 0.15*0.5)*AH55</f>
        <v>7.9255289070550306E-6</v>
      </c>
      <c r="BM55">
        <f>(0.955*(0.9442 - 0.0007*$B55 - dis_BMI*($C55-21.75)))*AI55</f>
        <v>1.7484744881532148E-5</v>
      </c>
      <c r="BN55">
        <f>(0.955*0.943*(0.9442 - 0.0007*$B55 - dis_BMI*($C55-21.75)) - 0.19*0.5)*AJ55</f>
        <v>3.1300991235632396E-7</v>
      </c>
      <c r="BO55">
        <f>(0.955*0.943*(0.9442 - 0.0007*$B55 - dis_BMI*($C55-21.75)) - 0.15*0.5)*AK55</f>
        <v>1.4117688927265881E-7</v>
      </c>
      <c r="BP55">
        <f>(0.955*0.943*(0.9442 - 0.0007*$B55 - dis_BMI*($C55-21.75)))*AL55</f>
        <v>-2.2169930260273768E-7</v>
      </c>
      <c r="BQ55">
        <f>(0.93*(0.9442 - 0.0007*$B55 - dis_BMI*($C55-21.75)))*AM55</f>
        <v>6.5015407813855905E-6</v>
      </c>
      <c r="BR55">
        <f>(0.93*(0.9442 - 0.0007*$B55 - dis_BMI*($C55-21.75)))*AN55</f>
        <v>4.2240476797177941E-5</v>
      </c>
      <c r="BS55">
        <f>(0.93*0.943*(0.9442 - 0.0007*$B55 - dis_BMI*($C55-21.75)))*AO55</f>
        <v>9.9697769765520736E-8</v>
      </c>
      <c r="BT55">
        <f>(0.93*0.943*(0.9442 - 0.0007*$B55 - dis_BMI*($C55-21.75))-0.19*0.5)*AP55</f>
        <v>6.0142371888568352E-7</v>
      </c>
      <c r="BU55">
        <f>(0.93*0.943*(0.9442 - 0.0007*$B55 - dis_BMI*($C55-21.75)))*AQ55</f>
        <v>-3.6236146065615166E-7</v>
      </c>
      <c r="BV55">
        <f>0.962*(0.9442 - 0.0007*$B55 - dis_BMI*($C55-21.75))*AR55</f>
        <v>4.81920997707259E-3</v>
      </c>
      <c r="BW55">
        <f>0.962*0.959*(0.9442 - 0.0007*$B55 - dis_BMI*($C55-21.75))*AS55</f>
        <v>1.0471625684472621E-3</v>
      </c>
      <c r="BX55">
        <f>0.962*(0.943*(0.9442 - 0.0007*$B55 - dis_BMI*($C55-21.75)) - 0.19*0.5)*AT55</f>
        <v>1.2226739154207265E-4</v>
      </c>
      <c r="BY55">
        <f>0.962*(0.943*(0.9442 - 0.0007*$B55 - dis_BMI*($C55-21.75)))*AU55</f>
        <v>-6.2859625544346301E-7</v>
      </c>
      <c r="BZ55">
        <f>0.962*(0.955*(0.9442 - 0.0007*$B55 - dis_BMI*($C55-21.75)) - 0.15*0.5)*AV55</f>
        <v>8.9819485330918346E-5</v>
      </c>
      <c r="CA55">
        <f>0.962*(0.955*(0.9442 - 0.0007*$B55 - dis_BMI*($C55-21.75)))*AW55</f>
        <v>1.7762592530282321E-4</v>
      </c>
      <c r="CB55">
        <f>0.962*(0.955*0.943*(0.9442 - 0.0007*$B55 - dis_BMI*($C55-21.75)) - 0.19*0.5)*AX55</f>
        <v>5.5371563600265056E-6</v>
      </c>
      <c r="CC55">
        <f>0.962*(0.955*0.943*(0.9442 - 0.0007*$B55 - dis_BMI*($C55-21.75)) - 0.15*0.5)*AY55</f>
        <v>2.1326428815942437E-6</v>
      </c>
      <c r="CD55">
        <f>0.962*(0.955*0.943*(0.9442 - 0.0007*$B55 - dis_BMI*($C55-21.75)))*AZ55</f>
        <v>-4.6776719514704206E-6</v>
      </c>
      <c r="CE55">
        <f>0.962*(0.93*(0.9442 - 0.0007*$B55 - dis_BMI*($C55-21.75)))*BA55</f>
        <v>7.4961040222274665E-5</v>
      </c>
      <c r="CF55">
        <f>0.962*(0.93*(0.9442 - 0.0007*$B55 - dis_BMI*($C55-21.75)))*BB55</f>
        <v>4.3022645126592195E-4</v>
      </c>
      <c r="CG55">
        <f>0.962*(0.93*0.943*(0.9442 - 0.0007*$B55 - dis_BMI*($C55-21.75)))*BC55</f>
        <v>1.5125137918963011E-6</v>
      </c>
      <c r="CH55">
        <f>0.962*(0.93*0.943*(0.9442 - 0.0007*$B55 - dis_BMI*($C55-21.75))-0.19*0.5)*BD55</f>
        <v>1.0630708947396611E-5</v>
      </c>
      <c r="CI55">
        <f>0.962*(0.93*0.943*(0.9442 - 0.0007*$B55 - dis_BMI*($C55-21.75)))*BE55</f>
        <v>-7.8801000386859676E-6</v>
      </c>
      <c r="CJ55">
        <f t="shared" si="50"/>
        <v>0</v>
      </c>
      <c r="CK55">
        <f t="shared" si="51"/>
        <v>7.7409760948115129E-3</v>
      </c>
      <c r="CL55">
        <f>CK55/(1+r_)^A55</f>
        <v>1.664408946846779E-3</v>
      </c>
      <c r="CM55">
        <f t="shared" si="52"/>
        <v>0</v>
      </c>
      <c r="CN55">
        <f>AE55*c_Other</f>
        <v>2.2056974264637095</v>
      </c>
      <c r="CO55">
        <f>AF55*(c_Stroke1+c_Stroke2)</f>
        <v>0.39178723341964955</v>
      </c>
      <c r="CP55">
        <f>AG55*c_Stroke2</f>
        <v>2.3577073055108842E-2</v>
      </c>
      <c r="CQ55">
        <f>AH55*(c_MI1+c_MI2)</f>
        <v>0.32510460783895012</v>
      </c>
      <c r="CR55">
        <f>AI55*c_MI2</f>
        <v>6.9368839769428842E-2</v>
      </c>
      <c r="CS55">
        <f>AJ55*(c_Stroke1+c_Stroke2+c_MI2)</f>
        <v>1.3052573737904298E-2</v>
      </c>
      <c r="CT55">
        <f>AK55*(c_Stroke2+c_MI1+c_MI2)</f>
        <v>7.558652302370723E-3</v>
      </c>
      <c r="CU55">
        <f>AL55*(c_Stroke2+c_MI2)</f>
        <v>-2.8777998048996507E-3</v>
      </c>
      <c r="CV55">
        <f>AM55*(c_HF1)</f>
        <v>0.22969476026880903</v>
      </c>
      <c r="CW55">
        <f>AN55*(c_HF2)</f>
        <v>0.86155168530663528</v>
      </c>
      <c r="CX55">
        <f>AO55*(c_Stroke2+c_HF1)</f>
        <v>4.6333601117238745E-3</v>
      </c>
      <c r="CY55">
        <f>AP55*(c_Stroke1+c_Stroke2+c_HF2)</f>
        <v>3.7844479693684832E-2</v>
      </c>
      <c r="CZ55">
        <f>AQ55*(c_Stroke2+c_HF2)</f>
        <v>-1.1102213626453628E-2</v>
      </c>
      <c r="DA55">
        <f>AR55*c_DM</f>
        <v>69.571070525982847</v>
      </c>
      <c r="DB55">
        <f>AS55*(c_Other+c_DM)</f>
        <v>35.464418490470997</v>
      </c>
      <c r="DC55">
        <f>AT55*(c_Stroke1+c_Stroke2+c_DM)</f>
        <v>6.5792350025481339</v>
      </c>
      <c r="DD55">
        <f>AU55*(c_Stroke2+c_DM)</f>
        <v>-1.5097877221076793E-2</v>
      </c>
      <c r="DE55">
        <f>AV55*(c_MI1+c_MI2+c_DM)</f>
        <v>5.330968731847805</v>
      </c>
      <c r="DF55">
        <f>AW55*(c_MI2+c_DM)</f>
        <v>3.4176198236594679</v>
      </c>
      <c r="DG55">
        <f>AX55*(c_Stroke1+c_Stroke2+c_MI2+c_DM)</f>
        <v>0.34183852315389196</v>
      </c>
      <c r="DH55">
        <f>AY55*(c_Stroke2+c_MI1+c_MI2+c_DM)</f>
        <v>0.15672983029447754</v>
      </c>
      <c r="DI55">
        <f>AZ55*(c_Stroke2+c_MI2+c_DM)</f>
        <v>-0.13810148265634048</v>
      </c>
      <c r="DJ55">
        <f>BA55*(c_HF1+c_DM)</f>
        <v>3.9165357920188342</v>
      </c>
      <c r="DK55">
        <f>BB55*(c_HF2+c_DM)</f>
        <v>15.799990778465764</v>
      </c>
      <c r="DL55">
        <f>BC55*(c_Stroke2+c_HF1+c_DM)</f>
        <v>9.7966892449425941E-2</v>
      </c>
      <c r="DM55">
        <f>BD55*(c_Stroke1+c_Stroke2+c_HF2+c_DM)</f>
        <v>0.89688817705237145</v>
      </c>
      <c r="DN55">
        <f>BE55*(c_Stroke2+c_HF2+c_DM)</f>
        <v>-0.38068632042330863</v>
      </c>
      <c r="DO55">
        <f t="shared" si="53"/>
        <v>0</v>
      </c>
      <c r="DP55">
        <f t="shared" si="54"/>
        <v>145.19526756617992</v>
      </c>
      <c r="DQ55">
        <f>DP55/(1+r_)^A55</f>
        <v>31.218841063072183</v>
      </c>
    </row>
    <row r="56" spans="1:121" x14ac:dyDescent="0.3">
      <c r="A56">
        <v>53</v>
      </c>
      <c r="B56">
        <v>98</v>
      </c>
      <c r="C56">
        <f t="shared" si="40"/>
        <v>38</v>
      </c>
      <c r="D56">
        <f t="shared" si="1"/>
        <v>125</v>
      </c>
      <c r="E56">
        <f t="shared" si="42"/>
        <v>5.7</v>
      </c>
      <c r="F56">
        <v>0.27543000000000001</v>
      </c>
      <c r="G56">
        <v>0.31792999999999999</v>
      </c>
      <c r="H56">
        <f t="shared" si="3"/>
        <v>0.28393000000000002</v>
      </c>
      <c r="I56">
        <f t="shared" si="22"/>
        <v>5.6857293942168513E-2</v>
      </c>
      <c r="J56">
        <f t="shared" si="23"/>
        <v>0.50614751682247694</v>
      </c>
      <c r="K56">
        <f t="shared" si="24"/>
        <v>0.62770639525755079</v>
      </c>
      <c r="L56">
        <f t="shared" si="25"/>
        <v>0.28394020761224059</v>
      </c>
      <c r="M56">
        <f t="shared" si="26"/>
        <v>0.37359137711375301</v>
      </c>
      <c r="N56">
        <f t="shared" si="27"/>
        <v>0.88029078686308548</v>
      </c>
      <c r="O56">
        <f t="shared" si="28"/>
        <v>0.95017991345652397</v>
      </c>
      <c r="P56">
        <f t="shared" si="29"/>
        <v>0.64800207874504534</v>
      </c>
      <c r="Q56">
        <f t="shared" si="30"/>
        <v>0.77129999033805663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4.1586786710511657E-2</v>
      </c>
      <c r="U56">
        <f t="shared" si="31"/>
        <v>0.78463598710779603</v>
      </c>
      <c r="V56">
        <f t="shared" si="32"/>
        <v>0.88355664278614932</v>
      </c>
      <c r="W56">
        <f t="shared" si="33"/>
        <v>0.5165796456020364</v>
      </c>
      <c r="X56">
        <f t="shared" si="34"/>
        <v>0.63867352310273184</v>
      </c>
      <c r="Y56">
        <f t="shared" si="35"/>
        <v>0.9730043846931512</v>
      </c>
      <c r="Z56">
        <f t="shared" si="36"/>
        <v>0.99392656045046712</v>
      </c>
      <c r="AA56">
        <f t="shared" si="37"/>
        <v>0.83081233363765561</v>
      </c>
      <c r="AB56">
        <f t="shared" si="38"/>
        <v>0.91877428901895553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6.3457086069901483E-2</v>
      </c>
      <c r="AD56">
        <f t="shared" si="43"/>
        <v>6.0902108181112207E-4</v>
      </c>
      <c r="AE56">
        <f t="shared" si="44"/>
        <v>8.9973843374512345E-5</v>
      </c>
      <c r="AF56">
        <f t="shared" si="45"/>
        <v>1.089504857845841E-5</v>
      </c>
      <c r="AG56">
        <f t="shared" si="46"/>
        <v>9.3685142826283736E-7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7.4906605435509253E-6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1.3290183301790128E-5</v>
      </c>
      <c r="AJ56">
        <f t="shared" si="47"/>
        <v>3.1340193843692609E-7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1.2893226440844202E-7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-2.1444867030314651E-7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5.5996215112180131E-6</v>
      </c>
      <c r="AN56">
        <f t="shared" si="48"/>
        <v>3.0818422275149928E-5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8.2981717817561575E-8</v>
      </c>
      <c r="AP56">
        <f>AM55*T55*p_Stroke*p_Stroke_rec*(1-I55) + AN55*T55*p_Stroke*p_Stroke_rec*(1-I55) + AO55*(p_recur_Stroke*p_Stroke_rec)*(1-I55) + AP55*(p_recur_Stroke*p_Stroke_rec)*(1-I55) + AQ55*(p_recur_Stroke*p_Stroke_rec)*(1-I55)</f>
        <v>5.8079674767897533E-7</v>
      </c>
      <c r="AQ56">
        <f>AO55*(1-p_recur_Stroke-H55*rr_Stroke*rr_HF)*(1-I55) + AP55*(1-p_recur_Stroke-H55*rr_Stroke*rr_HF)*(1-I55) + AQ55*(1-p_recur_Stroke-H55*rr_Stroke*rr_HF)*(1-I55)</f>
        <v>-3.4579151073896457E-7</v>
      </c>
      <c r="AR56">
        <f>AR55*(1-AC55-H55*rr_DM) + AD55*(1-T55-H55)*I55</f>
        <v>3.9069549291417651E-3</v>
      </c>
      <c r="AS56">
        <f>AR55*AC55*p_Other + AD55*T55*p_Other*I55 + AE55*(1-T55*p_Stroke-T55*p_MI-H55*rr_Other)*I55 + AS55*(1-AC55*p_Stroke-AC55*p_MI-H55*rr_Other*rr_DM)</f>
        <v>7.6459696197120179E-4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1.2007928686696679E-4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-1.4542043854563121E-5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8.5199233503469417E-5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1.3072198717601534E-4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5.4975444185730765E-6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1.9503632343520602E-6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-4.3670995945587488E-6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6.448445973959828E-5</v>
      </c>
      <c r="BB56">
        <f>AM55*(1-T55*p_Stroke - H55*rr_HF)*I55 + AN55*(1-T55*p_Stroke - H55*rr_HF)*I55 + BA55*(1-AC55*p_Stroke - H55*rr_HF*rr_DM) + BB55*(1-AC55*p_Stroke - H55*rr_HF*rr_DM)</f>
        <v>3.0128846938741769E-4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1.2577267752536168E-6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1.0058512860436181E-5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-7.1271830534618722E-6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0.96886537526611571</v>
      </c>
      <c r="BG56">
        <f t="shared" si="49"/>
        <v>0.97499999999999953</v>
      </c>
      <c r="BH56">
        <f>(0.9442 - 0.0007*$B56 - dis_BMI*($C56-21.75))*AD56</f>
        <v>5.0060010372169705E-4</v>
      </c>
      <c r="BI56">
        <f>0.959*(0.9442 - 0.0007*$B56 - dis_BMI*($C56-21.75))*AE56</f>
        <v>7.0924043661546425E-5</v>
      </c>
      <c r="BJ56">
        <f>(0.943*(0.9442 - 0.0007*$B56 - dis_BMI*($C56-21.75)) - 0.19*0.5)*AF56</f>
        <v>7.4099668596739362E-6</v>
      </c>
      <c r="BK56">
        <f>(0.943*(0.9442 - 0.0007*$B56 - dis_BMI*($C56-21.75)))*AG56</f>
        <v>7.2617455093980395E-7</v>
      </c>
      <c r="BL56">
        <f>(0.955*(0.9442 - 0.0007*$B56 - dis_BMI*($C56-21.75)) - 0.15*0.5)*AH56</f>
        <v>5.3182650530061153E-6</v>
      </c>
      <c r="BM56">
        <f>(0.955*(0.9442 - 0.0007*$B56 - dis_BMI*($C56-21.75)))*AI56</f>
        <v>1.0432609490611937E-5</v>
      </c>
      <c r="BN56">
        <f>(0.955*0.943*(0.9442 - 0.0007*$B56 - dis_BMI*($C56-21.75)) - 0.19*0.5)*AJ56</f>
        <v>2.02220067195981E-7</v>
      </c>
      <c r="BO56">
        <f>(0.955*0.943*(0.9442 - 0.0007*$B56 - dis_BMI*($C56-21.75)) - 0.15*0.5)*AK56</f>
        <v>8.5771146593174044E-8</v>
      </c>
      <c r="BP56">
        <f>(0.955*0.943*(0.9442 - 0.0007*$B56 - dis_BMI*($C56-21.75)))*AL56</f>
        <v>-1.5874389456204738E-7</v>
      </c>
      <c r="BQ56">
        <f>(0.93*(0.9442 - 0.0007*$B56 - dis_BMI*($C56-21.75)))*AM56</f>
        <v>4.2805564692655869E-6</v>
      </c>
      <c r="BR56">
        <f>(0.93*(0.9442 - 0.0007*$B56 - dis_BMI*($C56-21.75)))*AN56</f>
        <v>2.3558734564143216E-5</v>
      </c>
      <c r="BS56">
        <f>(0.93*0.943*(0.9442 - 0.0007*$B56 - dis_BMI*($C56-21.75)))*AO56</f>
        <v>5.981852102123506E-8</v>
      </c>
      <c r="BT56">
        <f>(0.93*0.943*(0.9442 - 0.0007*$B56 - dis_BMI*($C56-21.75))-0.19*0.5)*AP56</f>
        <v>3.6349969161902505E-7</v>
      </c>
      <c r="BU56">
        <f>(0.93*0.943*(0.9442 - 0.0007*$B56 - dis_BMI*($C56-21.75)))*AQ56</f>
        <v>-2.492686015440118E-7</v>
      </c>
      <c r="BV56">
        <f>0.962*(0.9442 - 0.0007*$B56 - dis_BMI*($C56-21.75))*AR56</f>
        <v>3.0893853453218129E-3</v>
      </c>
      <c r="BW56">
        <f>0.962*0.959*(0.9442 - 0.0007*$B56 - dis_BMI*($C56-21.75))*AS56</f>
        <v>5.7980887157661027E-4</v>
      </c>
      <c r="BX56">
        <f>0.962*(0.943*(0.9442 - 0.0007*$B56 - dis_BMI*($C56-21.75)) - 0.19*0.5)*AT56</f>
        <v>7.8565208376735277E-5</v>
      </c>
      <c r="BY56">
        <f>0.962*(0.943*(0.9442 - 0.0007*$B56 - dis_BMI*($C56-21.75)))*AU56</f>
        <v>-1.0843533453719111E-5</v>
      </c>
      <c r="BZ56">
        <f>0.962*(0.955*(0.9442 - 0.0007*$B56 - dis_BMI*($C56-21.75)) - 0.15*0.5)*AV56</f>
        <v>5.8191643249470689E-5</v>
      </c>
      <c r="CA56">
        <f>0.962*(0.955*(0.9442 - 0.0007*$B56 - dis_BMI*($C56-21.75)))*AW56</f>
        <v>9.8715578211307168E-5</v>
      </c>
      <c r="CB56">
        <f>0.962*(0.955*0.943*(0.9442 - 0.0007*$B56 - dis_BMI*($C56-21.75)) - 0.19*0.5)*AX56</f>
        <v>3.4124507417045809E-6</v>
      </c>
      <c r="CC56">
        <f>0.962*(0.955*0.943*(0.9442 - 0.0007*$B56 - dis_BMI*($C56-21.75)) - 0.15*0.5)*AY56</f>
        <v>1.2481597664349702E-6</v>
      </c>
      <c r="CD56">
        <f>0.962*(0.955*0.943*(0.9442 - 0.0007*$B56 - dis_BMI*($C56-21.75)))*AZ56</f>
        <v>-3.1098671842067659E-6</v>
      </c>
      <c r="CE56">
        <f>0.962*(0.93*(0.9442 - 0.0007*$B56 - dis_BMI*($C56-21.75)))*BA56</f>
        <v>4.742110777734827E-5</v>
      </c>
      <c r="CF56">
        <f>0.962*(0.93*(0.9442 - 0.0007*$B56 - dis_BMI*($C56-21.75)))*BB56</f>
        <v>2.2156397117365436E-4</v>
      </c>
      <c r="CG56">
        <f>0.962*(0.93*0.943*(0.9442 - 0.0007*$B56 - dis_BMI*($C56-21.75)))*BC56</f>
        <v>8.7219708072217456E-7</v>
      </c>
      <c r="CH56">
        <f>0.962*(0.93*0.943*(0.9442 - 0.0007*$B56 - dis_BMI*($C56-21.75))-0.19*0.5)*BD56</f>
        <v>6.0560397707115511E-6</v>
      </c>
      <c r="CI56">
        <f>0.962*(0.93*0.943*(0.9442 - 0.0007*$B56 - dis_BMI*($C56-21.75)))*BE56</f>
        <v>-4.9424949641773344E-6</v>
      </c>
      <c r="CJ56">
        <f t="shared" si="50"/>
        <v>0</v>
      </c>
      <c r="CK56">
        <f t="shared" si="51"/>
        <v>4.7898984287456179E-3</v>
      </c>
      <c r="CL56">
        <f>CK56/(1+r_)^A56</f>
        <v>9.9989269329914428E-4</v>
      </c>
      <c r="CM56">
        <f t="shared" si="52"/>
        <v>0</v>
      </c>
      <c r="CN56">
        <f>AE56*c_Other</f>
        <v>1.2847365095446617</v>
      </c>
      <c r="CO56">
        <f>AF56*(c_Stroke1+c_Stroke2)</f>
        <v>0.25947647694456549</v>
      </c>
      <c r="CP56">
        <f>AG56*c_Stroke2</f>
        <v>6.0895342837084428E-3</v>
      </c>
      <c r="CQ56">
        <f>AH56*(c_MI1+c_MI2)</f>
        <v>0.21836024550505304</v>
      </c>
      <c r="CR56">
        <f>AI56*c_MI2</f>
        <v>4.1425501351679828E-2</v>
      </c>
      <c r="CS56">
        <f>AJ56*(c_Stroke1+c_Stroke2+c_MI2)</f>
        <v>8.4408544079217305E-3</v>
      </c>
      <c r="CT56">
        <f>AK56*(c_Stroke2+c_MI1+c_MI2)</f>
        <v>4.5965641584253666E-3</v>
      </c>
      <c r="CU56">
        <f>AL56*(c_Stroke2+c_MI2)</f>
        <v>-2.0623528623053599E-3</v>
      </c>
      <c r="CV56">
        <f>AM56*(c_HF1)</f>
        <v>0.15135776944822291</v>
      </c>
      <c r="CW56">
        <f>AN56*(c_HF2)</f>
        <v>0.48092147960371462</v>
      </c>
      <c r="CX56">
        <f>AO56*(c_Stroke2+c_HF1)</f>
        <v>2.7823769984228397E-3</v>
      </c>
      <c r="CY56">
        <f>AP56*(c_Stroke1+c_Stroke2+c_HF2)</f>
        <v>2.2895588590252886E-2</v>
      </c>
      <c r="CZ56">
        <f>AQ56*(c_Stroke2+c_HF2)</f>
        <v>-7.6437213448848117E-3</v>
      </c>
      <c r="DA56">
        <f>AR56*c_DM</f>
        <v>44.636960065444669</v>
      </c>
      <c r="DB56">
        <f>AS56*(c_Other+c_DM)</f>
        <v>19.653200310507771</v>
      </c>
      <c r="DC56">
        <f>AT56*(c_Stroke1+c_Stroke2+c_DM)</f>
        <v>4.2317141484787761</v>
      </c>
      <c r="DD56">
        <f>AU56*(c_Stroke2+c_DM)</f>
        <v>-0.26066613609304395</v>
      </c>
      <c r="DE56">
        <f>AV56*(c_MI1+c_MI2+c_DM)</f>
        <v>3.457044098636775</v>
      </c>
      <c r="DF56">
        <f>AW56*(c_MI2+c_DM)</f>
        <v>1.900959137513615</v>
      </c>
      <c r="DG56">
        <f>AX56*(c_Stroke1+c_Stroke2+c_MI2+c_DM)</f>
        <v>0.21087480880762607</v>
      </c>
      <c r="DH56">
        <f>AY56*(c_Stroke2+c_MI1+c_MI2+c_DM)</f>
        <v>9.1815299620357588E-2</v>
      </c>
      <c r="DI56">
        <f>AZ56*(c_Stroke2+c_MI2+c_DM)</f>
        <v>-9.1892509668705186E-2</v>
      </c>
      <c r="DJ56">
        <f>BA56*(c_HF1+c_DM)</f>
        <v>2.4797498992862517</v>
      </c>
      <c r="DK56">
        <f>BB56*(c_HF2+c_DM)</f>
        <v>8.1438273275419011</v>
      </c>
      <c r="DL56">
        <f>BC56*(c_Stroke2+c_HF1+c_DM)</f>
        <v>5.6541107181526343E-2</v>
      </c>
      <c r="DM56">
        <f>BD56*(c_Stroke1+c_Stroke2+c_HF2+c_DM)</f>
        <v>0.51143514490173803</v>
      </c>
      <c r="DN56">
        <f>BE56*(c_Stroke2+c_HF2+c_DM)</f>
        <v>-0.23897444778257657</v>
      </c>
      <c r="DO56">
        <f t="shared" si="53"/>
        <v>0</v>
      </c>
      <c r="DP56">
        <f t="shared" si="54"/>
        <v>87.2539650810061</v>
      </c>
      <c r="DQ56">
        <f>DP56/(1+r_)^A56</f>
        <v>18.21429064597605</v>
      </c>
    </row>
    <row r="57" spans="1:121" x14ac:dyDescent="0.3">
      <c r="A57">
        <v>54</v>
      </c>
      <c r="B57">
        <v>99</v>
      </c>
      <c r="C57">
        <f t="shared" si="40"/>
        <v>38</v>
      </c>
      <c r="D57">
        <f t="shared" si="1"/>
        <v>125</v>
      </c>
      <c r="E57">
        <f t="shared" si="42"/>
        <v>5.7</v>
      </c>
      <c r="F57">
        <v>0.29732999999999998</v>
      </c>
      <c r="G57">
        <v>0.33972999999999998</v>
      </c>
      <c r="H57">
        <f t="shared" si="3"/>
        <v>0.30580999999999997</v>
      </c>
      <c r="I57">
        <f t="shared" si="22"/>
        <v>5.6857293942168513E-2</v>
      </c>
      <c r="J57">
        <f t="shared" si="23"/>
        <v>0.51581116734080812</v>
      </c>
      <c r="K57">
        <f t="shared" si="24"/>
        <v>0.63786883966266772</v>
      </c>
      <c r="L57">
        <f t="shared" si="25"/>
        <v>0.2906078875199295</v>
      </c>
      <c r="M57">
        <f t="shared" si="26"/>
        <v>0.3817450176684678</v>
      </c>
      <c r="N57">
        <f t="shared" si="27"/>
        <v>0.88817803331272371</v>
      </c>
      <c r="O57">
        <f t="shared" si="28"/>
        <v>0.95475408557357488</v>
      </c>
      <c r="P57">
        <f t="shared" si="29"/>
        <v>0.65960754037930425</v>
      </c>
      <c r="Q57">
        <f t="shared" si="30"/>
        <v>0.78188133682795302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4.2370828184510739E-2</v>
      </c>
      <c r="U57">
        <f t="shared" si="31"/>
        <v>0.79370199542199604</v>
      </c>
      <c r="V57">
        <f t="shared" si="32"/>
        <v>0.8903632408385479</v>
      </c>
      <c r="W57">
        <f t="shared" si="33"/>
        <v>0.5263225197193242</v>
      </c>
      <c r="X57">
        <f t="shared" si="34"/>
        <v>0.6488308396637299</v>
      </c>
      <c r="Y57">
        <f t="shared" si="35"/>
        <v>0.97596060448155708</v>
      </c>
      <c r="Z57">
        <f t="shared" si="36"/>
        <v>0.99484459364740274</v>
      </c>
      <c r="AA57">
        <f t="shared" si="37"/>
        <v>0.84019426889156934</v>
      </c>
      <c r="AB57">
        <f t="shared" si="38"/>
        <v>0.92506498239561941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6.4321221177686072E-2</v>
      </c>
      <c r="AD57">
        <f t="shared" si="43"/>
        <v>3.8741896994542205E-4</v>
      </c>
      <c r="AE57">
        <f t="shared" si="44"/>
        <v>5.0629904689267815E-5</v>
      </c>
      <c r="AF57">
        <f t="shared" si="45"/>
        <v>7.0332341446109539E-6</v>
      </c>
      <c r="AG57">
        <f t="shared" si="46"/>
        <v>-1.9919111063147813E-7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4.8794805127649098E-6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7.5991516210079822E-6</v>
      </c>
      <c r="AJ57">
        <f t="shared" si="47"/>
        <v>1.9619734231579987E-7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7.6950666310654407E-8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-1.4577475382956268E-7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3.573620142866073E-6</v>
      </c>
      <c r="AN57">
        <f t="shared" si="48"/>
        <v>1.6269766064812723E-5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4.8824314710184592E-8</v>
      </c>
      <c r="AP57">
        <f>AM56*T56*p_Stroke*p_Stroke_rec*(1-I56) + AN56*T56*p_Stroke*p_Stroke_rec*(1-I56) + AO56*(p_recur_Stroke*p_Stroke_rec)*(1-I56) + AP56*(p_recur_Stroke*p_Stroke_rec)*(1-I56) + AQ56*(p_recur_Stroke*p_Stroke_rec)*(1-I56)</f>
        <v>3.353588664661852E-7</v>
      </c>
      <c r="AQ57">
        <f>AO56*(1-p_recur_Stroke-H56*rr_Stroke*rr_HF)*(1-I56) + AP56*(1-p_recur_Stroke-H56*rr_Stroke*rr_HF)*(1-I56) + AQ56*(1-p_recur_Stroke-H56*rr_Stroke*rr_HF)*(1-I56)</f>
        <v>-2.2116216666905531E-7</v>
      </c>
      <c r="AR57">
        <f>AR56*(1-AC56-H56*rr_DM) + AD56*(1-T56-H56)*I56</f>
        <v>2.4066895102216692E-3</v>
      </c>
      <c r="AS57">
        <f>AR56*AC56*p_Other + AD56*T56*p_Other*I56 + AE56*(1-T56*p_Stroke-T56*p_MI-H56*rr_Other)*I56 + AS56*(1-AC56*p_Stroke-AC56*p_MI-H56*rr_Other*rr_DM)</f>
        <v>4.078277221728051E-4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7.4802663374936356E-5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-1.6472292548543022E-5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5.3247798293158018E-5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6.8560544025558605E-5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3.2512353353132796E-6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1.1141126649954268E-6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-2.7472244483169228E-6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3.9255352871861311E-5</v>
      </c>
      <c r="BB57">
        <f>AM56*(1-T56*p_Stroke - H56*rr_HF)*I56 + AN56*(1-T56*p_Stroke - H56*rr_HF)*I56 + BA56*(1-AC56*p_Stroke - H56*rr_HF*rr_DM) + BB56*(1-AC56*p_Stroke - H56*rr_HF*rr_DM)</f>
        <v>1.4404901853569781E-4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7.054493516883168E-7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5.3941120395332961E-6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-4.1188217703757119E-6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0.97134094548960015</v>
      </c>
      <c r="BG57">
        <f t="shared" si="49"/>
        <v>0.97499999999999953</v>
      </c>
      <c r="BH57">
        <f>(0.9442 - 0.0007*$B57 - dis_BMI*($C57-21.75))*AD57</f>
        <v>3.1817751454192648E-4</v>
      </c>
      <c r="BI57">
        <f>0.959*(0.9442 - 0.0007*$B57 - dis_BMI*($C57-21.75))*AE57</f>
        <v>3.9876250899757604E-5</v>
      </c>
      <c r="BJ57">
        <f>(0.943*(0.9442 - 0.0007*$B57 - dis_BMI*($C57-21.75)) - 0.19*0.5)*AF57</f>
        <v>4.7788176241667447E-6</v>
      </c>
      <c r="BK57">
        <f>(0.943*(0.9442 - 0.0007*$B57 - dis_BMI*($C57-21.75)))*AG57</f>
        <v>-1.5426601065898676E-7</v>
      </c>
      <c r="BL57">
        <f>(0.955*(0.9442 - 0.0007*$B57 - dis_BMI*($C57-21.75)) - 0.15*0.5)*AH57</f>
        <v>3.4611015285481877E-6</v>
      </c>
      <c r="BM57">
        <f>(0.955*(0.9442 - 0.0007*$B57 - dis_BMI*($C57-21.75)))*AI57</f>
        <v>5.9601485514038801E-6</v>
      </c>
      <c r="BN57">
        <f>(0.955*0.943*(0.9442 - 0.0007*$B57 - dis_BMI*($C57-21.75)) - 0.19*0.5)*AJ57</f>
        <v>1.2647106712372205E-7</v>
      </c>
      <c r="BO57">
        <f>(0.955*0.943*(0.9442 - 0.0007*$B57 - dis_BMI*($C57-21.75)) - 0.15*0.5)*AK57</f>
        <v>5.1142299330593315E-8</v>
      </c>
      <c r="BP57">
        <f>(0.955*0.943*(0.9442 - 0.0007*$B57 - dis_BMI*($C57-21.75)))*AL57</f>
        <v>-1.0781668731217419E-7</v>
      </c>
      <c r="BQ57">
        <f>(0.93*(0.9442 - 0.0007*$B57 - dis_BMI*($C57-21.75)))*AM57</f>
        <v>2.7294801410340708E-6</v>
      </c>
      <c r="BR57">
        <f>(0.93*(0.9442 - 0.0007*$B57 - dis_BMI*($C57-21.75)))*AN57</f>
        <v>1.2426615476137535E-5</v>
      </c>
      <c r="BS57">
        <f>(0.93*0.943*(0.9442 - 0.0007*$B57 - dis_BMI*($C57-21.75)))*AO57</f>
        <v>3.5165710826892574E-8</v>
      </c>
      <c r="BT57">
        <f>(0.93*0.943*(0.9442 - 0.0007*$B57 - dis_BMI*($C57-21.75))-0.19*0.5)*AP57</f>
        <v>2.0968311859818511E-7</v>
      </c>
      <c r="BU57">
        <f>(0.93*0.943*(0.9442 - 0.0007*$B57 - dis_BMI*($C57-21.75)))*AQ57</f>
        <v>-1.5929204219451531E-7</v>
      </c>
      <c r="BV57">
        <f>0.962*(0.9442 - 0.0007*$B57 - dis_BMI*($C57-21.75))*AR57</f>
        <v>1.9014448782620238E-3</v>
      </c>
      <c r="BW57">
        <f>0.962*0.959*(0.9442 - 0.0007*$B57 - dis_BMI*($C57-21.75))*AS57</f>
        <v>3.0900038875191806E-4</v>
      </c>
      <c r="BX57">
        <f>0.962*(0.943*(0.9442 - 0.0007*$B57 - dis_BMI*($C57-21.75)) - 0.19*0.5)*AT57</f>
        <v>4.8894219093155385E-5</v>
      </c>
      <c r="BY57">
        <f>0.962*(0.943*(0.9442 - 0.0007*$B57 - dis_BMI*($C57-21.75)))*AU57</f>
        <v>-1.2272397525786261E-5</v>
      </c>
      <c r="BZ57">
        <f>0.962*(0.955*(0.9442 - 0.0007*$B57 - dis_BMI*($C57-21.75)) - 0.15*0.5)*AV57</f>
        <v>3.6334356952554186E-5</v>
      </c>
      <c r="CA57">
        <f>0.962*(0.955*(0.9442 - 0.0007*$B57 - dis_BMI*($C57-21.75)))*AW57</f>
        <v>5.1729859822598359E-5</v>
      </c>
      <c r="CB57">
        <f>0.962*(0.955*0.943*(0.9442 - 0.0007*$B57 - dis_BMI*($C57-21.75)) - 0.19*0.5)*AX57</f>
        <v>2.0161439699946735E-6</v>
      </c>
      <c r="CC57">
        <f>0.962*(0.955*0.943*(0.9442 - 0.0007*$B57 - dis_BMI*($C57-21.75)) - 0.15*0.5)*AY57</f>
        <v>7.123149318898908E-7</v>
      </c>
      <c r="CD57">
        <f>0.962*(0.955*0.943*(0.9442 - 0.0007*$B57 - dis_BMI*($C57-21.75)))*AZ57</f>
        <v>-1.9546674546918696E-6</v>
      </c>
      <c r="CE57">
        <f>0.962*(0.93*(0.9442 - 0.0007*$B57 - dis_BMI*($C57-21.75)))*BA57</f>
        <v>2.8843337327628776E-5</v>
      </c>
      <c r="CF57">
        <f>0.962*(0.93*(0.9442 - 0.0007*$B57 - dis_BMI*($C57-21.75)))*BB57</f>
        <v>1.0584172932800789E-4</v>
      </c>
      <c r="CG57">
        <f>0.962*(0.93*0.943*(0.9442 - 0.0007*$B57 - dis_BMI*($C57-21.75)))*BC57</f>
        <v>4.8879207390373092E-7</v>
      </c>
      <c r="CH57">
        <f>0.962*(0.93*0.943*(0.9442 - 0.0007*$B57 - dis_BMI*($C57-21.75))-0.19*0.5)*BD57</f>
        <v>3.244506951825027E-6</v>
      </c>
      <c r="CI57">
        <f>0.962*(0.93*0.943*(0.9442 - 0.0007*$B57 - dis_BMI*($C57-21.75)))*BE57</f>
        <v>-2.8538511380917365E-6</v>
      </c>
      <c r="CJ57">
        <f t="shared" si="50"/>
        <v>0</v>
      </c>
      <c r="CK57">
        <f t="shared" si="51"/>
        <v>2.8588806275656182E-3</v>
      </c>
      <c r="CL57">
        <f>CK57/(1+r_)^A57</f>
        <v>5.7940986834344947E-4</v>
      </c>
      <c r="CM57">
        <f t="shared" si="52"/>
        <v>0</v>
      </c>
      <c r="CN57">
        <f>AE57*c_Other</f>
        <v>0.72294440905805513</v>
      </c>
      <c r="CO57">
        <f>AF57*(c_Stroke1+c_Stroke2)</f>
        <v>0.16750350438805447</v>
      </c>
      <c r="CP57">
        <f>AG57*c_Stroke2</f>
        <v>-1.2947422191046079E-3</v>
      </c>
      <c r="CQ57">
        <f>AH57*(c_MI1+c_MI2)</f>
        <v>0.14224173642760987</v>
      </c>
      <c r="CR57">
        <f>AI57*c_MI2</f>
        <v>2.3686555602681882E-2</v>
      </c>
      <c r="CS57">
        <f>AJ57*(c_Stroke1+c_Stroke2+c_MI2)</f>
        <v>5.2841830205914379E-3</v>
      </c>
      <c r="CT57">
        <f>AK57*(c_Stroke2+c_MI1+c_MI2)</f>
        <v>2.7433682046411403E-3</v>
      </c>
      <c r="CU57">
        <f>AL57*(c_Stroke2+c_MI2)</f>
        <v>-1.4019158075789042E-3</v>
      </c>
      <c r="CV57">
        <f>AM57*(c_HF1)</f>
        <v>9.659495246166995E-2</v>
      </c>
      <c r="CW57">
        <f>AN57*(c_HF2)</f>
        <v>0.25388969944140255</v>
      </c>
      <c r="CX57">
        <f>AO57*(c_Stroke2+c_HF1)</f>
        <v>1.6370792722324894E-3</v>
      </c>
      <c r="CY57">
        <f>AP57*(c_Stroke1+c_Stroke2+c_HF2)</f>
        <v>1.3220181874963486E-2</v>
      </c>
      <c r="CZ57">
        <f>AQ57*(c_Stroke2+c_HF2)</f>
        <v>-4.8887896942194677E-3</v>
      </c>
      <c r="DA57">
        <f>AR57*c_DM</f>
        <v>27.49642765428257</v>
      </c>
      <c r="DB57">
        <f>AS57*(c_Other+c_DM)</f>
        <v>10.482803770729783</v>
      </c>
      <c r="DC57">
        <f>AT57*(c_Stroke1+c_Stroke2+c_DM)</f>
        <v>2.636120659996132</v>
      </c>
      <c r="DD57">
        <f>AU57*(c_Stroke2+c_DM)</f>
        <v>-0.29526584393263366</v>
      </c>
      <c r="DE57">
        <f>AV57*(c_MI1+c_MI2+c_DM)</f>
        <v>2.1605826635431797</v>
      </c>
      <c r="DF57">
        <f>AW57*(c_MI2+c_DM)</f>
        <v>0.99700743121967328</v>
      </c>
      <c r="DG57">
        <f>AX57*(c_Stroke1+c_Stroke2+c_MI2+c_DM)</f>
        <v>0.12471088499194678</v>
      </c>
      <c r="DH57">
        <f>AY57*(c_Stroke2+c_MI1+c_MI2+c_DM)</f>
        <v>5.2447967817324713E-2</v>
      </c>
      <c r="DI57">
        <f>AZ57*(c_Stroke2+c_MI2+c_DM)</f>
        <v>-5.780709684148469E-2</v>
      </c>
      <c r="DJ57">
        <f>BA57*(c_HF1+c_DM)</f>
        <v>1.5095645946874268</v>
      </c>
      <c r="DK57">
        <f>BB57*(c_HF2+c_DM)</f>
        <v>3.8936449710199117</v>
      </c>
      <c r="DL57">
        <f>BC57*(c_Stroke2+c_HF1+c_DM)</f>
        <v>3.1713475605148284E-2</v>
      </c>
      <c r="DM57">
        <f>BD57*(c_Stroke1+c_Stroke2+c_HF2+c_DM)</f>
        <v>0.27426902076210996</v>
      </c>
      <c r="DN57">
        <f>BE57*(c_Stroke2+c_HF2+c_DM)</f>
        <v>-0.13810409396069762</v>
      </c>
      <c r="DO57">
        <f t="shared" si="53"/>
        <v>0</v>
      </c>
      <c r="DP57">
        <f t="shared" si="54"/>
        <v>50.59027628195139</v>
      </c>
      <c r="DQ57">
        <f>DP57/(1+r_)^A57</f>
        <v>10.253140700367139</v>
      </c>
    </row>
    <row r="58" spans="1:121" x14ac:dyDescent="0.3">
      <c r="A58">
        <v>55</v>
      </c>
      <c r="B58">
        <v>100</v>
      </c>
      <c r="C58">
        <f t="shared" si="40"/>
        <v>38</v>
      </c>
      <c r="D58">
        <f t="shared" si="1"/>
        <v>125</v>
      </c>
      <c r="E58">
        <f t="shared" si="42"/>
        <v>5.7</v>
      </c>
      <c r="F58">
        <v>0.31955</v>
      </c>
      <c r="G58">
        <v>0.36148000000000002</v>
      </c>
      <c r="H58">
        <f t="shared" si="3"/>
        <v>0.32793600000000001</v>
      </c>
      <c r="I58">
        <f t="shared" si="22"/>
        <v>5.6857293942168513E-2</v>
      </c>
      <c r="J58">
        <f t="shared" si="23"/>
        <v>0.52545020703678325</v>
      </c>
      <c r="K58">
        <f t="shared" si="24"/>
        <v>0.64792480184500223</v>
      </c>
      <c r="L58">
        <f t="shared" si="25"/>
        <v>0.29732876952698795</v>
      </c>
      <c r="M58">
        <f t="shared" si="26"/>
        <v>0.38993271362431803</v>
      </c>
      <c r="N58">
        <f t="shared" si="27"/>
        <v>0.89569908669948672</v>
      </c>
      <c r="O58">
        <f t="shared" si="28"/>
        <v>0.95899356856116125</v>
      </c>
      <c r="P58">
        <f t="shared" si="29"/>
        <v>0.67106835306328327</v>
      </c>
      <c r="Q58">
        <f t="shared" si="30"/>
        <v>0.79218559580389514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4.3152623836190049E-2</v>
      </c>
      <c r="U58">
        <f t="shared" si="31"/>
        <v>0.80253534554381978</v>
      </c>
      <c r="V58">
        <f t="shared" si="32"/>
        <v>0.89688094379128946</v>
      </c>
      <c r="W58">
        <f t="shared" si="33"/>
        <v>0.5360347207072107</v>
      </c>
      <c r="X58">
        <f t="shared" si="34"/>
        <v>0.65887324021586391</v>
      </c>
      <c r="Y58">
        <f t="shared" si="35"/>
        <v>0.97864658998195386</v>
      </c>
      <c r="Z58">
        <f t="shared" si="36"/>
        <v>0.99563930496583575</v>
      </c>
      <c r="AA58">
        <f t="shared" si="37"/>
        <v>0.84924160509225188</v>
      </c>
      <c r="AB58">
        <f t="shared" si="38"/>
        <v>0.93098859495872022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6.5171785700366705E-2</v>
      </c>
      <c r="AD58">
        <f t="shared" si="43"/>
        <v>2.3816910389238356E-4</v>
      </c>
      <c r="AE58">
        <f t="shared" si="44"/>
        <v>2.761049893585433E-5</v>
      </c>
      <c r="AF58">
        <f t="shared" si="45"/>
        <v>4.4156798384765211E-6</v>
      </c>
      <c r="AG58">
        <f t="shared" si="46"/>
        <v>-5.5757819226454623E-7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3.0795494247071629E-6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4.1542079069554003E-6</v>
      </c>
      <c r="AJ58">
        <f t="shared" si="47"/>
        <v>1.1878059085170396E-7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4.4977418161454406E-8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-9.4477481044028882E-8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2.2073575344271775E-6</v>
      </c>
      <c r="AN58">
        <f t="shared" si="48"/>
        <v>8.1163936042293621E-6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2.8098142906605691E-8</v>
      </c>
      <c r="AP58">
        <f>AM57*T57*p_Stroke*p_Stroke_rec*(1-I57) + AN57*T57*p_Stroke*p_Stroke_rec*(1-I57) + AO57*(p_recur_Stroke*p_Stroke_rec)*(1-I57) + AP57*(p_recur_Stroke*p_Stroke_rec)*(1-I57) + AQ57*(p_recur_Stroke*p_Stroke_rec)*(1-I57)</f>
        <v>1.8476799189544847E-7</v>
      </c>
      <c r="AQ58">
        <f>AO57*(1-p_recur_Stroke-H57*rr_Stroke*rr_HF)*(1-I57) + AP57*(1-p_recur_Stroke-H57*rr_Stroke*rr_HF)*(1-I57) + AQ57*(1-p_recur_Stroke-H57*rr_Stroke*rr_HF)*(1-I57)</f>
        <v>-1.3254617035414488E-7</v>
      </c>
      <c r="AR58">
        <f>AR57*(1-AC57-H57*rr_DM) + AD57*(1-T57-H57)*I57</f>
        <v>1.4198581331827137E-3</v>
      </c>
      <c r="AS58">
        <f>AR57*AC57*p_Other + AD57*T57*p_Other*I57 + AE57*(1-T57*p_Stroke-T57*p_MI-H57*rr_Other)*I57 + AS57*(1-AC57*p_Stroke-AC57*p_MI-H57*rr_Other*rr_DM)</f>
        <v>2.1032011043876618E-4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4.5012493931667453E-5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-1.3736220509888183E-5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3.2038001347583314E-5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3.380246475155507E-5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1.8436581769011936E-6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6.1905795260213208E-7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-1.6453493710424925E-6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2.2970421904860707E-5</v>
      </c>
      <c r="BB58">
        <f>AM57*(1-T57*p_Stroke - H57*rr_HF)*I57 + AN57*(1-T57*p_Stroke - H57*rr_HF)*I57 + BA57*(1-AC57*p_Stroke - H57*rr_HF*rr_DM) + BB57*(1-AC57*p_Stroke - H57*rr_HF*rr_DM)</f>
        <v>6.3756028157152097E-5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3.8448865587673555E-7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2.7246527709923647E-6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-2.2331313078133117E-6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0.97289694037648045</v>
      </c>
      <c r="BG58">
        <f t="shared" si="49"/>
        <v>0.97499999999999953</v>
      </c>
      <c r="BH58">
        <f>(0.9442 - 0.0007*$B58 - dis_BMI*($C58-21.75))*AD58</f>
        <v>1.9543561242649264E-4</v>
      </c>
      <c r="BI58">
        <f>0.959*(0.9442 - 0.0007*$B58 - dis_BMI*($C58-21.75))*AE58</f>
        <v>2.1727569272552831E-5</v>
      </c>
      <c r="BJ58">
        <f>(0.943*(0.9442 - 0.0007*$B58 - dis_BMI*($C58-21.75)) - 0.19*0.5)*AF58</f>
        <v>2.9973732992455029E-6</v>
      </c>
      <c r="BK58">
        <f>(0.943*(0.9442 - 0.0007*$B58 - dis_BMI*($C58-21.75)))*AG58</f>
        <v>-4.3145524578578366E-7</v>
      </c>
      <c r="BL58">
        <f>(0.955*(0.9442 - 0.0007*$B58 - dis_BMI*($C58-21.75)) - 0.15*0.5)*AH58</f>
        <v>2.1823200052129846E-6</v>
      </c>
      <c r="BM58">
        <f>(0.955*(0.9442 - 0.0007*$B58 - dis_BMI*($C58-21.75)))*AI58</f>
        <v>3.2554413913536813E-6</v>
      </c>
      <c r="BN58">
        <f>(0.955*0.943*(0.9442 - 0.0007*$B58 - dis_BMI*($C58-21.75)) - 0.19*0.5)*AJ58</f>
        <v>7.6492458509997454E-8</v>
      </c>
      <c r="BO58">
        <f>(0.955*0.943*(0.9442 - 0.0007*$B58 - dis_BMI*($C58-21.75)) - 0.15*0.5)*AK58</f>
        <v>2.986415670481575E-8</v>
      </c>
      <c r="BP58">
        <f>(0.955*0.943*(0.9442 - 0.0007*$B58 - dis_BMI*($C58-21.75)))*AL58</f>
        <v>-6.9817075217272954E-8</v>
      </c>
      <c r="BQ58">
        <f>(0.93*(0.9442 - 0.0007*$B58 - dis_BMI*($C58-21.75)))*AM58</f>
        <v>1.6845112401957006E-6</v>
      </c>
      <c r="BR58">
        <f>(0.93*(0.9442 - 0.0007*$B58 - dis_BMI*($C58-21.75)))*AN58</f>
        <v>6.1939020040651743E-6</v>
      </c>
      <c r="BS58">
        <f>(0.93*0.943*(0.9442 - 0.0007*$B58 - dis_BMI*($C58-21.75)))*AO58</f>
        <v>2.0220437114534494E-8</v>
      </c>
      <c r="BT58">
        <f>(0.93*0.943*(0.9442 - 0.0007*$B58 - dis_BMI*($C58-21.75))-0.19*0.5)*AP58</f>
        <v>1.1541275218078882E-7</v>
      </c>
      <c r="BU58">
        <f>(0.93*0.943*(0.9442 - 0.0007*$B58 - dis_BMI*($C58-21.75)))*AQ58</f>
        <v>-9.5385005027797724E-8</v>
      </c>
      <c r="BV58">
        <f>0.962*(0.9442 - 0.0007*$B58 - dis_BMI*($C58-21.75))*AR58</f>
        <v>1.1208262843062219E-3</v>
      </c>
      <c r="BW58">
        <f>0.962*0.959*(0.9442 - 0.0007*$B58 - dis_BMI*($C58-21.75))*AS58</f>
        <v>1.5921821905361369E-4</v>
      </c>
      <c r="BX58">
        <f>0.962*(0.943*(0.9442 - 0.0007*$B58 - dis_BMI*($C58-21.75)) - 0.19*0.5)*AT58</f>
        <v>2.9393506954337499E-5</v>
      </c>
      <c r="BY58">
        <f>0.962*(0.943*(0.9442 - 0.0007*$B58 - dis_BMI*($C58-21.75)))*AU58</f>
        <v>-1.022521150988371E-5</v>
      </c>
      <c r="BZ58">
        <f>0.962*(0.955*(0.9442 - 0.0007*$B58 - dis_BMI*($C58-21.75)) - 0.15*0.5)*AV58</f>
        <v>2.1840960960088617E-5</v>
      </c>
      <c r="CA58">
        <f>0.962*(0.955*(0.9442 - 0.0007*$B58 - dis_BMI*($C58-21.75)))*AW58</f>
        <v>2.5482679592234291E-5</v>
      </c>
      <c r="CB58">
        <f>0.962*(0.955*0.943*(0.9442 - 0.0007*$B58 - dis_BMI*($C58-21.75)) - 0.19*0.5)*AX58</f>
        <v>1.1421643861132812E-6</v>
      </c>
      <c r="CC58">
        <f>0.962*(0.955*0.943*(0.9442 - 0.0007*$B58 - dis_BMI*($C58-21.75)) - 0.15*0.5)*AY58</f>
        <v>3.9542316949377816E-7</v>
      </c>
      <c r="CD58">
        <f>0.962*(0.955*0.943*(0.9442 - 0.0007*$B58 - dis_BMI*($C58-21.75)))*AZ58</f>
        <v>-1.1696786081223913E-6</v>
      </c>
      <c r="CE58">
        <f>0.962*(0.93*(0.9442 - 0.0007*$B58 - dis_BMI*($C58-21.75)))*BA58</f>
        <v>1.6863405145005507E-5</v>
      </c>
      <c r="CF58">
        <f>0.962*(0.93*(0.9442 - 0.0007*$B58 - dis_BMI*($C58-21.75)))*BB58</f>
        <v>4.6805571865570587E-5</v>
      </c>
      <c r="CG58">
        <f>0.962*(0.93*0.943*(0.9442 - 0.0007*$B58 - dis_BMI*($C58-21.75)))*BC58</f>
        <v>2.6617761259686863E-7</v>
      </c>
      <c r="CH58">
        <f>0.962*(0.93*0.943*(0.9442 - 0.0007*$B58 - dis_BMI*($C58-21.75))-0.19*0.5)*BD58</f>
        <v>1.6372435738599273E-6</v>
      </c>
      <c r="CI58">
        <f>0.962*(0.93*0.943*(0.9442 - 0.0007*$B58 - dis_BMI*($C58-21.75)))*BE58</f>
        <v>-1.5459742466878762E-6</v>
      </c>
      <c r="CJ58">
        <f t="shared" si="50"/>
        <v>0</v>
      </c>
      <c r="CK58">
        <f t="shared" si="51"/>
        <v>1.6440528343720394E-3</v>
      </c>
      <c r="CL58">
        <f>CK58/(1+r_)^A58</f>
        <v>3.2349562487638732E-4</v>
      </c>
      <c r="CM58">
        <f t="shared" si="52"/>
        <v>0</v>
      </c>
      <c r="CN58">
        <f>AE58*c_Other</f>
        <v>0.39425031430506396</v>
      </c>
      <c r="CO58">
        <f>AF58*(c_Stroke1+c_Stroke2)</f>
        <v>0.10516383103315682</v>
      </c>
      <c r="CP58">
        <f>AG58*c_Stroke2</f>
        <v>-3.6242582497195506E-3</v>
      </c>
      <c r="CQ58">
        <f>AH58*(c_MI1+c_MI2)</f>
        <v>8.9771945279638499E-2</v>
      </c>
      <c r="CR58">
        <f>AI58*c_MI2</f>
        <v>1.2948666045979983E-2</v>
      </c>
      <c r="CS58">
        <f>AJ58*(c_Stroke1+c_Stroke2+c_MI2)</f>
        <v>3.1991176534089424E-3</v>
      </c>
      <c r="CT58">
        <f>AK58*(c_Stroke2+c_MI1+c_MI2)</f>
        <v>1.6034899348740111E-3</v>
      </c>
      <c r="CU58">
        <f>AL58*(c_Stroke2+c_MI2)</f>
        <v>-9.0858993520042579E-4</v>
      </c>
      <c r="CV58">
        <f>AM58*(c_HF1)</f>
        <v>5.9664874155566608E-2</v>
      </c>
      <c r="CW58">
        <f>AN58*(c_HF2)</f>
        <v>0.12665632219399919</v>
      </c>
      <c r="CX58">
        <f>AO58*(c_Stroke2+c_HF1)</f>
        <v>9.4213073165848879E-4</v>
      </c>
      <c r="CY58">
        <f>AP58*(c_Stroke1+c_Stroke2+c_HF2)</f>
        <v>7.2837390085104745E-3</v>
      </c>
      <c r="CZ58">
        <f>AQ58*(c_Stroke2+c_HF2)</f>
        <v>-2.9299330956783728E-3</v>
      </c>
      <c r="DA58">
        <f>AR58*c_DM</f>
        <v>16.221879171612503</v>
      </c>
      <c r="DB58">
        <f>AS58*(c_Other+c_DM)</f>
        <v>5.4060681187180464</v>
      </c>
      <c r="DC58">
        <f>AT58*(c_Stroke1+c_Stroke2+c_DM)</f>
        <v>1.5862852986458926</v>
      </c>
      <c r="DD58">
        <f>AU58*(c_Stroke2+c_DM)</f>
        <v>-0.24622175263974569</v>
      </c>
      <c r="DE58">
        <f>AV58*(c_MI1+c_MI2+c_DM)</f>
        <v>1.2999739426795405</v>
      </c>
      <c r="DF58">
        <f>AW58*(c_MI2+c_DM)</f>
        <v>0.49155544241711385</v>
      </c>
      <c r="DG58">
        <f>AX58*(c_Stroke1+c_Stroke2+c_MI2+c_DM)</f>
        <v>7.071904034957599E-2</v>
      </c>
      <c r="DH58">
        <f>AY58*(c_Stroke2+c_MI1+c_MI2+c_DM)</f>
        <v>2.914277217669797E-2</v>
      </c>
      <c r="DI58">
        <f>AZ58*(c_Stroke2+c_MI2+c_DM)</f>
        <v>-3.4621441465476126E-2</v>
      </c>
      <c r="DJ58">
        <f>BA58*(c_HF1+c_DM)</f>
        <v>0.88332757435141851</v>
      </c>
      <c r="DK58">
        <f>BB58*(c_HF2+c_DM)</f>
        <v>1.7233254410878212</v>
      </c>
      <c r="DL58">
        <f>BC58*(c_Stroke2+c_HF1+c_DM)</f>
        <v>1.7284687524938648E-2</v>
      </c>
      <c r="DM58">
        <f>BD58*(c_Stroke1+c_Stroke2+c_HF2+c_DM)</f>
        <v>0.13853769479387779</v>
      </c>
      <c r="DN58">
        <f>BE58*(c_Stroke2+c_HF2+c_DM)</f>
        <v>-7.4876892750980348E-2</v>
      </c>
      <c r="DO58">
        <f t="shared" si="53"/>
        <v>0</v>
      </c>
      <c r="DP58">
        <f t="shared" si="54"/>
        <v>28.306400746562485</v>
      </c>
      <c r="DQ58">
        <f>DP58/(1+r_)^A58</f>
        <v>5.5697703906263234</v>
      </c>
    </row>
    <row r="59" spans="1:121" x14ac:dyDescent="0.3">
      <c r="A59">
        <v>56</v>
      </c>
      <c r="B59">
        <v>101</v>
      </c>
      <c r="C59">
        <f t="shared" si="40"/>
        <v>38</v>
      </c>
      <c r="D59">
        <f t="shared" si="1"/>
        <v>125</v>
      </c>
      <c r="E59">
        <f t="shared" si="42"/>
        <v>5.7</v>
      </c>
      <c r="F59">
        <v>0.34189000000000003</v>
      </c>
      <c r="G59">
        <v>0.38297999999999999</v>
      </c>
      <c r="H59">
        <f t="shared" ref="H59:H67" si="55">(PREV_FEMALE*F59 + (1-PREV_FEMALE)*G59)</f>
        <v>0.35010800000000003</v>
      </c>
      <c r="I59">
        <f t="shared" ref="I59:I67" si="56">0.00000146 * EXP(1.87 * E59) * 0.0197 * EXP(0.101*C59)</f>
        <v>5.6857293942168513E-2</v>
      </c>
      <c r="J59">
        <f t="shared" si="23"/>
        <v>0.53505968451210539</v>
      </c>
      <c r="K59">
        <f t="shared" si="24"/>
        <v>0.65786882303347805</v>
      </c>
      <c r="L59">
        <f t="shared" si="25"/>
        <v>0.30410098536105523</v>
      </c>
      <c r="M59">
        <f t="shared" si="26"/>
        <v>0.39815128263672495</v>
      </c>
      <c r="N59">
        <f t="shared" si="27"/>
        <v>0.90285882589548927</v>
      </c>
      <c r="O59">
        <f t="shared" si="28"/>
        <v>0.96291381599687831</v>
      </c>
      <c r="P59">
        <f t="shared" si="29"/>
        <v>0.68237567804734556</v>
      </c>
      <c r="Q59">
        <f t="shared" si="30"/>
        <v>0.80220757826942546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4.3931872370003046E-2</v>
      </c>
      <c r="U59">
        <f t="shared" si="31"/>
        <v>0.81113400132478763</v>
      </c>
      <c r="V59">
        <f t="shared" si="32"/>
        <v>0.90311431770861395</v>
      </c>
      <c r="W59">
        <f t="shared" si="33"/>
        <v>0.54571119420421654</v>
      </c>
      <c r="X59">
        <f t="shared" si="34"/>
        <v>0.66879531854798802</v>
      </c>
      <c r="Y59">
        <f t="shared" si="35"/>
        <v>0.98108039362668353</v>
      </c>
      <c r="Z59">
        <f t="shared" si="36"/>
        <v>0.99632467388159696</v>
      </c>
      <c r="AA59">
        <f t="shared" si="37"/>
        <v>0.85795362614857162</v>
      </c>
      <c r="AB59">
        <f t="shared" si="38"/>
        <v>0.9365556147550631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6.6008578017348579E-2</v>
      </c>
      <c r="AD59">
        <f t="shared" ref="AD59:AD67" si="57">AD58*(1-T58-H58)*(1-I58)</f>
        <v>1.4127076068123611E-4</v>
      </c>
      <c r="AE59">
        <f t="shared" ref="AE59:AE67" si="58">AD58*T58*p_Other*(1-I58) + AE58*(1-T58*(1-p_Other)-H58*rr_Other)*(1-I58)</f>
        <v>1.4640900257414281E-5</v>
      </c>
      <c r="AF59">
        <f t="shared" ref="AF59:AF67" si="59">AD58*T58*p_Stroke*p_Stroke_rec*(1-I58)+AE58*T58*p_Stroke*p_Stroke_rec*(1-I58) + AF58*p_recur_Stroke*p_Stroke_rec*(1-I58) + AG58*p_recur_Stroke*p_Stroke_rec*(1-I58)</f>
        <v>2.690591172393082E-6</v>
      </c>
      <c r="AG59">
        <f t="shared" ref="AG59:AG67" si="60">AF58*(1-p_recur_Stroke-T58*p_MI-H58*rr_Stroke)*(1-I58) + AG58*(1-p_recur_Stroke-T58*p_MI-H58*rr_Stroke)*(1-I58)</f>
        <v>-5.6740064702471174E-7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1.8812036046836668E-6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2.1684252461455272E-6</v>
      </c>
      <c r="AJ59">
        <f t="shared" ref="AJ59:AJ67" si="61">AH58*T58*p_Stroke*p_Stroke_rec*(1-I58) + AI58*T58*p_Stroke*p_Stroke_rec*(1-I58) + AJ58*p_recur_Stroke*p_Stroke_rec*(1-I58) + AK58*p_recur_Stroke*p_Stroke_rec*(1-I58) + AL58*p_recur_Stroke*p_Stroke_rec*(1-I58)</f>
        <v>6.9510274961546355E-8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2.5679973796358715E-8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-5.8537728818406778E-8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1.3190527065898434E-6</v>
      </c>
      <c r="AN59">
        <f t="shared" ref="AN59:AN67" si="62">AM58*(1-T58*p_Stroke - H58*rr_HF)*(1-I58) + AN58*(1-T58*p_Stroke-H58*rr_HF)*(1-I58)</f>
        <v>3.8288037002045025E-6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1.578288602133762E-8</v>
      </c>
      <c r="AP59">
        <f>AM58*T58*p_Stroke*p_Stroke_rec*(1-I58) + AN58*T58*p_Stroke*p_Stroke_rec*(1-I58) + AO58*(p_recur_Stroke*p_Stroke_rec)*(1-I58) + AP58*(p_recur_Stroke*p_Stroke_rec)*(1-I58) + AQ58*(p_recur_Stroke*p_Stroke_rec)*(1-I58)</f>
        <v>9.7270531217519971E-8</v>
      </c>
      <c r="AQ59">
        <f>AO58*(1-p_recur_Stroke-H58*rr_Stroke*rr_HF)*(1-I58) + AP58*(1-p_recur_Stroke-H58*rr_Stroke*rr_HF)*(1-I58) + AQ58*(1-p_recur_Stroke-H58*rr_Stroke*rr_HF)*(1-I58)</f>
        <v>-7.4853257222959766E-8</v>
      </c>
      <c r="AR59">
        <f>AR58*(1-AC58-H58*rr_DM) + AD58*(1-T58-H58)*I58</f>
        <v>8.0037395513151408E-4</v>
      </c>
      <c r="AS59">
        <f>AR58*AC58*p_Other + AD58*T58*p_Other*I58 + AE58*(1-T58*p_Stroke-T58*p_MI-H58*rr_Other)*I58 + AS58*(1-AC58*p_Stroke-AC58*p_MI-H58*rr_Other*rr_DM)</f>
        <v>1.0522588829552307E-4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2.6095830995990986E-5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-9.8782071228908711E-6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1.8533670836132077E-5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1.5606576102272606E-5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1.0023907744070236E-6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3.3341585882909357E-7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-9.3462484668995602E-7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1.2918275275448804E-5</v>
      </c>
      <c r="BB59">
        <f>AM58*(1-T58*p_Stroke - H58*rr_HF)*I58 + AN58*(1-T58*p_Stroke - H58*rr_HF)*I58 + BA58*(1-AC58*p_Stroke - H58*rr_HF*rr_DM) + BB58*(1-AC58*p_Stroke - H58*rr_HF*rr_DM)</f>
        <v>2.6130844488815945E-5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2.0275270539554581E-7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1.2985635524758113E-6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-1.1155896651206853E-6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0.97383689906821591</v>
      </c>
      <c r="BG59">
        <f t="shared" ref="BG59:BG67" si="63">SUM(AD59:BF59)</f>
        <v>0.97499999999999964</v>
      </c>
      <c r="BH59">
        <f>(0.9442 - 0.0007*$B59 - dis_BMI*($C59-21.75))*AD59</f>
        <v>1.1582436491352845E-4</v>
      </c>
      <c r="BI59">
        <f>0.959*(0.9442 - 0.0007*$B59 - dis_BMI*($C59-21.75))*AE59</f>
        <v>1.1511556066507084E-5</v>
      </c>
      <c r="BJ59">
        <f>(0.943*(0.9442 - 0.0007*$B59 - dis_BMI*($C59-21.75)) - 0.19*0.5)*AF59</f>
        <v>1.824603215152886E-6</v>
      </c>
      <c r="BK59">
        <f>(0.943*(0.9442 - 0.0007*$B59 - dis_BMI*($C59-21.75)))*AG59</f>
        <v>-4.3868134196706059E-7</v>
      </c>
      <c r="BL59">
        <f>(0.955*(0.9442 - 0.0007*$B59 - dis_BMI*($C59-21.75)) - 0.15*0.5)*AH59</f>
        <v>1.3318557037961953E-6</v>
      </c>
      <c r="BM59">
        <f>(0.955*(0.9442 - 0.0007*$B59 - dis_BMI*($C59-21.75)))*AI59</f>
        <v>1.6978349544928038E-6</v>
      </c>
      <c r="BN59">
        <f>(0.955*0.943*(0.9442 - 0.0007*$B59 - dis_BMI*($C59-21.75)) - 0.19*0.5)*AJ59</f>
        <v>4.4719486095567651E-8</v>
      </c>
      <c r="BO59">
        <f>(0.955*0.943*(0.9442 - 0.0007*$B59 - dis_BMI*($C59-21.75)) - 0.15*0.5)*AK59</f>
        <v>1.7034829348145442E-8</v>
      </c>
      <c r="BP59">
        <f>(0.955*0.943*(0.9442 - 0.0007*$B59 - dis_BMI*($C59-21.75)))*AL59</f>
        <v>-4.32213747690266E-8</v>
      </c>
      <c r="BQ59">
        <f>(0.93*(0.9442 - 0.0007*$B59 - dis_BMI*($C59-21.75)))*AM59</f>
        <v>1.0057562541682736E-6</v>
      </c>
      <c r="BR59">
        <f>(0.93*(0.9442 - 0.0007*$B59 - dis_BMI*($C59-21.75)))*AN59</f>
        <v>2.9194006033458047E-6</v>
      </c>
      <c r="BS59">
        <f>(0.93*0.943*(0.9442 - 0.0007*$B59 - dis_BMI*($C59-21.75)))*AO59</f>
        <v>1.1348245054567881E-8</v>
      </c>
      <c r="BT59">
        <f>(0.93*0.943*(0.9442 - 0.0007*$B59 - dis_BMI*($C59-21.75))-0.19*0.5)*AP59</f>
        <v>6.0698968575350381E-8</v>
      </c>
      <c r="BU59">
        <f>(0.93*0.943*(0.9442 - 0.0007*$B59 - dis_BMI*($C59-21.75)))*AQ59</f>
        <v>-5.3821151907853567E-8</v>
      </c>
      <c r="BV59">
        <f>0.962*(0.9442 - 0.0007*$B59 - dis_BMI*($C59-21.75))*AR59</f>
        <v>6.3127074579783892E-4</v>
      </c>
      <c r="BW59">
        <f>0.962*0.959*(0.9442 - 0.0007*$B59 - dis_BMI*($C59-21.75))*AS59</f>
        <v>7.9590993121263979E-5</v>
      </c>
      <c r="BX59">
        <f>0.962*(0.943*(0.9442 - 0.0007*$B59 - dis_BMI*($C59-21.75)) - 0.19*0.5)*AT59</f>
        <v>1.7024208358422233E-5</v>
      </c>
      <c r="BY59">
        <f>0.962*(0.943*(0.9442 - 0.0007*$B59 - dis_BMI*($C59-21.75)))*AU59</f>
        <v>-7.347042240427069E-6</v>
      </c>
      <c r="BZ59">
        <f>0.962*(0.955*(0.9442 - 0.0007*$B59 - dis_BMI*($C59-21.75)) - 0.15*0.5)*AV59</f>
        <v>1.2622863627348916E-5</v>
      </c>
      <c r="CA59">
        <f>0.962*(0.955*(0.9442 - 0.0007*$B59 - dis_BMI*($C59-21.75)))*AW59</f>
        <v>1.1755300135662105E-5</v>
      </c>
      <c r="CB59">
        <f>0.962*(0.955*0.943*(0.9442 - 0.0007*$B59 - dis_BMI*($C59-21.75)) - 0.19*0.5)*AX59</f>
        <v>6.2038306007185559E-7</v>
      </c>
      <c r="CC59">
        <f>0.962*(0.955*0.943*(0.9442 - 0.0007*$B59 - dis_BMI*($C59-21.75)) - 0.15*0.5)*AY59</f>
        <v>2.1276713032017137E-7</v>
      </c>
      <c r="CD59">
        <f>0.962*(0.955*0.943*(0.9442 - 0.0007*$B59 - dis_BMI*($C59-21.75)))*AZ59</f>
        <v>-6.6385786163019658E-7</v>
      </c>
      <c r="CE59">
        <f>0.962*(0.93*(0.9442 - 0.0007*$B59 - dis_BMI*($C59-21.75)))*BA59</f>
        <v>9.4756759264853404E-6</v>
      </c>
      <c r="CF59">
        <f>0.962*(0.93*(0.9442 - 0.0007*$B59 - dis_BMI*($C59-21.75)))*BB59</f>
        <v>1.9167219213232244E-5</v>
      </c>
      <c r="CG59">
        <f>0.962*(0.93*0.943*(0.9442 - 0.0007*$B59 - dis_BMI*($C59-21.75)))*BC59</f>
        <v>1.4024391119806541E-7</v>
      </c>
      <c r="CH59">
        <f>0.962*(0.93*0.943*(0.9442 - 0.0007*$B59 - dis_BMI*($C59-21.75))-0.19*0.5)*BD59</f>
        <v>7.7953982076232122E-7</v>
      </c>
      <c r="CI59">
        <f>0.962*(0.93*0.943*(0.9442 - 0.0007*$B59 - dis_BMI*($C59-21.75)))*BE59</f>
        <v>-7.7165262788203474E-7</v>
      </c>
      <c r="CJ59">
        <f t="shared" ref="CJ59:CJ67" si="64">0*BF59</f>
        <v>0</v>
      </c>
      <c r="CK59">
        <f t="shared" ref="CK59:CK67" si="65">SUM(BH59:CJ59)</f>
        <v>9.0959083674408802E-4</v>
      </c>
      <c r="CL59">
        <f>CK59/(1+r_)^A59</f>
        <v>1.7376467527959204E-4</v>
      </c>
      <c r="CM59">
        <f t="shared" ref="CM59:CM67" si="66">AD59*0</f>
        <v>0</v>
      </c>
      <c r="CN59">
        <f>AE59*c_Other</f>
        <v>0.20905741477561851</v>
      </c>
      <c r="CO59">
        <f>AF59*(c_Stroke1+c_Stroke2)</f>
        <v>6.4079119361713635E-2</v>
      </c>
      <c r="CP59">
        <f>AG59*c_Stroke2</f>
        <v>-3.6881042056606263E-3</v>
      </c>
      <c r="CQ59">
        <f>AH59*(c_MI1+c_MI2)</f>
        <v>5.4838966280133572E-2</v>
      </c>
      <c r="CR59">
        <f>AI59*c_MI2</f>
        <v>6.758981492235608E-3</v>
      </c>
      <c r="CS59">
        <f>AJ59*(c_Stroke1+c_Stroke2+c_MI2)</f>
        <v>1.872120235539328E-3</v>
      </c>
      <c r="CT59">
        <f>AK59*(c_Stroke2+c_MI1+c_MI2)</f>
        <v>9.1551674581398458E-4</v>
      </c>
      <c r="CU59">
        <f>AL59*(c_Stroke2+c_MI2)</f>
        <v>-5.6295733804661793E-4</v>
      </c>
      <c r="CV59">
        <f>AM59*(c_HF1)</f>
        <v>3.5653994659123465E-2</v>
      </c>
      <c r="CW59">
        <f>AN59*(c_HF2)</f>
        <v>5.9748481741691263E-2</v>
      </c>
      <c r="CX59">
        <f>AO59*(c_Stroke2+c_HF1)</f>
        <v>5.2920016829545045E-4</v>
      </c>
      <c r="CY59">
        <f>AP59*(c_Stroke1+c_Stroke2+c_HF2)</f>
        <v>3.8345016111258549E-3</v>
      </c>
      <c r="CZ59">
        <f>AQ59*(c_Stroke2+c_HF2)</f>
        <v>-1.6546312509135256E-3</v>
      </c>
      <c r="DA59">
        <f>AR59*c_DM</f>
        <v>9.1442724373775484</v>
      </c>
      <c r="DB59">
        <f>AS59*(c_Other+c_DM)</f>
        <v>2.7047262327481252</v>
      </c>
      <c r="DC59">
        <f>AT59*(c_Stroke1+c_Stroke2+c_DM)</f>
        <v>0.91964318012971835</v>
      </c>
      <c r="DD59">
        <f>AU59*(c_Stroke2+c_DM)</f>
        <v>-0.17706686267781888</v>
      </c>
      <c r="DE59">
        <f>AV59*(c_MI1+c_MI2+c_DM)</f>
        <v>0.7520222278468951</v>
      </c>
      <c r="DF59">
        <f>AW59*(c_MI2+c_DM)</f>
        <v>0.22695082967924823</v>
      </c>
      <c r="DG59">
        <f>AX59*(c_Stroke1+c_Stroke2+c_MI2+c_DM)</f>
        <v>3.8449705324704611E-2</v>
      </c>
      <c r="DH59">
        <f>AY59*(c_Stroke2+c_MI1+c_MI2+c_DM)</f>
        <v>1.5695884970238407E-2</v>
      </c>
      <c r="DI59">
        <f>AZ59*(c_Stroke2+c_MI2+c_DM)</f>
        <v>-1.9666376024050056E-2</v>
      </c>
      <c r="DJ59">
        <f>BA59*(c_HF1+c_DM)</f>
        <v>0.49677227571738375</v>
      </c>
      <c r="DK59">
        <f>BB59*(c_HF2+c_DM)</f>
        <v>0.70631672653269495</v>
      </c>
      <c r="DL59">
        <f>BC59*(c_Stroke2+c_HF1+c_DM)</f>
        <v>9.1147478710567626E-3</v>
      </c>
      <c r="DM59">
        <f>BD59*(c_Stroke1+c_Stroke2+c_HF2+c_DM)</f>
        <v>6.6026762389185104E-2</v>
      </c>
      <c r="DN59">
        <f>BE59*(c_Stroke2+c_HF2+c_DM)</f>
        <v>-3.7405721471496581E-2</v>
      </c>
      <c r="DO59">
        <f t="shared" ref="DO59:DO67" si="67">BF59*0</f>
        <v>0</v>
      </c>
      <c r="DP59">
        <f t="shared" ref="DP59:DP67" si="68">SUM(CM59:DO59)</f>
        <v>15.277234654690103</v>
      </c>
      <c r="DQ59">
        <f>DP59/(1+r_)^A59</f>
        <v>2.9185031463649582</v>
      </c>
    </row>
    <row r="60" spans="1:121" x14ac:dyDescent="0.3">
      <c r="A60">
        <v>57</v>
      </c>
      <c r="B60">
        <v>102</v>
      </c>
      <c r="C60">
        <f t="shared" si="40"/>
        <v>38</v>
      </c>
      <c r="D60">
        <f t="shared" si="1"/>
        <v>125</v>
      </c>
      <c r="E60">
        <f t="shared" si="42"/>
        <v>5.7</v>
      </c>
      <c r="F60">
        <v>0.36415999999999998</v>
      </c>
      <c r="G60">
        <v>0.40406999999999998</v>
      </c>
      <c r="H60">
        <f t="shared" si="55"/>
        <v>0.37214199999999997</v>
      </c>
      <c r="I60">
        <f t="shared" si="56"/>
        <v>5.6857293942168513E-2</v>
      </c>
      <c r="J60">
        <f t="shared" si="23"/>
        <v>0.54463470320380358</v>
      </c>
      <c r="K60">
        <f t="shared" si="24"/>
        <v>0.66769565151324561</v>
      </c>
      <c r="L60">
        <f t="shared" si="25"/>
        <v>0.31092263295563505</v>
      </c>
      <c r="M60">
        <f t="shared" si="26"/>
        <v>0.40639751997415596</v>
      </c>
      <c r="N60">
        <f t="shared" si="27"/>
        <v>0.90966300373787501</v>
      </c>
      <c r="O60">
        <f t="shared" si="28"/>
        <v>0.96653046144481136</v>
      </c>
      <c r="P60">
        <f t="shared" si="29"/>
        <v>0.69352103804743837</v>
      </c>
      <c r="Q60">
        <f t="shared" si="30"/>
        <v>0.81194285715510595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4.4708282385208575E-2</v>
      </c>
      <c r="U60">
        <f t="shared" si="31"/>
        <v>0.81949639457346857</v>
      </c>
      <c r="V60">
        <f t="shared" si="32"/>
        <v>0.90906839018971841</v>
      </c>
      <c r="W60">
        <f t="shared" si="33"/>
        <v>0.55534695057358552</v>
      </c>
      <c r="X60">
        <f t="shared" si="34"/>
        <v>0.67859189294024636</v>
      </c>
      <c r="Y60">
        <f t="shared" si="35"/>
        <v>0.98327963021806275</v>
      </c>
      <c r="Z60">
        <f t="shared" si="36"/>
        <v>0.99691350122853506</v>
      </c>
      <c r="AA60">
        <f t="shared" si="37"/>
        <v>0.86633051619578882</v>
      </c>
      <c r="AB60">
        <f t="shared" si="38"/>
        <v>0.94177717407930517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6.683142056070332E-2</v>
      </c>
      <c r="AD60">
        <f t="shared" si="57"/>
        <v>8.0737210900271202E-5</v>
      </c>
      <c r="AE60">
        <f t="shared" si="58"/>
        <v>7.5693948141700215E-6</v>
      </c>
      <c r="AF60">
        <f t="shared" si="59"/>
        <v>1.5880189548880774E-6</v>
      </c>
      <c r="AG60">
        <f t="shared" si="60"/>
        <v>-4.5156347016865383E-7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1.1111556046785521E-6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1.0794517947510741E-6</v>
      </c>
      <c r="AJ60">
        <f t="shared" si="61"/>
        <v>3.9321245382391119E-8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1.4288868512944196E-8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-3.4759517115033926E-8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7.622829048938092E-7</v>
      </c>
      <c r="AN60">
        <f t="shared" si="62"/>
        <v>1.7124117441372036E-6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8.6388231383763566E-9</v>
      </c>
      <c r="AP60">
        <f>AM59*T59*p_Stroke*p_Stroke_rec*(1-I59) + AN59*T59*p_Stroke*p_Stroke_rec*(1-I59) + AO59*(p_recur_Stroke*p_Stroke_rec)*(1-I59) + AP59*(p_recur_Stroke*p_Stroke_rec)*(1-I59) + AQ59*(p_recur_Stroke*p_Stroke_rec)*(1-I59)</f>
        <v>4.9111034100351712E-8</v>
      </c>
      <c r="AQ60">
        <f>AO59*(1-p_recur_Stroke-H59*rr_Stroke*rr_HF)*(1-I59) + AP59*(1-p_recur_Stroke-H59*rr_Stroke*rr_HF)*(1-I59) + AQ59*(1-p_recur_Stroke-H59*rr_Stroke*rr_HF)*(1-I59)</f>
        <v>-4.0150737723547388E-8</v>
      </c>
      <c r="AR60">
        <f>AR59*(1-AC59-H59*rr_DM) + AD59*(1-T59-H59)*I59</f>
        <v>4.3015972235801731E-4</v>
      </c>
      <c r="AS60">
        <f>AR59*AC59*p_Other + AD59*T59*p_Other*I59 + AE59*(1-T59*p_Stroke-T59*p_MI-H59*rr_Other)*I59 + AS59*(1-AC59*p_Stroke-AC59*p_MI-H59*rr_Other*rr_DM)</f>
        <v>5.111761506592959E-5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1.453504822568146E-5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-6.4288965010733186E-6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1.0290874738167515E-5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6.7078036719908302E-6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5.2351194873484871E-7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1.737966279326931E-7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-5.096858035127817E-7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6.9796312868994196E-6</v>
      </c>
      <c r="BB60">
        <f>AM59*(1-T59*p_Stroke - H59*rr_HF)*I59 + AN59*(1-T59*p_Stroke - H59*rr_HF)*I59 + BA59*(1-AC59*p_Stroke - H59*rr_HF*rr_DM) + BB59*(1-AC59*p_Stroke - H59*rr_HF*rr_DM)</f>
        <v>9.9452502076029907E-6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1.0369913771089174E-7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5.909601365608912E-7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-5.4767935985007151E-7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0.97438221353529486</v>
      </c>
      <c r="BG60">
        <f t="shared" si="63"/>
        <v>0.97499999999999953</v>
      </c>
      <c r="BH60">
        <f>(0.9442 - 0.0007*$B60 - dis_BMI*($C60-21.75))*AD60</f>
        <v>6.6137904739229655E-5</v>
      </c>
      <c r="BI60">
        <f>0.959*(0.9442 - 0.0007*$B60 - dis_BMI*($C60-21.75))*AE60</f>
        <v>5.9464319780249198E-6</v>
      </c>
      <c r="BJ60">
        <f>(0.943*(0.9442 - 0.0007*$B60 - dis_BMI*($C60-21.75)) - 0.19*0.5)*AF60</f>
        <v>1.0758542972959582E-6</v>
      </c>
      <c r="BK60">
        <f>(0.943*(0.9442 - 0.0007*$B60 - dis_BMI*($C60-21.75)))*AG60</f>
        <v>-3.4882466385190878E-7</v>
      </c>
      <c r="BL60">
        <f>(0.955*(0.9442 - 0.0007*$B60 - dis_BMI*($C60-21.75)) - 0.15*0.5)*AH60</f>
        <v>7.8593383195084655E-7</v>
      </c>
      <c r="BM60">
        <f>(0.955*(0.9442 - 0.0007*$B60 - dis_BMI*($C60-21.75)))*AI60</f>
        <v>8.4446822738677649E-7</v>
      </c>
      <c r="BN60">
        <f>(0.955*0.943*(0.9442 - 0.0007*$B60 - dis_BMI*($C60-21.75)) - 0.19*0.5)*AJ60</f>
        <v>2.5272563960551218E-8</v>
      </c>
      <c r="BO60">
        <f>(0.955*0.943*(0.9442 - 0.0007*$B60 - dis_BMI*($C60-21.75)) - 0.15*0.5)*AK60</f>
        <v>9.4695237115943526E-9</v>
      </c>
      <c r="BP60">
        <f>(0.955*0.943*(0.9442 - 0.0007*$B60 - dis_BMI*($C60-21.75)))*AL60</f>
        <v>-2.5642802571436603E-8</v>
      </c>
      <c r="BQ60">
        <f>(0.93*(0.9442 - 0.0007*$B60 - dis_BMI*($C60-21.75)))*AM60</f>
        <v>5.8073208171323913E-7</v>
      </c>
      <c r="BR60">
        <f>(0.93*(0.9442 - 0.0007*$B60 - dis_BMI*($C60-21.75)))*AN60</f>
        <v>1.3045713481683423E-6</v>
      </c>
      <c r="BS60">
        <f>(0.93*0.943*(0.9442 - 0.0007*$B60 - dis_BMI*($C60-21.75)))*AO60</f>
        <v>6.2062021001413364E-9</v>
      </c>
      <c r="BT60">
        <f>(0.93*0.943*(0.9442 - 0.0007*$B60 - dis_BMI*($C60-21.75))-0.19*0.5)*AP60</f>
        <v>3.0616225457132475E-8</v>
      </c>
      <c r="BU60">
        <f>(0.93*0.943*(0.9442 - 0.0007*$B60 - dis_BMI*($C60-21.75)))*AQ60</f>
        <v>-2.8844622559194694E-8</v>
      </c>
      <c r="BV60">
        <f>0.962*(0.9442 - 0.0007*$B60 - dis_BMI*($C60-21.75))*AR60</f>
        <v>3.3898579912124892E-4</v>
      </c>
      <c r="BW60">
        <f>0.962*0.959*(0.9442 - 0.0007*$B60 - dis_BMI*($C60-21.75))*AS60</f>
        <v>3.8631444924500972E-5</v>
      </c>
      <c r="BX60">
        <f>0.962*(0.943*(0.9442 - 0.0007*$B60 - dis_BMI*($C60-21.75)) - 0.19*0.5)*AT60</f>
        <v>9.4730390170018526E-6</v>
      </c>
      <c r="BY60">
        <f>0.962*(0.943*(0.9442 - 0.0007*$B60 - dis_BMI*($C60-21.75)))*AU60</f>
        <v>-4.7774911221332791E-6</v>
      </c>
      <c r="BZ60">
        <f>0.962*(0.955*(0.9442 - 0.0007*$B60 - dis_BMI*($C60-21.75)) - 0.15*0.5)*AV60</f>
        <v>7.0022637809539245E-6</v>
      </c>
      <c r="CA60">
        <f>0.962*(0.955*(0.9442 - 0.0007*$B60 - dis_BMI*($C60-21.75)))*AW60</f>
        <v>5.0481874912186665E-6</v>
      </c>
      <c r="CB60">
        <f>0.962*(0.955*0.943*(0.9442 - 0.0007*$B60 - dis_BMI*($C60-21.75)) - 0.19*0.5)*AX60</f>
        <v>3.2368584704823406E-7</v>
      </c>
      <c r="CC60">
        <f>0.962*(0.955*0.943*(0.9442 - 0.0007*$B60 - dis_BMI*($C60-21.75)) - 0.15*0.5)*AY60</f>
        <v>1.1080177403688718E-7</v>
      </c>
      <c r="CD60">
        <f>0.962*(0.955*0.943*(0.9442 - 0.0007*$B60 - dis_BMI*($C60-21.75)))*AZ60</f>
        <v>-3.6171736905552261E-7</v>
      </c>
      <c r="CE60">
        <f>0.962*(0.93*(0.9442 - 0.0007*$B60 - dis_BMI*($C60-21.75)))*BA60</f>
        <v>5.1152538527878083E-6</v>
      </c>
      <c r="CF60">
        <f>0.962*(0.93*(0.9442 - 0.0007*$B60 - dis_BMI*($C60-21.75)))*BB60</f>
        <v>7.2887058571226001E-6</v>
      </c>
      <c r="CG60">
        <f>0.962*(0.93*0.943*(0.9442 - 0.0007*$B60 - dis_BMI*($C60-21.75)))*BC60</f>
        <v>7.1667383356486365E-8</v>
      </c>
      <c r="CH60">
        <f>0.962*(0.93*0.943*(0.9442 - 0.0007*$B60 - dis_BMI*($C60-21.75))-0.19*0.5)*BD60</f>
        <v>3.5440988532291158E-7</v>
      </c>
      <c r="CI60">
        <f>0.962*(0.93*0.943*(0.9442 - 0.0007*$B60 - dis_BMI*($C60-21.75)))*BE60</f>
        <v>-3.7850600791145762E-7</v>
      </c>
      <c r="CJ60">
        <f t="shared" si="64"/>
        <v>0</v>
      </c>
      <c r="CK60">
        <f t="shared" si="65"/>
        <v>4.8323169336551559E-4</v>
      </c>
      <c r="CL60">
        <f>CK60/(1+r_)^A60</f>
        <v>8.9625914928590053E-5</v>
      </c>
      <c r="CM60">
        <f t="shared" si="66"/>
        <v>0</v>
      </c>
      <c r="CN60">
        <f>AE60*c_Other</f>
        <v>0.10808338855153374</v>
      </c>
      <c r="CO60">
        <f>AF60*(c_Stroke1+c_Stroke2)</f>
        <v>3.782025942961445E-2</v>
      </c>
      <c r="CP60">
        <f>AG60*c_Stroke2</f>
        <v>-2.9351625560962501E-3</v>
      </c>
      <c r="CQ60">
        <f>AH60*(c_MI1+c_MI2)</f>
        <v>3.239129703198447E-2</v>
      </c>
      <c r="CR60">
        <f>AI60*c_MI2</f>
        <v>3.3646512442390979E-3</v>
      </c>
      <c r="CS60">
        <f>AJ60*(c_Stroke1+c_Stroke2+c_MI2)</f>
        <v>1.05903910188394E-3</v>
      </c>
      <c r="CT60">
        <f>AK60*(c_Stroke2+c_MI1+c_MI2)</f>
        <v>5.0941245135497357E-4</v>
      </c>
      <c r="CU60">
        <f>AL60*(c_Stroke2+c_MI2)</f>
        <v>-3.3428227609528128E-4</v>
      </c>
      <c r="CV60">
        <f>AM60*(c_HF1)</f>
        <v>2.0604506919279661E-2</v>
      </c>
      <c r="CW60">
        <f>AN60*(c_HF2)</f>
        <v>2.6722185267261063E-2</v>
      </c>
      <c r="CX60">
        <f>AO60*(c_Stroke2+c_HF1)</f>
        <v>2.8965973982975925E-4</v>
      </c>
      <c r="CY60">
        <f>AP60*(c_Stroke1+c_Stroke2+c_HF2)</f>
        <v>1.9360060752699648E-3</v>
      </c>
      <c r="CZ60">
        <f>AQ60*(c_Stroke2+c_HF2)</f>
        <v>-8.8753205737901496E-4</v>
      </c>
      <c r="DA60">
        <f>AR60*c_DM</f>
        <v>4.9145748279403474</v>
      </c>
      <c r="DB60">
        <f>AS60*(c_Other+c_DM)</f>
        <v>1.3139271776546542</v>
      </c>
      <c r="DC60">
        <f>AT60*(c_Stroke1+c_Stroke2+c_DM)</f>
        <v>0.51222963452124037</v>
      </c>
      <c r="DD60">
        <f>AU60*(c_Stroke2+c_DM)</f>
        <v>-0.11523796978173924</v>
      </c>
      <c r="DE60">
        <f>AV60*(c_MI1+c_MI2+c_DM)</f>
        <v>0.41756253337588506</v>
      </c>
      <c r="DF60">
        <f>AW60*(c_MI2+c_DM)</f>
        <v>9.7544880998090652E-2</v>
      </c>
      <c r="DG60">
        <f>AX60*(c_Stroke1+c_Stroke2+c_MI2+c_DM)</f>
        <v>2.0080871329571325E-2</v>
      </c>
      <c r="DH60">
        <f>AY60*(c_Stroke2+c_MI1+c_MI2+c_DM)</f>
        <v>8.1816500565594606E-3</v>
      </c>
      <c r="DI60">
        <f>AZ60*(c_Stroke2+c_MI2+c_DM)</f>
        <v>-1.0724808677515952E-2</v>
      </c>
      <c r="DJ60">
        <f>BA60*(c_HF1+c_DM)</f>
        <v>0.26840172113771721</v>
      </c>
      <c r="DK60">
        <f>BB60*(c_HF2+c_DM)</f>
        <v>0.26882011311150883</v>
      </c>
      <c r="DL60">
        <f>BC60*(c_Stroke2+c_HF1+c_DM)</f>
        <v>4.6617947357931377E-3</v>
      </c>
      <c r="DM60">
        <f>BD60*(c_Stroke1+c_Stroke2+c_HF2+c_DM)</f>
        <v>3.0047959103575075E-2</v>
      </c>
      <c r="DN60">
        <f>BE60*(c_Stroke2+c_HF2+c_DM)</f>
        <v>-1.8363688935772896E-2</v>
      </c>
      <c r="DO60">
        <f t="shared" si="67"/>
        <v>0</v>
      </c>
      <c r="DP60">
        <f t="shared" si="68"/>
        <v>7.9403301254925944</v>
      </c>
      <c r="DQ60">
        <f>DP60/(1+r_)^A60</f>
        <v>1.4727083552320359</v>
      </c>
    </row>
    <row r="61" spans="1:121" x14ac:dyDescent="0.3">
      <c r="A61">
        <v>58</v>
      </c>
      <c r="B61">
        <v>103</v>
      </c>
      <c r="C61">
        <f t="shared" si="40"/>
        <v>38</v>
      </c>
      <c r="D61">
        <f t="shared" si="1"/>
        <v>125</v>
      </c>
      <c r="E61">
        <f t="shared" si="42"/>
        <v>5.7</v>
      </c>
      <c r="F61">
        <v>0.38614999999999999</v>
      </c>
      <c r="G61">
        <v>0.42459000000000002</v>
      </c>
      <c r="H61">
        <f t="shared" si="55"/>
        <v>0.39383800000000002</v>
      </c>
      <c r="I61">
        <f t="shared" si="56"/>
        <v>5.6857293942168513E-2</v>
      </c>
      <c r="J61">
        <f t="shared" si="23"/>
        <v>0.5541704278484163</v>
      </c>
      <c r="K61">
        <f t="shared" si="24"/>
        <v>0.67740024974442581</v>
      </c>
      <c r="L61">
        <f t="shared" si="25"/>
        <v>0.31779177779175305</v>
      </c>
      <c r="M61">
        <f t="shared" si="26"/>
        <v>0.41466820167235707</v>
      </c>
      <c r="N61">
        <f t="shared" si="27"/>
        <v>0.9161181876659118</v>
      </c>
      <c r="O61">
        <f t="shared" si="28"/>
        <v>0.96985921685476228</v>
      </c>
      <c r="P61">
        <f t="shared" si="29"/>
        <v>0.70449633645147536</v>
      </c>
      <c r="Q61">
        <f t="shared" si="30"/>
        <v>0.82138776713817929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4.548157252169626E-2</v>
      </c>
      <c r="U61">
        <f t="shared" si="31"/>
        <v>0.82762141745595774</v>
      </c>
      <c r="V61">
        <f t="shared" si="32"/>
        <v>0.91474861475882085</v>
      </c>
      <c r="W61">
        <f t="shared" si="33"/>
        <v>0.56493707158406847</v>
      </c>
      <c r="X61">
        <f t="shared" si="34"/>
        <v>0.68825801302507061</v>
      </c>
      <c r="Y61">
        <f t="shared" si="35"/>
        <v>0.9852613965981929</v>
      </c>
      <c r="Z61">
        <f t="shared" si="36"/>
        <v>0.99741744792204645</v>
      </c>
      <c r="AA61">
        <f t="shared" si="37"/>
        <v>0.87437333317043164</v>
      </c>
      <c r="AB61">
        <f t="shared" si="38"/>
        <v>0.946664961099139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6.7640159076878675E-2</v>
      </c>
      <c r="AD61">
        <f t="shared" si="57"/>
        <v>4.4404933348199621E-5</v>
      </c>
      <c r="AE61">
        <f t="shared" si="58"/>
        <v>3.8200202032185866E-6</v>
      </c>
      <c r="AF61">
        <f t="shared" si="59"/>
        <v>9.0623681874296758E-7</v>
      </c>
      <c r="AG61">
        <f t="shared" si="60"/>
        <v>-3.158071519459808E-7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6.3392547822767215E-7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5.1162294714404263E-7</v>
      </c>
      <c r="AJ61">
        <f t="shared" si="61"/>
        <v>2.1508226939694056E-8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7.7326117280747391E-9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-1.9814316608262191E-8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4.2585502659378618E-7</v>
      </c>
      <c r="AN61">
        <f t="shared" si="62"/>
        <v>7.2918208167211371E-7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4.6007397242432814E-9</v>
      </c>
      <c r="AP61">
        <f>AM60*T60*p_Stroke*p_Stroke_rec*(1-I60) + AN60*T60*p_Stroke*p_Stroke_rec*(1-I60) + AO60*(p_recur_Stroke*p_Stroke_rec)*(1-I60) + AP60*(p_recur_Stroke*p_Stroke_rec)*(1-I60) + AQ60*(p_recur_Stroke*p_Stroke_rec)*(1-I60)</f>
        <v>2.3912655827498531E-8</v>
      </c>
      <c r="AQ61">
        <f>AO60*(1-p_recur_Stroke-H60*rr_Stroke*rr_HF)*(1-I60) + AP60*(1-p_recur_Stroke-H60*rr_Stroke*rr_HF)*(1-I60) + AQ60*(1-p_recur_Stroke-H60*rr_Stroke*rr_HF)*(1-I60)</f>
        <v>-2.0581189123085119E-8</v>
      </c>
      <c r="AR61">
        <f>AR60*(1-AC60-H60*rr_DM) + AD60*(1-T60-H60)*I60</f>
        <v>2.1999591112671182E-4</v>
      </c>
      <c r="AS61">
        <f>AR60*AC60*p_Other + AD60*T60*p_Other*I60 + AE60*(1-T60*p_Stroke-T60*p_MI-H60*rr_Other)*I60 + AS60*(1-AC60*p_Stroke-AC60*p_MI-H60*rr_Other*rr_DM)</f>
        <v>2.4056808232482773E-5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7.755548802640281E-6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-3.8632028693460458E-6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5.473145145875887E-6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2.654534079099062E-6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2.6239747289615563E-7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8.7238810426113917E-8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-2.6209329637045921E-7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3.619556131516432E-6</v>
      </c>
      <c r="BB61">
        <f>AM60*(1-T60*p_Stroke - H60*rr_HF)*I60 + AN60*(1-T60*p_Stroke - H60*rr_HF)*I60 + BA60*(1-AC60*p_Stroke - H60*rr_HF*rr_DM) + BB60*(1-AC60*p_Stroke - H60*rr_HF*rr_DM)</f>
        <v>3.5260087875076099E-6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5.0954462903264933E-8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2.5701185093148249E-7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-2.3022599656015326E-7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0.97468548307977854</v>
      </c>
      <c r="BG61">
        <f t="shared" si="63"/>
        <v>0.97499999999999964</v>
      </c>
      <c r="BH61">
        <f>(0.9442 - 0.0007*$B61 - dis_BMI*($C61-21.75))*AD61</f>
        <v>3.6344327822167689E-5</v>
      </c>
      <c r="BI61">
        <f>0.959*(0.9442 - 0.0007*$B61 - dis_BMI*($C61-21.75))*AE61</f>
        <v>2.9984008033603299E-6</v>
      </c>
      <c r="BJ61">
        <f>(0.943*(0.9442 - 0.0007*$B61 - dis_BMI*($C61-21.75)) - 0.19*0.5)*AF61</f>
        <v>6.1336094816749148E-7</v>
      </c>
      <c r="BK61">
        <f>(0.943*(0.9442 - 0.0007*$B61 - dis_BMI*($C61-21.75)))*AG61</f>
        <v>-2.4374688394371442E-7</v>
      </c>
      <c r="BL61">
        <f>(0.955*(0.9442 - 0.0007*$B61 - dis_BMI*($C61-21.75)) - 0.15*0.5)*AH61</f>
        <v>4.4795939791466088E-7</v>
      </c>
      <c r="BM61">
        <f>(0.955*(0.9442 - 0.0007*$B61 - dis_BMI*($C61-21.75)))*AI61</f>
        <v>3.999068150388529E-7</v>
      </c>
      <c r="BN61">
        <f>(0.955*0.943*(0.9442 - 0.0007*$B61 - dis_BMI*($C61-21.75)) - 0.19*0.5)*AJ61</f>
        <v>1.3810216110263672E-8</v>
      </c>
      <c r="BO61">
        <f>(0.955*0.943*(0.9442 - 0.0007*$B61 - dis_BMI*($C61-21.75)) - 0.15*0.5)*AK61</f>
        <v>5.1196844225188068E-9</v>
      </c>
      <c r="BP61">
        <f>(0.955*0.943*(0.9442 - 0.0007*$B61 - dis_BMI*($C61-21.75)))*AL61</f>
        <v>-1.4604933407726718E-8</v>
      </c>
      <c r="BQ61">
        <f>(0.93*(0.9442 - 0.0007*$B61 - dis_BMI*($C61-21.75)))*AM61</f>
        <v>3.2415307438895476E-7</v>
      </c>
      <c r="BR61">
        <f>(0.93*(0.9442 - 0.0007*$B61 - dis_BMI*($C61-21.75)))*AN61</f>
        <v>5.5504009299582248E-7</v>
      </c>
      <c r="BS61">
        <f>(0.93*0.943*(0.9442 - 0.0007*$B61 - dis_BMI*($C61-21.75)))*AO61</f>
        <v>3.3023851650621598E-9</v>
      </c>
      <c r="BT61">
        <f>(0.93*0.943*(0.9442 - 0.0007*$B61 - dis_BMI*($C61-21.75))-0.19*0.5)*AP61</f>
        <v>1.4892667905345061E-8</v>
      </c>
      <c r="BU61">
        <f>(0.93*0.943*(0.9442 - 0.0007*$B61 - dis_BMI*($C61-21.75)))*AQ61</f>
        <v>-1.4773062097224818E-8</v>
      </c>
      <c r="BV61">
        <f>0.962*(0.9442 - 0.0007*$B61 - dis_BMI*($C61-21.75))*AR61</f>
        <v>1.7321882953177692E-4</v>
      </c>
      <c r="BW61">
        <f>0.962*0.959*(0.9442 - 0.0007*$B61 - dis_BMI*($C61-21.75))*AS61</f>
        <v>1.816507118290488E-5</v>
      </c>
      <c r="BX61">
        <f>0.962*(0.943*(0.9442 - 0.0007*$B61 - dis_BMI*($C61-21.75)) - 0.19*0.5)*AT61</f>
        <v>5.0496587021731314E-6</v>
      </c>
      <c r="BY61">
        <f>0.962*(0.943*(0.9442 - 0.0007*$B61 - dis_BMI*($C61-21.75)))*AU61</f>
        <v>-2.8683998976233894E-6</v>
      </c>
      <c r="BZ61">
        <f>0.962*(0.955*(0.9442 - 0.0007*$B61 - dis_BMI*($C61-21.75)) - 0.15*0.5)*AV61</f>
        <v>3.7205957272436413E-6</v>
      </c>
      <c r="CA61">
        <f>0.962*(0.955*(0.9442 - 0.0007*$B61 - dis_BMI*($C61-21.75)))*AW61</f>
        <v>1.9960534539426527E-6</v>
      </c>
      <c r="CB61">
        <f>0.962*(0.955*0.943*(0.9442 - 0.0007*$B61 - dis_BMI*($C61-21.75)) - 0.19*0.5)*AX61</f>
        <v>1.6208043166798567E-7</v>
      </c>
      <c r="CC61">
        <f>0.962*(0.955*0.943*(0.9442 - 0.0007*$B61 - dis_BMI*($C61-21.75)) - 0.15*0.5)*AY61</f>
        <v>5.5565060951414578E-8</v>
      </c>
      <c r="CD61">
        <f>0.962*(0.955*0.943*(0.9442 - 0.0007*$B61 - dis_BMI*($C61-21.75)))*AZ61</f>
        <v>-1.858452510667347E-7</v>
      </c>
      <c r="CE61">
        <f>0.962*(0.93*(0.9442 - 0.0007*$B61 - dis_BMI*($C61-21.75)))*BA61</f>
        <v>2.6504447477352935E-6</v>
      </c>
      <c r="CF61">
        <f>0.962*(0.93*(0.9442 - 0.0007*$B61 - dis_BMI*($C61-21.75)))*BB61</f>
        <v>2.581944064893585E-6</v>
      </c>
      <c r="CG61">
        <f>0.962*(0.93*0.943*(0.9442 - 0.0007*$B61 - dis_BMI*($C61-21.75)))*BC61</f>
        <v>3.518498418021902E-8</v>
      </c>
      <c r="CH61">
        <f>0.962*(0.93*0.943*(0.9442 - 0.0007*$B61 - dis_BMI*($C61-21.75))-0.19*0.5)*BD61</f>
        <v>1.5398304850635648E-7</v>
      </c>
      <c r="CI61">
        <f>0.962*(0.93*0.943*(0.9442 - 0.0007*$B61 - dis_BMI*($C61-21.75)))*BE61</f>
        <v>-1.5897524152541126E-7</v>
      </c>
      <c r="CJ61">
        <f t="shared" si="64"/>
        <v>0</v>
      </c>
      <c r="CK61">
        <f t="shared" si="65"/>
        <v>2.4602333957394882E-4</v>
      </c>
      <c r="CL61">
        <f>CK61/(1+r_)^A61</f>
        <v>4.4301382212045279E-5</v>
      </c>
      <c r="CM61">
        <f t="shared" si="66"/>
        <v>0</v>
      </c>
      <c r="CN61">
        <f>AE61*c_Other</f>
        <v>5.4546068481758199E-2</v>
      </c>
      <c r="CO61">
        <f>AF61*(c_Stroke1+c_Stroke2)</f>
        <v>2.1582936075182517E-2</v>
      </c>
      <c r="CP61">
        <f>AG61*c_Stroke2</f>
        <v>-2.0527464876488751E-3</v>
      </c>
      <c r="CQ61">
        <f>AH61*(c_MI1+c_MI2)</f>
        <v>1.847956161581487E-2</v>
      </c>
      <c r="CR61">
        <f>AI61*c_MI2</f>
        <v>1.5947287262479809E-3</v>
      </c>
      <c r="CS61">
        <f>AJ61*(c_Stroke1+c_Stroke2+c_MI2)</f>
        <v>5.7928107616677998E-4</v>
      </c>
      <c r="CT61">
        <f>AK61*(c_Stroke2+c_MI1+c_MI2)</f>
        <v>2.7567534071759251E-4</v>
      </c>
      <c r="CU61">
        <f>AL61*(c_Stroke2+c_MI2)</f>
        <v>-1.9055428282165748E-4</v>
      </c>
      <c r="CV61">
        <f>AM61*(c_HF1)</f>
        <v>1.151086136883004E-2</v>
      </c>
      <c r="CW61">
        <f>AN61*(c_HF2)</f>
        <v>1.1378886384493334E-2</v>
      </c>
      <c r="CX61">
        <f>AO61*(c_Stroke2+c_HF1)</f>
        <v>1.5426280295387722E-4</v>
      </c>
      <c r="CY61">
        <f>AP61*(c_Stroke1+c_Stroke2+c_HF2)</f>
        <v>9.4266080537581953E-4</v>
      </c>
      <c r="CZ61">
        <f>AQ61*(c_Stroke2+c_HF2)</f>
        <v>-4.5494718556579654E-4</v>
      </c>
      <c r="DA61">
        <f>AR61*c_DM</f>
        <v>2.5134532846226825</v>
      </c>
      <c r="DB61">
        <f>AS61*(c_Other+c_DM)</f>
        <v>0.61835619880773718</v>
      </c>
      <c r="DC61">
        <f>AT61*(c_Stroke1+c_Stroke2+c_DM)</f>
        <v>0.27331329535384613</v>
      </c>
      <c r="DD61">
        <f>AU61*(c_Stroke2+c_DM)</f>
        <v>-6.9247911433027873E-2</v>
      </c>
      <c r="DE61">
        <f>AV61*(c_MI1+c_MI2+c_DM)</f>
        <v>0.22207833743906</v>
      </c>
      <c r="DF61">
        <f>AW61*(c_MI2+c_DM)</f>
        <v>3.8602234578258558E-2</v>
      </c>
      <c r="DG61">
        <f>AX61*(c_Stroke1+c_Stroke2+c_MI2+c_DM)</f>
        <v>1.0065042265350738E-2</v>
      </c>
      <c r="DH61">
        <f>AY61*(c_Stroke2+c_MI1+c_MI2+c_DM)</f>
        <v>4.106854239619739E-3</v>
      </c>
      <c r="DI61">
        <f>AZ61*(c_Stroke2+c_MI2+c_DM)</f>
        <v>-5.5149671422272031E-3</v>
      </c>
      <c r="DJ61">
        <f>BA61*(c_HF1+c_DM)</f>
        <v>0.13919003103746438</v>
      </c>
      <c r="DK61">
        <f>BB61*(c_HF2+c_DM)</f>
        <v>9.5308017526330696E-2</v>
      </c>
      <c r="DL61">
        <f>BC61*(c_Stroke2+c_HF1+c_DM)</f>
        <v>2.2906578798162752E-3</v>
      </c>
      <c r="DM61">
        <f>BD61*(c_Stroke1+c_Stroke2+c_HF2+c_DM)</f>
        <v>1.3068024572462159E-2</v>
      </c>
      <c r="DN61">
        <f>BE61*(c_Stroke2+c_HF2+c_DM)</f>
        <v>-7.719477664661939E-3</v>
      </c>
      <c r="DO61">
        <f t="shared" si="67"/>
        <v>0</v>
      </c>
      <c r="DP61">
        <f t="shared" si="68"/>
        <v>3.9656962968042166</v>
      </c>
      <c r="DQ61">
        <f>DP61/(1+r_)^A61</f>
        <v>0.71410227861250997</v>
      </c>
    </row>
    <row r="62" spans="1:121" x14ac:dyDescent="0.3">
      <c r="A62">
        <v>59</v>
      </c>
      <c r="B62">
        <v>104</v>
      </c>
      <c r="C62">
        <f t="shared" si="40"/>
        <v>38</v>
      </c>
      <c r="D62">
        <f t="shared" si="1"/>
        <v>125</v>
      </c>
      <c r="E62">
        <f t="shared" si="42"/>
        <v>5.7</v>
      </c>
      <c r="F62">
        <v>0.40767999999999999</v>
      </c>
      <c r="G62">
        <v>0.44438</v>
      </c>
      <c r="H62">
        <f t="shared" si="55"/>
        <v>0.41501999999999994</v>
      </c>
      <c r="I62">
        <f t="shared" si="56"/>
        <v>5.6857293942168513E-2</v>
      </c>
      <c r="J62">
        <f t="shared" si="23"/>
        <v>0.56366209082092433</v>
      </c>
      <c r="K62">
        <f t="shared" si="24"/>
        <v>0.68697780091858962</v>
      </c>
      <c r="L62">
        <f t="shared" si="25"/>
        <v>0.32470645427567513</v>
      </c>
      <c r="M62">
        <f t="shared" si="26"/>
        <v>0.42296008771918514</v>
      </c>
      <c r="N62">
        <f t="shared" si="27"/>
        <v>0.92223169765846191</v>
      </c>
      <c r="O62">
        <f t="shared" si="28"/>
        <v>0.97291577657658879</v>
      </c>
      <c r="P62">
        <f t="shared" si="29"/>
        <v>0.71529387515868681</v>
      </c>
      <c r="Q62">
        <f t="shared" si="30"/>
        <v>0.83053940108785829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4.625147157193945E-2</v>
      </c>
      <c r="U62">
        <f t="shared" si="31"/>
        <v>0.83550841353676109</v>
      </c>
      <c r="V62">
        <f t="shared" si="32"/>
        <v>0.92016083476174804</v>
      </c>
      <c r="W62">
        <f t="shared" si="33"/>
        <v>0.57447671694084723</v>
      </c>
      <c r="X62">
        <f t="shared" si="34"/>
        <v>0.69778896603022611</v>
      </c>
      <c r="Y62">
        <f t="shared" si="35"/>
        <v>0.98704220226326467</v>
      </c>
      <c r="Z62">
        <f t="shared" si="36"/>
        <v>0.9978470819929135</v>
      </c>
      <c r="AA62">
        <f t="shared" si="37"/>
        <v>0.88208397857011256</v>
      </c>
      <c r="AB62">
        <f t="shared" si="38"/>
        <v>0.95123113188700004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6.8434661853719214E-2</v>
      </c>
      <c r="AD62">
        <f t="shared" si="57"/>
        <v>2.3481402271582016E-5</v>
      </c>
      <c r="AE62">
        <f t="shared" si="58"/>
        <v>1.8807482709618525E-6</v>
      </c>
      <c r="AF62">
        <f t="shared" si="59"/>
        <v>4.9920128604843231E-7</v>
      </c>
      <c r="AG62">
        <f t="shared" si="60"/>
        <v>-2.0198343341771903E-7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3.4892390983894365E-7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2.3031781871416332E-7</v>
      </c>
      <c r="AJ62">
        <f t="shared" si="61"/>
        <v>1.1379330230751677E-8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4.0624135065069722E-9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-1.0862360229419649E-8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2.2985596275222088E-7</v>
      </c>
      <c r="AN62">
        <f t="shared" si="62"/>
        <v>2.9712869849356949E-7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2.3810708525634573E-9</v>
      </c>
      <c r="AP62">
        <f>AM61*T61*p_Stroke*p_Stroke_rec*(1-I61) + AN61*T61*p_Stroke*p_Stroke_rec*(1-I61) + AO61*(p_recur_Stroke*p_Stroke_rec)*(1-I61) + AP61*(p_recur_Stroke*p_Stroke_rec)*(1-I61) + AQ61*(p_recur_Stroke*p_Stroke_rec)*(1-I61)</f>
        <v>1.1309863711856762E-8</v>
      </c>
      <c r="AQ62">
        <f>AO61*(1-p_recur_Stroke-H61*rr_Stroke*rr_HF)*(1-I61) + AP61*(1-p_recur_Stroke-H61*rr_Stroke*rr_HF)*(1-I61) + AQ61*(1-p_recur_Stroke-H61*rr_Stroke*rr_HF)*(1-I61)</f>
        <v>-1.0200900719510758E-8</v>
      </c>
      <c r="AR62">
        <f>AR61*(1-AC61-H61*rr_DM) + AD61*(1-T61-H61)*I61</f>
        <v>1.0689176534880009E-4</v>
      </c>
      <c r="AS62">
        <f>AR61*AC61*p_Other + AD61*T61*p_Other*I61 + AE61*(1-T61*p_Stroke-T61*p_MI-H61*rr_Other)*I61 + AS61*(1-AC61*p_Stroke-AC61*p_MI-H61*rr_Other*rr_DM)</f>
        <v>1.0920503045940211E-5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3.9528523299843387E-6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-2.1627004726102712E-6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2.7815828233856793E-6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9.4644743493368555E-7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1.266794382319291E-7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4.2239109304309474E-8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-1.3318961483706085E-7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1.7987749555702962E-6</v>
      </c>
      <c r="BB62">
        <f>AM61*(1-T61*p_Stroke - H61*rr_HF)*I61 + AN61*(1-T61*p_Stroke - H61*rr_HF)*I61 + BA61*(1-AC61*p_Stroke - H61*rr_HF*rr_DM) + BB61*(1-AC61*p_Stroke - H61*rr_HF*rr_DM)</f>
        <v>1.1622019305840594E-6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2.4408404152542526E-8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1.1153636987047411E-7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-1.3277880057417361E-7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0.9748468960134945</v>
      </c>
      <c r="BG62">
        <f t="shared" si="63"/>
        <v>0.97499999999999953</v>
      </c>
      <c r="BH62">
        <f>(0.9442 - 0.0007*$B62 - dis_BMI*($C62-21.75))*AD62</f>
        <v>1.9202503742642983E-5</v>
      </c>
      <c r="BI62">
        <f>0.959*(0.9442 - 0.0007*$B62 - dis_BMI*($C62-21.75))*AE62</f>
        <v>1.4749697316771099E-6</v>
      </c>
      <c r="BJ62">
        <f>(0.943*(0.9442 - 0.0007*$B62 - dis_BMI*($C62-21.75)) - 0.19*0.5)*AF62</f>
        <v>3.3754085261685504E-7</v>
      </c>
      <c r="BK62">
        <f>(0.943*(0.9442 - 0.0007*$B62 - dis_BMI*($C62-21.75)))*AG62</f>
        <v>-1.5576191313417419E-7</v>
      </c>
      <c r="BL62">
        <f>(0.955*(0.9442 - 0.0007*$B62 - dis_BMI*($C62-21.75)) - 0.15*0.5)*AH62</f>
        <v>2.4633160086403696E-7</v>
      </c>
      <c r="BM62">
        <f>(0.955*(0.9442 - 0.0007*$B62 - dis_BMI*($C62-21.75)))*AI62</f>
        <v>1.7987248726002104E-7</v>
      </c>
      <c r="BN62">
        <f>(0.955*0.943*(0.9442 - 0.0007*$B62 - dis_BMI*($C62-21.75)) - 0.19*0.5)*AJ62</f>
        <v>7.2993799680416397E-9</v>
      </c>
      <c r="BO62">
        <f>(0.955*0.943*(0.9442 - 0.0007*$B62 - dis_BMI*($C62-21.75)) - 0.15*0.5)*AK62</f>
        <v>2.6871221809833278E-9</v>
      </c>
      <c r="BP62">
        <f>(0.955*0.943*(0.9442 - 0.0007*$B62 - dis_BMI*($C62-21.75)))*AL62</f>
        <v>-7.9996888491019744E-9</v>
      </c>
      <c r="BQ62">
        <f>(0.93*(0.9442 - 0.0007*$B62 - dis_BMI*($C62-21.75)))*AM62</f>
        <v>1.7481252774391862E-7</v>
      </c>
      <c r="BR62">
        <f>(0.93*(0.9442 - 0.0007*$B62 - dis_BMI*($C62-21.75)))*AN62</f>
        <v>2.2597551191183828E-7</v>
      </c>
      <c r="BS62">
        <f>(0.93*0.943*(0.9442 - 0.0007*$B62 - dis_BMI*($C62-21.75)))*AO62</f>
        <v>1.707657578028942E-9</v>
      </c>
      <c r="BT62">
        <f>(0.93*0.943*(0.9442 - 0.0007*$B62 - dis_BMI*($C62-21.75))-0.19*0.5)*AP62</f>
        <v>7.0367766280727724E-9</v>
      </c>
      <c r="BU62">
        <f>(0.93*0.943*(0.9442 - 0.0007*$B62 - dis_BMI*($C62-21.75)))*AQ62</f>
        <v>-7.3158870504166099E-9</v>
      </c>
      <c r="BV62">
        <f>0.962*(0.9442 - 0.0007*$B62 - dis_BMI*($C62-21.75))*AR62</f>
        <v>8.409170369860662E-5</v>
      </c>
      <c r="BW62">
        <f>0.962*0.959*(0.9442 - 0.0007*$B62 - dis_BMI*($C62-21.75))*AS62</f>
        <v>8.2389174839021858E-6</v>
      </c>
      <c r="BX62">
        <f>0.962*(0.943*(0.9442 - 0.0007*$B62 - dis_BMI*($C62-21.75)) - 0.19*0.5)*AT62</f>
        <v>2.5712026672725994E-6</v>
      </c>
      <c r="BY62">
        <f>0.962*(0.943*(0.9442 - 0.0007*$B62 - dis_BMI*($C62-21.75)))*AU62</f>
        <v>-1.6044159457378123E-6</v>
      </c>
      <c r="BZ62">
        <f>0.962*(0.955*(0.9442 - 0.0007*$B62 - dis_BMI*($C62-21.75)) - 0.15*0.5)*AV62</f>
        <v>1.8891066067429308E-6</v>
      </c>
      <c r="CA62">
        <f>0.962*(0.955*(0.9442 - 0.0007*$B62 - dis_BMI*($C62-21.75)))*AW62</f>
        <v>7.110641314587403E-7</v>
      </c>
      <c r="CB62">
        <f>0.962*(0.955*0.943*(0.9442 - 0.0007*$B62 - dis_BMI*($C62-21.75)) - 0.19*0.5)*AX62</f>
        <v>7.8171864627398273E-8</v>
      </c>
      <c r="CC62">
        <f>0.962*(0.955*0.943*(0.9442 - 0.0007*$B62 - dis_BMI*($C62-21.75)) - 0.15*0.5)*AY62</f>
        <v>2.687776237846443E-8</v>
      </c>
      <c r="CD62">
        <f>0.962*(0.955*0.943*(0.9442 - 0.0007*$B62 - dis_BMI*($C62-21.75)))*AZ62</f>
        <v>-9.4361389869972375E-8</v>
      </c>
      <c r="CE62">
        <f>0.962*(0.93*(0.9442 - 0.0007*$B62 - dis_BMI*($C62-21.75)))*BA62</f>
        <v>1.3160387667315326E-6</v>
      </c>
      <c r="CF62">
        <f>0.962*(0.93*(0.9442 - 0.0007*$B62 - dis_BMI*($C62-21.75)))*BB62</f>
        <v>8.5030247429363806E-7</v>
      </c>
      <c r="CG62">
        <f>0.962*(0.93*0.943*(0.9442 - 0.0007*$B62 - dis_BMI*($C62-21.75)))*BC62</f>
        <v>1.6840032632965838E-8</v>
      </c>
      <c r="CH62">
        <f>0.962*(0.93*0.943*(0.9442 - 0.0007*$B62 - dis_BMI*($C62-21.75))-0.19*0.5)*BD62</f>
        <v>6.6758715412907592E-8</v>
      </c>
      <c r="CI62">
        <f>0.962*(0.93*0.943*(0.9442 - 0.0007*$B62 - dis_BMI*($C62-21.75)))*BE62</f>
        <v>-9.1607764303682739E-8</v>
      </c>
      <c r="CJ62">
        <f t="shared" si="64"/>
        <v>0</v>
      </c>
      <c r="CK62">
        <f t="shared" si="65"/>
        <v>1.1975625900618672E-4</v>
      </c>
      <c r="CL62">
        <f>CK62/(1+r_)^A62</f>
        <v>2.0936397886624318E-5</v>
      </c>
      <c r="CM62">
        <f t="shared" si="66"/>
        <v>0</v>
      </c>
      <c r="CN62">
        <f>AE62*c_Other</f>
        <v>2.6855204561064293E-2</v>
      </c>
      <c r="CO62">
        <f>AF62*(c_Stroke1+c_Stroke2)</f>
        <v>1.1888977828529464E-2</v>
      </c>
      <c r="CP62">
        <f>AG62*c_Stroke2</f>
        <v>-1.3128923172151738E-3</v>
      </c>
      <c r="CQ62">
        <f>AH62*(c_MI1+c_MI2)</f>
        <v>1.0171480895715046E-2</v>
      </c>
      <c r="CR62">
        <f>AI62*c_MI2</f>
        <v>7.1790064093204707E-4</v>
      </c>
      <c r="CS62">
        <f>AJ62*(c_Stroke1+c_Stroke2+c_MI2)</f>
        <v>3.0647950110483489E-4</v>
      </c>
      <c r="CT62">
        <f>AK62*(c_Stroke2+c_MI1+c_MI2)</f>
        <v>1.4482910392048007E-4</v>
      </c>
      <c r="CU62">
        <f>AL62*(c_Stroke2+c_MI2)</f>
        <v>-1.0446331832632876E-4</v>
      </c>
      <c r="CV62">
        <f>AM62*(c_HF1)</f>
        <v>6.2130066731925305E-3</v>
      </c>
      <c r="CW62">
        <f>AN62*(c_HF2)</f>
        <v>4.6366933399921515E-3</v>
      </c>
      <c r="CX62">
        <f>AO62*(c_Stroke2+c_HF1)</f>
        <v>7.9837305686452728E-5</v>
      </c>
      <c r="CY62">
        <f>AP62*(c_Stroke1+c_Stroke2+c_HF2)</f>
        <v>4.4584613738510542E-4</v>
      </c>
      <c r="CZ62">
        <f>AQ62*(c_Stroke2+c_HF2)</f>
        <v>-2.2549091040478532E-4</v>
      </c>
      <c r="DA62">
        <f>AR62*c_DM</f>
        <v>1.2212384191100409</v>
      </c>
      <c r="DB62">
        <f>AS62*(c_Other+c_DM)</f>
        <v>0.28070061029284715</v>
      </c>
      <c r="DC62">
        <f>AT62*(c_Stroke1+c_Stroke2+c_DM)</f>
        <v>0.13930246896097809</v>
      </c>
      <c r="DD62">
        <f>AU62*(c_Stroke2+c_DM)</f>
        <v>-3.876640597153911E-2</v>
      </c>
      <c r="DE62">
        <f>AV62*(c_MI1+c_MI2+c_DM)</f>
        <v>0.11286550464169733</v>
      </c>
      <c r="DF62">
        <f>AW62*(c_MI2+c_DM)</f>
        <v>1.3763238598805655E-2</v>
      </c>
      <c r="DG62">
        <f>AX62*(c_Stroke1+c_Stroke2+c_MI2+c_DM)</f>
        <v>4.8591698917003368E-3</v>
      </c>
      <c r="DH62">
        <f>AY62*(c_Stroke2+c_MI1+c_MI2+c_DM)</f>
        <v>1.9884483096096728E-3</v>
      </c>
      <c r="DI62">
        <f>AZ62*(c_Stroke2+c_MI2+c_DM)</f>
        <v>-2.8025758754014344E-3</v>
      </c>
      <c r="DJ62">
        <f>BA62*(c_HF1+c_DM)</f>
        <v>6.9171890916455744E-2</v>
      </c>
      <c r="DK62">
        <f>BB62*(c_HF2+c_DM)</f>
        <v>3.1414318183687125E-2</v>
      </c>
      <c r="DL62">
        <f>BC62*(c_Stroke2+c_HF1+c_DM)</f>
        <v>1.0972798086775492E-3</v>
      </c>
      <c r="DM62">
        <f>BD62*(c_Stroke1+c_Stroke2+c_HF2+c_DM)</f>
        <v>5.6711782624341263E-3</v>
      </c>
      <c r="DN62">
        <f>BE62*(c_Stroke2+c_HF2+c_DM)</f>
        <v>-4.4520731832520411E-3</v>
      </c>
      <c r="DO62">
        <f t="shared" si="67"/>
        <v>0</v>
      </c>
      <c r="DP62">
        <f t="shared" si="68"/>
        <v>1.8958688813883176</v>
      </c>
      <c r="DQ62">
        <f>DP62/(1+r_)^A62</f>
        <v>0.33144543400912868</v>
      </c>
    </row>
    <row r="63" spans="1:121" x14ac:dyDescent="0.3">
      <c r="A63">
        <v>60</v>
      </c>
      <c r="B63">
        <v>105</v>
      </c>
      <c r="C63">
        <f t="shared" si="40"/>
        <v>38</v>
      </c>
      <c r="D63">
        <f t="shared" si="1"/>
        <v>125</v>
      </c>
      <c r="E63">
        <f t="shared" si="42"/>
        <v>5.7</v>
      </c>
      <c r="F63">
        <v>0.42858000000000002</v>
      </c>
      <c r="G63">
        <v>0.46333000000000002</v>
      </c>
      <c r="H63">
        <f t="shared" si="55"/>
        <v>0.43553000000000003</v>
      </c>
      <c r="I63">
        <f t="shared" si="56"/>
        <v>5.6857293942168513E-2</v>
      </c>
      <c r="J63">
        <f t="shared" si="23"/>
        <v>0.57310499833488282</v>
      </c>
      <c r="K63">
        <f t="shared" si="24"/>
        <v>0.6964237149381588</v>
      </c>
      <c r="L63">
        <f t="shared" si="25"/>
        <v>0.33166466715144061</v>
      </c>
      <c r="M63">
        <f t="shared" si="26"/>
        <v>0.43126992526541685</v>
      </c>
      <c r="N63">
        <f t="shared" si="27"/>
        <v>0.92801154201227287</v>
      </c>
      <c r="O63">
        <f t="shared" si="28"/>
        <v>0.97571572759014824</v>
      </c>
      <c r="P63">
        <f t="shared" si="29"/>
        <v>0.7259063709761735</v>
      </c>
      <c r="Q63">
        <f t="shared" si="30"/>
        <v>0.83939560319661821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4.7017718560099925E-2</v>
      </c>
      <c r="U63">
        <f t="shared" si="31"/>
        <v>0.8431571675247449</v>
      </c>
      <c r="V63">
        <f t="shared" si="32"/>
        <v>0.92531124698312461</v>
      </c>
      <c r="W63">
        <f t="shared" si="33"/>
        <v>0.58396113065235666</v>
      </c>
      <c r="X63">
        <f t="shared" si="34"/>
        <v>0.70718028239037034</v>
      </c>
      <c r="Y63">
        <f t="shared" si="35"/>
        <v>0.98863791086410013</v>
      </c>
      <c r="Z63">
        <f t="shared" si="36"/>
        <v>0.99821193226322003</v>
      </c>
      <c r="AA63">
        <f t="shared" si="37"/>
        <v>0.88946516367156458</v>
      </c>
      <c r="AB63">
        <f t="shared" si="38"/>
        <v>0.95548822357778429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6.9214818918482662E-2</v>
      </c>
      <c r="AD63">
        <f t="shared" si="57"/>
        <v>1.1930850763684923E-5</v>
      </c>
      <c r="AE63">
        <f t="shared" si="58"/>
        <v>9.0154034868275705E-7</v>
      </c>
      <c r="AF63">
        <f t="shared" si="59"/>
        <v>2.650489751439138E-7</v>
      </c>
      <c r="AG63">
        <f t="shared" si="60"/>
        <v>-1.2030946514056121E-7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1.8508743448471297E-7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9.8078912234661464E-8</v>
      </c>
      <c r="AJ63">
        <f t="shared" si="61"/>
        <v>5.8234284918264625E-9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2.0683877499069573E-9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-5.729341984966857E-9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1.1978349301968372E-7</v>
      </c>
      <c r="AN63">
        <f t="shared" si="62"/>
        <v>1.1631589107790143E-7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1.1957171639723368E-9</v>
      </c>
      <c r="AP63">
        <f>AM62*T62*p_Stroke*p_Stroke_rec*(1-I62) + AN62*T62*p_Stroke*p_Stroke_rec*(1-I62) + AO62*(p_recur_Stroke*p_Stroke_rec)*(1-I62) + AP62*(p_recur_Stroke*p_Stroke_rec)*(1-I62) + AQ62*(p_recur_Stroke*p_Stroke_rec)*(1-I62)</f>
        <v>5.2276506542407855E-9</v>
      </c>
      <c r="AQ63">
        <f>AO62*(1-p_recur_Stroke-H62*rr_Stroke*rr_HF)*(1-I62) + AP62*(1-p_recur_Stroke-H62*rr_Stroke*rr_HF)*(1-I62) + AQ62*(1-p_recur_Stroke-H62*rr_Stroke*rr_HF)*(1-I62)</f>
        <v>-4.8854023186104914E-9</v>
      </c>
      <c r="AR63">
        <f>AR62*(1-AC62-H62*rr_DM) + AD62*(1-T62-H62)*I62</f>
        <v>4.9279360536401773E-5</v>
      </c>
      <c r="AS63">
        <f>AR62*AC62*p_Other + AD62*T62*p_Other*I62 + AE62*(1-T62*p_Stroke-T62*p_MI-H62*rr_Other)*I62 + AS62*(1-AC62*p_Stroke-AC62*p_MI-H62*rr_Other*rr_DM)</f>
        <v>4.7589385483057145E-6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1.9196241103694603E-6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-1.1331153610254558E-6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1.3477478429195529E-6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2.8949905028977838E-7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5.8280304467842747E-8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1.9423481893263359E-8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-5.8740971189229818E-8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8.5485939222511916E-7</v>
      </c>
      <c r="BB63">
        <f>AM62*(1-T62*p_Stroke - H62*rr_HF)*I62 + AN62*(1-T62*p_Stroke - H62*rr_HF)*I62 + BA62*(1-AC62*p_Stroke - H62*rr_HF*rr_DM) + BB62*(1-AC62*p_Stroke - H62*rr_HF*rr_DM)</f>
        <v>3.4936962287093824E-7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1.0863029519659005E-8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4.3541910468065084E-8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-6.1162137787486236E-9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0.97492876636792292</v>
      </c>
      <c r="BG63">
        <f t="shared" si="63"/>
        <v>0.97499999999999964</v>
      </c>
      <c r="BH63">
        <f>(0.9442 - 0.0007*$B63 - dis_BMI*($C63-21.75))*AD63</f>
        <v>9.7483998877378578E-6</v>
      </c>
      <c r="BI63">
        <f>0.959*(0.9442 - 0.0007*$B63 - dis_BMI*($C63-21.75))*AE63</f>
        <v>7.0642441110356509E-7</v>
      </c>
      <c r="BJ63">
        <f>(0.943*(0.9442 - 0.0007*$B63 - dis_BMI*($C63-21.75)) - 0.19*0.5)*AF63</f>
        <v>1.7904103991919587E-7</v>
      </c>
      <c r="BK63">
        <f>(0.943*(0.9442 - 0.0007*$B63 - dis_BMI*($C63-21.75)))*AG63</f>
        <v>-9.2698650424629769E-8</v>
      </c>
      <c r="BL63">
        <f>(0.955*(0.9442 - 0.0007*$B63 - dis_BMI*($C63-21.75)) - 0.15*0.5)*AH63</f>
        <v>1.305433937463215E-7</v>
      </c>
      <c r="BM63">
        <f>(0.955*(0.9442 - 0.0007*$B63 - dis_BMI*($C63-21.75)))*AI63</f>
        <v>7.6531624989499891E-8</v>
      </c>
      <c r="BN63">
        <f>(0.955*0.943*(0.9442 - 0.0007*$B63 - dis_BMI*($C63-21.75)) - 0.19*0.5)*AJ63</f>
        <v>3.7318227152164337E-9</v>
      </c>
      <c r="BO63">
        <f>(0.955*0.943*(0.9442 - 0.0007*$B63 - dis_BMI*($C63-21.75)) - 0.15*0.5)*AK63</f>
        <v>1.3668509132119092E-9</v>
      </c>
      <c r="BP63">
        <f>(0.955*0.943*(0.9442 - 0.0007*$B63 - dis_BMI*($C63-21.75)))*AL63</f>
        <v>-4.2158168278179523E-9</v>
      </c>
      <c r="BQ63">
        <f>(0.93*(0.9442 - 0.0007*$B63 - dis_BMI*($C63-21.75)))*AM63</f>
        <v>9.1021050729924013E-8</v>
      </c>
      <c r="BR63">
        <f>(0.93*(0.9442 - 0.0007*$B63 - dis_BMI*($C63-21.75)))*AN63</f>
        <v>8.8386090233302973E-8</v>
      </c>
      <c r="BS63">
        <f>(0.93*0.943*(0.9442 - 0.0007*$B63 - dis_BMI*($C63-21.75)))*AO63</f>
        <v>8.5681098783109793E-10</v>
      </c>
      <c r="BT63">
        <f>(0.93*0.943*(0.9442 - 0.0007*$B63 - dis_BMI*($C63-21.75))-0.19*0.5)*AP63</f>
        <v>3.2493330653617363E-9</v>
      </c>
      <c r="BU63">
        <f>(0.93*0.943*(0.9442 - 0.0007*$B63 - dis_BMI*($C63-21.75)))*AQ63</f>
        <v>-3.5007161498417966E-9</v>
      </c>
      <c r="BV63">
        <f>0.962*(0.9442 - 0.0007*$B63 - dis_BMI*($C63-21.75))*AR63</f>
        <v>3.8734866036889817E-5</v>
      </c>
      <c r="BW63">
        <f>0.962*0.959*(0.9442 - 0.0007*$B63 - dis_BMI*($C63-21.75))*AS63</f>
        <v>3.5872834892576645E-6</v>
      </c>
      <c r="BX63">
        <f>0.962*(0.943*(0.9442 - 0.0007*$B63 - dis_BMI*($C63-21.75)) - 0.19*0.5)*AT63</f>
        <v>1.2474344407857265E-6</v>
      </c>
      <c r="BY63">
        <f>0.962*(0.943*(0.9442 - 0.0007*$B63 - dis_BMI*($C63-21.75)))*AU63</f>
        <v>-8.398907813629351E-7</v>
      </c>
      <c r="BZ63">
        <f>0.962*(0.955*(0.9442 - 0.0007*$B63 - dis_BMI*($C63-21.75)) - 0.15*0.5)*AV63</f>
        <v>9.1445361410787628E-7</v>
      </c>
      <c r="CA63">
        <f>0.962*(0.955*(0.9442 - 0.0007*$B63 - dis_BMI*($C63-21.75)))*AW63</f>
        <v>2.1731390185117395E-7</v>
      </c>
      <c r="CB63">
        <f>0.962*(0.955*0.943*(0.9442 - 0.0007*$B63 - dis_BMI*($C63-21.75)) - 0.19*0.5)*AX63</f>
        <v>3.5928504543689509E-8</v>
      </c>
      <c r="CC63">
        <f>0.962*(0.955*0.943*(0.9442 - 0.0007*$B63 - dis_BMI*($C63-21.75)) - 0.15*0.5)*AY63</f>
        <v>1.2347850065392974E-8</v>
      </c>
      <c r="CD63">
        <f>0.962*(0.955*0.943*(0.9442 - 0.0007*$B63 - dis_BMI*($C63-21.75)))*AZ63</f>
        <v>-4.1580832633796691E-8</v>
      </c>
      <c r="CE63">
        <f>0.962*(0.93*(0.9442 - 0.0007*$B63 - dis_BMI*($C63-21.75)))*BA63</f>
        <v>6.2490590828170683E-7</v>
      </c>
      <c r="CF63">
        <f>0.962*(0.93*(0.9442 - 0.0007*$B63 - dis_BMI*($C63-21.75)))*BB63</f>
        <v>2.5539070342074183E-7</v>
      </c>
      <c r="CG63">
        <f>0.962*(0.93*0.943*(0.9442 - 0.0007*$B63 - dis_BMI*($C63-21.75)))*BC63</f>
        <v>7.4882889761283187E-9</v>
      </c>
      <c r="CH63">
        <f>0.962*(0.93*0.943*(0.9442 - 0.0007*$B63 - dis_BMI*($C63-21.75))-0.19*0.5)*BD63</f>
        <v>2.6035757929769419E-8</v>
      </c>
      <c r="CI63">
        <f>0.962*(0.93*0.943*(0.9442 - 0.0007*$B63 - dis_BMI*($C63-21.75)))*BE63</f>
        <v>-4.2161329058493735E-9</v>
      </c>
      <c r="CJ63">
        <f t="shared" si="64"/>
        <v>0</v>
      </c>
      <c r="CK63">
        <f t="shared" si="65"/>
        <v>5.5706897881946106E-5</v>
      </c>
      <c r="CL63">
        <f>CK63/(1+r_)^A63</f>
        <v>9.4553039127317472E-6</v>
      </c>
      <c r="CM63">
        <f t="shared" si="66"/>
        <v>0</v>
      </c>
      <c r="CN63">
        <f>AE63*c_Other</f>
        <v>1.2873094638841088E-2</v>
      </c>
      <c r="CO63">
        <f>AF63*(c_Stroke1+c_Stroke2)</f>
        <v>6.3124063920274509E-3</v>
      </c>
      <c r="CP63">
        <f>AG63*c_Stroke2</f>
        <v>-7.8201152341364792E-4</v>
      </c>
      <c r="CQ63">
        <f>AH63*(c_MI1+c_MI2)</f>
        <v>5.3954838026638681E-3</v>
      </c>
      <c r="CR63">
        <f>AI63*c_MI2</f>
        <v>3.0571196943543976E-4</v>
      </c>
      <c r="CS63">
        <f>AJ63*(c_Stroke1+c_Stroke2+c_MI2)</f>
        <v>1.5684239957036212E-4</v>
      </c>
      <c r="CT63">
        <f>AK63*(c_Stroke2+c_MI1+c_MI2)</f>
        <v>7.3740091671932939E-5</v>
      </c>
      <c r="CU63">
        <f>AL63*(c_Stroke2+c_MI2)</f>
        <v>-5.5099081869426266E-5</v>
      </c>
      <c r="CV63">
        <f>AM63*(c_HF1)</f>
        <v>3.2377478163220508E-3</v>
      </c>
      <c r="CW63">
        <f>AN63*(c_HF2)</f>
        <v>1.8151094802706519E-3</v>
      </c>
      <c r="CX63">
        <f>AO63*(c_Stroke2+c_HF1)</f>
        <v>4.0092396507992457E-5</v>
      </c>
      <c r="CY63">
        <f>AP63*(c_Stroke1+c_Stroke2+c_HF2)</f>
        <v>2.06079216440826E-4</v>
      </c>
      <c r="CZ63">
        <f>AQ63*(c_Stroke2+c_HF2)</f>
        <v>-1.0799181825288491E-4</v>
      </c>
      <c r="DA63">
        <f>AR63*c_DM</f>
        <v>0.56301669412839028</v>
      </c>
      <c r="DB63">
        <f>AS63*(c_Other+c_DM)</f>
        <v>0.12232375644565008</v>
      </c>
      <c r="DC63">
        <f>AT63*(c_Stroke1+c_Stroke2+c_DM)</f>
        <v>6.7649473273530145E-2</v>
      </c>
      <c r="DD63">
        <f>AU63*(c_Stroke2+c_DM)</f>
        <v>-2.0311092846381294E-2</v>
      </c>
      <c r="DE63">
        <f>AV63*(c_MI1+c_MI2+c_DM)</f>
        <v>5.468621647430378E-2</v>
      </c>
      <c r="DF63">
        <f>AW63*(c_MI2+c_DM)</f>
        <v>4.2098951893139568E-3</v>
      </c>
      <c r="DG63">
        <f>AX63*(c_Stroke1+c_Stroke2+c_MI2+c_DM)</f>
        <v>2.235515918777512E-3</v>
      </c>
      <c r="DH63">
        <f>AY63*(c_Stroke2+c_MI1+c_MI2+c_DM)</f>
        <v>9.1437983360726589E-4</v>
      </c>
      <c r="DI63">
        <f>AZ63*(c_Stroke2+c_MI2+c_DM)</f>
        <v>-1.2360275157637739E-3</v>
      </c>
      <c r="DJ63">
        <f>BA63*(c_HF1+c_DM)</f>
        <v>3.2873617928016956E-2</v>
      </c>
      <c r="DK63">
        <f>BB63*(c_HF2+c_DM)</f>
        <v>9.4434609062014601E-3</v>
      </c>
      <c r="DL63">
        <f>BC63*(c_Stroke2+c_HF1+c_DM)</f>
        <v>4.883474920562706E-4</v>
      </c>
      <c r="DM63">
        <f>BD63*(c_Stroke1+c_Stroke2+c_HF2+c_DM)</f>
        <v>2.2139319796592371E-3</v>
      </c>
      <c r="DN63">
        <f>BE63*(c_Stroke2+c_HF2+c_DM)</f>
        <v>-2.0507664800144135E-4</v>
      </c>
      <c r="DO63">
        <f t="shared" si="67"/>
        <v>0</v>
      </c>
      <c r="DP63">
        <f t="shared" si="68"/>
        <v>0.86777429833957598</v>
      </c>
      <c r="DQ63">
        <f>DP63/(1+r_)^A63</f>
        <v>0.14729001309400497</v>
      </c>
    </row>
    <row r="64" spans="1:121" x14ac:dyDescent="0.3">
      <c r="A64">
        <v>61</v>
      </c>
      <c r="B64">
        <v>106</v>
      </c>
      <c r="C64">
        <f t="shared" si="40"/>
        <v>38</v>
      </c>
      <c r="D64">
        <f t="shared" si="1"/>
        <v>125</v>
      </c>
      <c r="E64">
        <f t="shared" si="42"/>
        <v>5.7</v>
      </c>
      <c r="F64">
        <v>0.44868999999999998</v>
      </c>
      <c r="G64">
        <v>0.48133999999999999</v>
      </c>
      <c r="H64">
        <f t="shared" si="55"/>
        <v>0.45521999999999996</v>
      </c>
      <c r="I64">
        <f t="shared" si="56"/>
        <v>5.6857293942168513E-2</v>
      </c>
      <c r="J64">
        <f t="shared" si="23"/>
        <v>0.58249453649048166</v>
      </c>
      <c r="K64">
        <f t="shared" si="24"/>
        <v>0.70573363380590015</v>
      </c>
      <c r="L64">
        <f t="shared" si="25"/>
        <v>0.33866439294686601</v>
      </c>
      <c r="M64">
        <f t="shared" si="26"/>
        <v>0.43959445185677404</v>
      </c>
      <c r="N64">
        <f t="shared" si="27"/>
        <v>0.93346635150614188</v>
      </c>
      <c r="O64">
        <f t="shared" si="28"/>
        <v>0.97827446644708815</v>
      </c>
      <c r="P64">
        <f t="shared" si="29"/>
        <v>0.7363269705039529</v>
      </c>
      <c r="Q64">
        <f t="shared" si="30"/>
        <v>0.84795495887958205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4.7780062789404998E-2</v>
      </c>
      <c r="U64">
        <f t="shared" si="31"/>
        <v>0.85056789379399833</v>
      </c>
      <c r="V64">
        <f t="shared" si="32"/>
        <v>0.93020636519280675</v>
      </c>
      <c r="W64">
        <f t="shared" si="33"/>
        <v>0.59338564721912612</v>
      </c>
      <c r="X64">
        <f t="shared" si="34"/>
        <v>0.71642774071581083</v>
      </c>
      <c r="Y64">
        <f t="shared" si="35"/>
        <v>0.99006369239299841</v>
      </c>
      <c r="Z64">
        <f t="shared" si="36"/>
        <v>0.99852054707369575</v>
      </c>
      <c r="AA64">
        <f t="shared" si="37"/>
        <v>0.89652037250303829</v>
      </c>
      <c r="AB64">
        <f t="shared" si="38"/>
        <v>0.95944906933285146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6.9980541212407349E-2</v>
      </c>
      <c r="AD64">
        <f t="shared" si="57"/>
        <v>5.8226291448736067E-6</v>
      </c>
      <c r="AE64">
        <f t="shared" si="58"/>
        <v>4.1966397909539462E-7</v>
      </c>
      <c r="AF64">
        <f t="shared" si="59"/>
        <v>1.354806104111691E-7</v>
      </c>
      <c r="AG64">
        <f t="shared" si="60"/>
        <v>-6.7374898950660288E-8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9.4526629582999676E-8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3.9244995044610929E-8</v>
      </c>
      <c r="AJ64">
        <f t="shared" si="61"/>
        <v>2.882192019947014E-9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1.0191895981374824E-9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-2.9123761030503847E-9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6.0219806145176858E-8</v>
      </c>
      <c r="AN64">
        <f t="shared" si="62"/>
        <v>4.3760466954520395E-8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5.8209243949753008E-10</v>
      </c>
      <c r="AP64">
        <f>AM63*T63*p_Stroke*p_Stroke_rec*(1-I63) + AN63*T63*p_Stroke*p_Stroke_rec*(1-I63) + AO63*(p_recur_Stroke*p_Stroke_rec)*(1-I63) + AP63*(p_recur_Stroke*p_Stroke_rec)*(1-I63) + AQ63*(p_recur_Stroke*p_Stroke_rec)*(1-I63)</f>
        <v>2.3755238848967533E-9</v>
      </c>
      <c r="AQ64">
        <f>AO63*(1-p_recur_Stroke-H63*rr_Stroke*rr_HF)*(1-I63) + AP63*(1-p_recur_Stroke-H63*rr_Stroke*rr_HF)*(1-I63) + AQ63*(1-p_recur_Stroke-H63*rr_Stroke*rr_HF)*(1-I63)</f>
        <v>-2.3223423379740868E-9</v>
      </c>
      <c r="AR64">
        <f>AR63*(1-AC63-H63*rr_DM) + AD63*(1-T63-H63)*I63</f>
        <v>2.153747944418831E-5</v>
      </c>
      <c r="AS64">
        <f>AR63*AC63*p_Other + AD63*T63*p_Other*I63 + AE63*(1-T63*p_Stroke-T63*p_MI-H63*rr_Other)*I63 + AS63*(1-AC63*p_Stroke-AC63*p_MI-H63*rr_Other*rr_DM)</f>
        <v>1.9832237846107059E-6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8.8643513507702195E-7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-5.5691245121662579E-7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6.2130078379043449E-7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6.560058367145591E-8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2.6246129260665522E-8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8.7861914792188191E-9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-3.3380420735628249E-8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3.8764906100016315E-7</v>
      </c>
      <c r="BB64">
        <f>AM63*(1-T63*p_Stroke - H63*rr_HF)*I63 + AN63*(1-T63*p_Stroke - H63*rr_HF)*I63 + BA63*(1-AC63*p_Stroke - H63*rr_HF*rr_DM) + BB63*(1-AC63*p_Stroke - H63*rr_HF*rr_DM)</f>
        <v>8.996433128943364E-8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5.1383634275722537E-9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2.3111248033999824E-8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-9.5423134646015383E-8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0.97496850100593768</v>
      </c>
      <c r="BG64">
        <f t="shared" si="63"/>
        <v>0.97499999999999953</v>
      </c>
      <c r="BH64">
        <f>(0.9442 - 0.0007*$B64 - dis_BMI*($C64-21.75))*AD64</f>
        <v>4.7534488681461902E-6</v>
      </c>
      <c r="BI64">
        <f>0.959*(0.9442 - 0.0007*$B64 - dis_BMI*($C64-21.75))*AE64</f>
        <v>3.2855645051570861E-7</v>
      </c>
      <c r="BJ64">
        <f>(0.943*(0.9442 - 0.0007*$B64 - dis_BMI*($C64-21.75)) - 0.19*0.5)*AF64</f>
        <v>9.1427955285865267E-8</v>
      </c>
      <c r="BK64">
        <f>(0.943*(0.9442 - 0.0007*$B64 - dis_BMI*($C64-21.75)))*AG64</f>
        <v>-5.1868001692387107E-8</v>
      </c>
      <c r="BL64">
        <f>(0.955*(0.9442 - 0.0007*$B64 - dis_BMI*($C64-21.75)) - 0.15*0.5)*AH64</f>
        <v>6.6607067031934426E-8</v>
      </c>
      <c r="BM64">
        <f>(0.955*(0.9442 - 0.0007*$B64 - dis_BMI*($C64-21.75)))*AI64</f>
        <v>3.0596894352214754E-8</v>
      </c>
      <c r="BN64">
        <f>(0.955*0.943*(0.9442 - 0.0007*$B64 - dis_BMI*($C64-21.75)) - 0.19*0.5)*AJ64</f>
        <v>1.8451757338341633E-9</v>
      </c>
      <c r="BO64">
        <f>(0.955*0.943*(0.9442 - 0.0007*$B64 - dis_BMI*($C64-21.75)) - 0.15*0.5)*AK64</f>
        <v>6.7286770061434876E-10</v>
      </c>
      <c r="BP64">
        <f>(0.955*0.943*(0.9442 - 0.0007*$B64 - dis_BMI*($C64-21.75)))*AL64</f>
        <v>-2.1411752759532189E-9</v>
      </c>
      <c r="BQ64">
        <f>(0.93*(0.9442 - 0.0007*$B64 - dis_BMI*($C64-21.75)))*AM64</f>
        <v>4.5720608144844947E-8</v>
      </c>
      <c r="BR64">
        <f>(0.93*(0.9442 - 0.0007*$B64 - dis_BMI*($C64-21.75)))*AN64</f>
        <v>3.3224204625296827E-8</v>
      </c>
      <c r="BS64">
        <f>(0.93*0.943*(0.9442 - 0.0007*$B64 - dis_BMI*($C64-21.75)))*AO64</f>
        <v>4.1675066025638326E-10</v>
      </c>
      <c r="BT64">
        <f>(0.93*0.943*(0.9442 - 0.0007*$B64 - dis_BMI*($C64-21.75))-0.19*0.5)*AP64</f>
        <v>1.475087996965772E-9</v>
      </c>
      <c r="BU64">
        <f>(0.93*0.943*(0.9442 - 0.0007*$B64 - dis_BMI*($C64-21.75)))*AQ64</f>
        <v>-1.6626872933232114E-9</v>
      </c>
      <c r="BV64">
        <f>0.962*(0.9442 - 0.0007*$B64 - dis_BMI*($C64-21.75))*AR64</f>
        <v>1.6914518709561761E-5</v>
      </c>
      <c r="BW64">
        <f>0.962*0.959*(0.9442 - 0.0007*$B64 - dis_BMI*($C64-21.75))*AS64</f>
        <v>1.4936715127319387E-6</v>
      </c>
      <c r="BX64">
        <f>0.962*(0.943*(0.9442 - 0.0007*$B64 - dis_BMI*($C64-21.75)) - 0.19*0.5)*AT64</f>
        <v>5.7547160058599797E-7</v>
      </c>
      <c r="BY64">
        <f>0.962*(0.943*(0.9442 - 0.0007*$B64 - dis_BMI*($C64-21.75)))*AU64</f>
        <v>-4.1244247974310147E-7</v>
      </c>
      <c r="BZ64">
        <f>0.962*(0.955*(0.9442 - 0.0007*$B64 - dis_BMI*($C64-21.75)) - 0.15*0.5)*AV64</f>
        <v>4.2115611501577947E-7</v>
      </c>
      <c r="CA64">
        <f>0.962*(0.955*(0.9442 - 0.0007*$B64 - dis_BMI*($C64-21.75)))*AW64</f>
        <v>4.9201216842523762E-8</v>
      </c>
      <c r="CB64">
        <f>0.962*(0.955*0.943*(0.9442 - 0.0007*$B64 - dis_BMI*($C64-21.75)) - 0.19*0.5)*AX64</f>
        <v>1.616423510484732E-8</v>
      </c>
      <c r="CC64">
        <f>0.962*(0.955*0.943*(0.9442 - 0.0007*$B64 - dis_BMI*($C64-21.75)) - 0.15*0.5)*AY64</f>
        <v>5.5802086076790531E-9</v>
      </c>
      <c r="CD64">
        <f>0.962*(0.955*0.943*(0.9442 - 0.0007*$B64 - dis_BMI*($C64-21.75)))*AZ64</f>
        <v>-2.3608676402744201E-8</v>
      </c>
      <c r="CE64">
        <f>0.962*(0.93*(0.9442 - 0.0007*$B64 - dis_BMI*($C64-21.75)))*BA64</f>
        <v>2.8313036816499813E-7</v>
      </c>
      <c r="CF64">
        <f>0.962*(0.93*(0.9442 - 0.0007*$B64 - dis_BMI*($C64-21.75)))*BB64</f>
        <v>6.5707973531463004E-8</v>
      </c>
      <c r="CG64">
        <f>0.962*(0.93*0.943*(0.9442 - 0.0007*$B64 - dis_BMI*($C64-21.75)))*BC64</f>
        <v>3.5390298687185868E-9</v>
      </c>
      <c r="CH64">
        <f>0.962*(0.93*0.943*(0.9442 - 0.0007*$B64 - dis_BMI*($C64-21.75))-0.19*0.5)*BD64</f>
        <v>1.3805654426254255E-8</v>
      </c>
      <c r="CI64">
        <f>0.962*(0.93*0.943*(0.9442 - 0.0007*$B64 - dis_BMI*($C64-21.75)))*BE64</f>
        <v>-6.5722350791088562E-8</v>
      </c>
      <c r="CJ64">
        <f t="shared" si="64"/>
        <v>0</v>
      </c>
      <c r="CK64">
        <f t="shared" si="65"/>
        <v>2.4638493183437093E-5</v>
      </c>
      <c r="CL64">
        <f>CK64/(1+r_)^A64</f>
        <v>4.0601627003623517E-6</v>
      </c>
      <c r="CM64">
        <f t="shared" si="66"/>
        <v>0</v>
      </c>
      <c r="CN64">
        <f>AE64*c_Other</f>
        <v>5.9923819575031399E-3</v>
      </c>
      <c r="CO64">
        <f>AF64*(c_Stroke1+c_Stroke2)</f>
        <v>3.2266062175524031E-3</v>
      </c>
      <c r="CP64">
        <f>AG64*c_Stroke2</f>
        <v>-4.3793684317929189E-4</v>
      </c>
      <c r="CQ64">
        <f>AH64*(c_MI1+c_MI2)</f>
        <v>2.7555457789740236E-3</v>
      </c>
      <c r="CR64">
        <f>AI64*c_MI2</f>
        <v>1.2232664955405228E-4</v>
      </c>
      <c r="CS64">
        <f>AJ64*(c_Stroke1+c_Stroke2+c_MI2)</f>
        <v>7.7626077673232922E-5</v>
      </c>
      <c r="CT64">
        <f>AK64*(c_Stroke2+c_MI1+c_MI2)</f>
        <v>3.6335128363199387E-5</v>
      </c>
      <c r="CU64">
        <f>AL64*(c_Stroke2+c_MI2)</f>
        <v>-2.8008320983035548E-5</v>
      </c>
      <c r="CV64">
        <f>AM64*(c_HF1)</f>
        <v>1.6277413601041306E-3</v>
      </c>
      <c r="CW64">
        <f>AN64*(c_HF2)</f>
        <v>6.8288208682529077E-4</v>
      </c>
      <c r="CX64">
        <f>AO64*(c_Stroke2+c_HF1)</f>
        <v>1.9517559496352185E-5</v>
      </c>
      <c r="CY64">
        <f>AP64*(c_Stroke1+c_Stroke2+c_HF2)</f>
        <v>9.3645527066514906E-5</v>
      </c>
      <c r="CZ64">
        <f>AQ64*(c_Stroke2+c_HF2)</f>
        <v>-5.1335377380917188E-5</v>
      </c>
      <c r="DA64">
        <f>AR64*c_DM</f>
        <v>0.24606570264985145</v>
      </c>
      <c r="DB64">
        <f>AS64*(c_Other+c_DM)</f>
        <v>5.0976784159633581E-2</v>
      </c>
      <c r="DC64">
        <f>AT64*(c_Stroke1+c_Stroke2+c_DM)</f>
        <v>3.1238860595249329E-2</v>
      </c>
      <c r="DD64">
        <f>AU64*(c_Stroke2+c_DM)</f>
        <v>-9.9826556880580168E-3</v>
      </c>
      <c r="DE64">
        <f>AV64*(c_MI1+c_MI2+c_DM)</f>
        <v>2.5209900603080669E-2</v>
      </c>
      <c r="DF64">
        <f>AW64*(c_MI2+c_DM)</f>
        <v>9.5396368775031183E-4</v>
      </c>
      <c r="DG64">
        <f>AX64*(c_Stroke1+c_Stroke2+c_MI2+c_DM)</f>
        <v>1.0067490261806082E-3</v>
      </c>
      <c r="DH64">
        <f>AY64*(c_Stroke2+c_MI1+c_MI2+c_DM)</f>
        <v>4.1361875007570514E-4</v>
      </c>
      <c r="DI64">
        <f>AZ64*(c_Stroke2+c_MI2+c_DM)</f>
        <v>-7.0239081311908964E-4</v>
      </c>
      <c r="DJ64">
        <f>BA64*(c_HF1+c_DM)</f>
        <v>1.4907044640761273E-2</v>
      </c>
      <c r="DK64">
        <f>BB64*(c_HF2+c_DM)</f>
        <v>2.4317358747533912E-3</v>
      </c>
      <c r="DL64">
        <f>BC64*(c_Stroke2+c_HF1+c_DM)</f>
        <v>2.3099512788651066E-4</v>
      </c>
      <c r="DM64">
        <f>BD64*(c_Stroke1+c_Stroke2+c_HF2+c_DM)</f>
        <v>1.1751145175367551E-3</v>
      </c>
      <c r="DN64">
        <f>BE64*(c_Stroke2+c_HF2+c_DM)</f>
        <v>-3.1995377046808958E-3</v>
      </c>
      <c r="DO64">
        <f t="shared" si="67"/>
        <v>0</v>
      </c>
      <c r="DP64">
        <f t="shared" si="68"/>
        <v>0.37484321322847064</v>
      </c>
      <c r="DQ64">
        <f>DP64/(1+r_)^A64</f>
        <v>6.1770191119370169E-2</v>
      </c>
    </row>
    <row r="65" spans="1:121" x14ac:dyDescent="0.3">
      <c r="A65">
        <v>62</v>
      </c>
      <c r="B65">
        <v>107</v>
      </c>
      <c r="C65">
        <f t="shared" si="40"/>
        <v>38</v>
      </c>
      <c r="D65">
        <f t="shared" si="1"/>
        <v>125</v>
      </c>
      <c r="E65">
        <f t="shared" si="42"/>
        <v>5.7</v>
      </c>
      <c r="F65">
        <v>0.46788999999999997</v>
      </c>
      <c r="G65">
        <v>0.49833</v>
      </c>
      <c r="H65">
        <f t="shared" si="55"/>
        <v>0.47397799999999995</v>
      </c>
      <c r="I65">
        <f t="shared" si="56"/>
        <v>5.6857293942168513E-2</v>
      </c>
      <c r="J65">
        <f t="shared" si="23"/>
        <v>0.59182617715766872</v>
      </c>
      <c r="K65">
        <f t="shared" si="24"/>
        <v>0.71490343641380494</v>
      </c>
      <c r="L65">
        <f t="shared" si="25"/>
        <v>0.34570358145163993</v>
      </c>
      <c r="M65">
        <f t="shared" si="26"/>
        <v>0.44793039868236773</v>
      </c>
      <c r="N65">
        <f t="shared" si="27"/>
        <v>0.93860531249483825</v>
      </c>
      <c r="O65">
        <f t="shared" si="28"/>
        <v>0.98060712331485422</v>
      </c>
      <c r="P65">
        <f t="shared" si="29"/>
        <v>0.74654926344738004</v>
      </c>
      <c r="Q65">
        <f t="shared" si="30"/>
        <v>0.85621678154516834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4.8538263859005636E-2</v>
      </c>
      <c r="U65">
        <f t="shared" si="31"/>
        <v>0.85774122375422202</v>
      </c>
      <c r="V65">
        <f t="shared" si="32"/>
        <v>0.93485298382338133</v>
      </c>
      <c r="W65">
        <f t="shared" si="33"/>
        <v>0.60274569763124086</v>
      </c>
      <c r="X65">
        <f t="shared" si="34"/>
        <v>0.7255273721095018</v>
      </c>
      <c r="Y65">
        <f t="shared" si="35"/>
        <v>0.99133398572807141</v>
      </c>
      <c r="Z65">
        <f t="shared" si="36"/>
        <v>0.99878055657330789</v>
      </c>
      <c r="AA65">
        <f t="shared" si="37"/>
        <v>0.90325382188712711</v>
      </c>
      <c r="AB65">
        <f t="shared" si="38"/>
        <v>0.96312671574465403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7.0731759747240927E-2</v>
      </c>
      <c r="AD65">
        <f t="shared" si="57"/>
        <v>2.7293100485970179E-6</v>
      </c>
      <c r="AE65">
        <f t="shared" si="58"/>
        <v>1.8926885487558918E-7</v>
      </c>
      <c r="AF65">
        <f t="shared" si="59"/>
        <v>6.6614249546786892E-8</v>
      </c>
      <c r="AG65">
        <f t="shared" si="60"/>
        <v>-3.567203520342795E-8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4.6445007776709078E-8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1.4592705243494736E-8</v>
      </c>
      <c r="AJ65">
        <f t="shared" si="61"/>
        <v>1.3785466928330236E-9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4.8529354409258479E-10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-1.4228011356852169E-9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2.9184151330716517E-8</v>
      </c>
      <c r="AN65">
        <f t="shared" si="62"/>
        <v>1.5740950781484954E-8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2.7409835446953045E-10</v>
      </c>
      <c r="AP65">
        <f>AM64*T64*p_Stroke*p_Stroke_rec*(1-I64) + AN64*T64*p_Stroke*p_Stroke_rec*(1-I64) + AO64*(p_recur_Stroke*p_Stroke_rec)*(1-I64) + AP64*(p_recur_Stroke*p_Stroke_rec)*(1-I64) + AQ64*(p_recur_Stroke*p_Stroke_rec)*(1-I64)</f>
        <v>1.0576420958766849E-9</v>
      </c>
      <c r="AQ65">
        <f>AO64*(1-p_recur_Stroke-H64*rr_Stroke*rr_HF)*(1-I64) + AP64*(1-p_recur_Stroke-H64*rr_Stroke*rr_HF)*(1-I64) + AQ64*(1-p_recur_Stroke-H64*rr_Stroke*rr_HF)*(1-I64)</f>
        <v>-1.0264744243514613E-9</v>
      </c>
      <c r="AR65">
        <f>AR64*(1-AC64-H64*rr_DM) + AD64*(1-T64-H64)*I64</f>
        <v>8.9198761456677475E-6</v>
      </c>
      <c r="AS65">
        <f>AR64*AC64*p_Other + AD64*T64*p_Other*I64 + AE64*(1-T64*p_Stroke-T64*p_MI-H64*rr_Other)*I64 + AS64*(1-AC64*p_Stroke-AC64*p_MI-H64*rr_Other*rr_DM)</f>
        <v>7.8851727704015004E-7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3.8868695001792366E-7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-2.5718789855865114E-7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2.7208736401800233E-7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2.7135652241743082E-9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1.0437030106743981E-8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3.416816074385252E-9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-3.1633156027344486E-9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1.6740017214838013E-7</v>
      </c>
      <c r="BB65">
        <f>AM64*(1-T64*p_Stroke - H64*rr_HF)*I64 + AN64*(1-T64*p_Stroke - H64*rr_HF)*I64 + BA64*(1-AC64*p_Stroke - H64*rr_HF*rr_DM) + BB64*(1-AC64*p_Stroke - H64*rr_HF*rr_DM)</f>
        <v>1.5816576849854711E-8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1.5411087155277657E-9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-2.79754074422592E-10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1.4114943899115337E-7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0.97498649275828486</v>
      </c>
      <c r="BG65">
        <f t="shared" si="63"/>
        <v>0.97499999999999953</v>
      </c>
      <c r="BH65">
        <f>(0.9442 - 0.0007*$B65 - dis_BMI*($C65-21.75))*AD65</f>
        <v>2.2262299738893729E-6</v>
      </c>
      <c r="BI65">
        <f>0.959*(0.9442 - 0.0007*$B65 - dis_BMI*($C65-21.75))*AE65</f>
        <v>1.4805221639941973E-7</v>
      </c>
      <c r="BJ65">
        <f>(0.943*(0.9442 - 0.0007*$B65 - dis_BMI*($C65-21.75)) - 0.19*0.5)*AF65</f>
        <v>4.4910096346183352E-8</v>
      </c>
      <c r="BK65">
        <f>(0.943*(0.9442 - 0.0007*$B65 - dis_BMI*($C65-21.75)))*AG65</f>
        <v>-2.7438270437626399E-8</v>
      </c>
      <c r="BL65">
        <f>(0.955*(0.9442 - 0.0007*$B65 - dis_BMI*($C65-21.75)) - 0.15*0.5)*AH65</f>
        <v>3.2695874707691974E-8</v>
      </c>
      <c r="BM65">
        <f>(0.955*(0.9442 - 0.0007*$B65 - dis_BMI*($C65-21.75)))*AI65</f>
        <v>1.1367274131260628E-8</v>
      </c>
      <c r="BN65">
        <f>(0.955*0.943*(0.9442 - 0.0007*$B65 - dis_BMI*($C65-21.75)) - 0.19*0.5)*AJ65</f>
        <v>8.8167484252140891E-10</v>
      </c>
      <c r="BO65">
        <f>(0.955*0.943*(0.9442 - 0.0007*$B65 - dis_BMI*($C65-21.75)) - 0.15*0.5)*AK65</f>
        <v>3.2008426523654472E-10</v>
      </c>
      <c r="BP65">
        <f>(0.955*0.943*(0.9442 - 0.0007*$B65 - dis_BMI*($C65-21.75)))*AL65</f>
        <v>-1.0451446916887729E-9</v>
      </c>
      <c r="BQ65">
        <f>(0.93*(0.9442 - 0.0007*$B65 - dis_BMI*($C65-21.75)))*AM65</f>
        <v>2.2138447852114443E-8</v>
      </c>
      <c r="BR65">
        <f>(0.93*(0.9442 - 0.0007*$B65 - dis_BMI*($C65-21.75)))*AN65</f>
        <v>1.19407350266796E-8</v>
      </c>
      <c r="BS65">
        <f>(0.93*0.943*(0.9442 - 0.0007*$B65 - dis_BMI*($C65-21.75)))*AO65</f>
        <v>1.9607319297050354E-10</v>
      </c>
      <c r="BT65">
        <f>(0.93*0.943*(0.9442 - 0.0007*$B65 - dis_BMI*($C65-21.75))-0.19*0.5)*AP65</f>
        <v>6.5609644788759604E-10</v>
      </c>
      <c r="BU65">
        <f>(0.93*0.943*(0.9442 - 0.0007*$B65 - dis_BMI*($C65-21.75)))*AQ65</f>
        <v>-7.342770016794235E-10</v>
      </c>
      <c r="BV65">
        <f>0.962*(0.9442 - 0.0007*$B65 - dis_BMI*($C65-21.75))*AR65</f>
        <v>6.9992426160630737E-6</v>
      </c>
      <c r="BW65">
        <f>0.962*0.959*(0.9442 - 0.0007*$B65 - dis_BMI*($C65-21.75))*AS65</f>
        <v>5.9336516221075773E-7</v>
      </c>
      <c r="BX65">
        <f>0.962*(0.943*(0.9442 - 0.0007*$B65 - dis_BMI*($C65-21.75)) - 0.19*0.5)*AT65</f>
        <v>2.5208782940367662E-7</v>
      </c>
      <c r="BY65">
        <f>0.962*(0.943*(0.9442 - 0.0007*$B65 - dis_BMI*($C65-21.75)))*AU65</f>
        <v>-1.9030686118394282E-7</v>
      </c>
      <c r="BZ65">
        <f>0.962*(0.955*(0.9442 - 0.0007*$B65 - dis_BMI*($C65-21.75)) - 0.15*0.5)*AV65</f>
        <v>1.8426267250962194E-7</v>
      </c>
      <c r="CA65">
        <f>0.962*(0.955*(0.9442 - 0.0007*$B65 - dis_BMI*($C65-21.75)))*AW65</f>
        <v>2.0334610594547539E-9</v>
      </c>
      <c r="CB65">
        <f>0.962*(0.955*0.943*(0.9442 - 0.0007*$B65 - dis_BMI*($C65-21.75)) - 0.19*0.5)*AX65</f>
        <v>6.4215368115559869E-9</v>
      </c>
      <c r="CC65">
        <f>0.962*(0.955*0.943*(0.9442 - 0.0007*$B65 - dis_BMI*($C65-21.75)) - 0.15*0.5)*AY65</f>
        <v>2.1679860592536774E-9</v>
      </c>
      <c r="CD65">
        <f>0.962*(0.955*0.943*(0.9442 - 0.0007*$B65 - dis_BMI*($C65-21.75)))*AZ65</f>
        <v>-2.2353720243621868E-9</v>
      </c>
      <c r="CE65">
        <f>0.962*(0.93*(0.9442 - 0.0007*$B65 - dis_BMI*($C65-21.75)))*BA65</f>
        <v>1.221605761922895E-7</v>
      </c>
      <c r="CF65">
        <f>0.962*(0.93*(0.9442 - 0.0007*$B65 - dis_BMI*($C65-21.75)))*BB65</f>
        <v>1.1542175354845209E-8</v>
      </c>
      <c r="CG65">
        <f>0.962*(0.93*0.943*(0.9442 - 0.0007*$B65 - dis_BMI*($C65-21.75)))*BC65</f>
        <v>1.0605231216407119E-9</v>
      </c>
      <c r="CH65">
        <f>0.962*(0.93*0.943*(0.9442 - 0.0007*$B65 - dis_BMI*($C65-21.75))-0.19*0.5)*BD65</f>
        <v>-1.6694770407467184E-10</v>
      </c>
      <c r="CI65">
        <f>0.962*(0.93*0.943*(0.9442 - 0.0007*$B65 - dis_BMI*($C65-21.75)))*BE65</f>
        <v>9.7132825314968011E-8</v>
      </c>
      <c r="CJ65">
        <f t="shared" si="64"/>
        <v>0</v>
      </c>
      <c r="CK65">
        <f t="shared" si="65"/>
        <v>1.0548939038159105E-5</v>
      </c>
      <c r="CL65">
        <f>CK65/(1+r_)^A65</f>
        <v>1.6877217639189014E-6</v>
      </c>
      <c r="CM65">
        <f t="shared" si="66"/>
        <v>0</v>
      </c>
      <c r="CN65">
        <f>AE65*c_Other</f>
        <v>2.7025699787685377E-3</v>
      </c>
      <c r="CO65">
        <f>AF65*(c_Stroke1+c_Stroke2)</f>
        <v>1.5864849672062766E-3</v>
      </c>
      <c r="CP65">
        <f>AG65*c_Stroke2</f>
        <v>-2.3186822882228169E-4</v>
      </c>
      <c r="CQ65">
        <f>AH65*(c_MI1+c_MI2)</f>
        <v>1.3539184216988464E-3</v>
      </c>
      <c r="CR65">
        <f>AI65*c_MI2</f>
        <v>4.5485462243973088E-5</v>
      </c>
      <c r="CS65">
        <f>AJ65*(c_Stroke1+c_Stroke2+c_MI2)</f>
        <v>3.7128398078071823E-5</v>
      </c>
      <c r="CT65">
        <f>AK65*(c_Stroke2+c_MI1+c_MI2)</f>
        <v>1.730120014044474E-5</v>
      </c>
      <c r="CU65">
        <f>AL65*(c_Stroke2+c_MI2)</f>
        <v>-1.368307852188473E-5</v>
      </c>
      <c r="CV65">
        <f>AM65*(c_HF1)</f>
        <v>7.8884761046926744E-4</v>
      </c>
      <c r="CW65">
        <f>AN65*(c_HF2)</f>
        <v>2.4563753694507271E-4</v>
      </c>
      <c r="CX65">
        <f>AO65*(c_Stroke2+c_HF1)</f>
        <v>9.1905178253633552E-6</v>
      </c>
      <c r="CY65">
        <f>AP65*(c_Stroke1+c_Stroke2+c_HF2)</f>
        <v>4.1693309061554793E-5</v>
      </c>
      <c r="CZ65">
        <f>AQ65*(c_Stroke2+c_HF2)</f>
        <v>-2.2690217150289051E-5</v>
      </c>
      <c r="DA65">
        <f>AR65*c_DM</f>
        <v>0.10190958496425402</v>
      </c>
      <c r="DB65">
        <f>AS65*(c_Other+c_DM)</f>
        <v>2.0268048089040015E-2</v>
      </c>
      <c r="DC65">
        <f>AT65*(c_Stroke1+c_Stroke2+c_DM)</f>
        <v>1.3697716805581647E-2</v>
      </c>
      <c r="DD65">
        <f>AU65*(c_Stroke2+c_DM)</f>
        <v>-4.6100930816638215E-3</v>
      </c>
      <c r="DE65">
        <f>AV65*(c_MI1+c_MI2+c_DM)</f>
        <v>1.1040216882394462E-2</v>
      </c>
      <c r="DF65">
        <f>AW65*(c_MI2+c_DM)</f>
        <v>3.9460665489942787E-5</v>
      </c>
      <c r="DG65">
        <f>AX65*(c_Stroke1+c_Stroke2+c_MI2+c_DM)</f>
        <v>4.0034360083448562E-4</v>
      </c>
      <c r="DH65">
        <f>AY65*(c_Stroke2+c_MI1+c_MI2+c_DM)</f>
        <v>1.6085003351776013E-4</v>
      </c>
      <c r="DI65">
        <f>AZ65*(c_Stroke2+c_MI2+c_DM)</f>
        <v>-6.6562486912738269E-5</v>
      </c>
      <c r="DJ65">
        <f>BA65*(c_HF1+c_DM)</f>
        <v>6.4373736199659576E-3</v>
      </c>
      <c r="DK65">
        <f>BB65*(c_HF2+c_DM)</f>
        <v>4.2752207225157284E-4</v>
      </c>
      <c r="DL65">
        <f>BC65*(c_Stroke2+c_HF1+c_DM)</f>
        <v>6.92805423065507E-5</v>
      </c>
      <c r="DM65">
        <f>BD65*(c_Stroke1+c_Stroke2+c_HF2+c_DM)</f>
        <v>-1.4224375668091114E-5</v>
      </c>
      <c r="DN65">
        <f>BE65*(c_Stroke2+c_HF2+c_DM)</f>
        <v>4.7327406893733727E-3</v>
      </c>
      <c r="DO65">
        <f t="shared" si="67"/>
        <v>0</v>
      </c>
      <c r="DP65">
        <f t="shared" si="68"/>
        <v>0.1610522738987081</v>
      </c>
      <c r="DQ65">
        <f>DP65/(1+r_)^A65</f>
        <v>2.5766707609575064E-2</v>
      </c>
    </row>
    <row r="66" spans="1:121" x14ac:dyDescent="0.3">
      <c r="A66">
        <v>63</v>
      </c>
      <c r="B66">
        <v>108</v>
      </c>
      <c r="C66">
        <f t="shared" si="40"/>
        <v>38</v>
      </c>
      <c r="D66">
        <f t="shared" si="1"/>
        <v>125</v>
      </c>
      <c r="E66">
        <f t="shared" si="42"/>
        <v>5.7</v>
      </c>
      <c r="F66">
        <v>0.48608000000000001</v>
      </c>
      <c r="G66">
        <v>0.51426000000000005</v>
      </c>
      <c r="H66">
        <f t="shared" si="55"/>
        <v>0.49171600000000004</v>
      </c>
      <c r="I66">
        <f t="shared" si="56"/>
        <v>5.6857293942168513E-2</v>
      </c>
      <c r="J66">
        <f t="shared" si="23"/>
        <v>0.60109548368184695</v>
      </c>
      <c r="K66">
        <f t="shared" si="24"/>
        <v>0.72392924272273607</v>
      </c>
      <c r="L66">
        <f t="shared" si="25"/>
        <v>0.35278015722605782</v>
      </c>
      <c r="M66">
        <f t="shared" si="26"/>
        <v>0.45627449383467999</v>
      </c>
      <c r="N66">
        <f t="shared" si="27"/>
        <v>0.94343809946974755</v>
      </c>
      <c r="O66">
        <f t="shared" si="28"/>
        <v>0.98272849340749757</v>
      </c>
      <c r="P66">
        <f t="shared" si="29"/>
        <v>0.75656729430380343</v>
      </c>
      <c r="Q66">
        <f t="shared" si="30"/>
        <v>0.86418109636024809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4.9292091651603809E-2</v>
      </c>
      <c r="U66">
        <f t="shared" si="31"/>
        <v>0.86467819214946062</v>
      </c>
      <c r="V66">
        <f t="shared" si="32"/>
        <v>0.93925814197239721</v>
      </c>
      <c r="W66">
        <f t="shared" si="33"/>
        <v>0.61203681516150632</v>
      </c>
      <c r="X66">
        <f t="shared" si="34"/>
        <v>0.73447546382564965</v>
      </c>
      <c r="Y66">
        <f t="shared" si="35"/>
        <v>0.99246247109167207</v>
      </c>
      <c r="Z66">
        <f t="shared" si="36"/>
        <v>0.99899873720226751</v>
      </c>
      <c r="AA66">
        <f t="shared" si="37"/>
        <v>0.90967041888677835</v>
      </c>
      <c r="AB66">
        <f t="shared" si="38"/>
        <v>0.96653434326443211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7.1468424748958148E-2</v>
      </c>
      <c r="AD66">
        <f t="shared" si="57"/>
        <v>1.2291046677230365E-6</v>
      </c>
      <c r="AE66">
        <f t="shared" si="58"/>
        <v>8.2571170681753751E-8</v>
      </c>
      <c r="AF66">
        <f t="shared" si="59"/>
        <v>3.1493288238019556E-8</v>
      </c>
      <c r="AG66">
        <f t="shared" si="60"/>
        <v>-1.7925014368114806E-8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2.1946018292705082E-8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4.9422056832600985E-9</v>
      </c>
      <c r="AJ66">
        <f t="shared" si="61"/>
        <v>6.3717829984707679E-10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2.2327759834114024E-10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-6.7307391805812457E-10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1.3626137891701542E-8</v>
      </c>
      <c r="AN66">
        <f t="shared" si="62"/>
        <v>5.3470333925798265E-9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1.2505370644042053E-10</v>
      </c>
      <c r="AP66">
        <f>AM65*T65*p_Stroke*p_Stroke_rec*(1-I65) + AN65*T65*p_Stroke*p_Stroke_rec*(1-I65) + AO65*(p_recur_Stroke*p_Stroke_rec)*(1-I65) + AP65*(p_recur_Stroke*p_Stroke_rec)*(1-I65) + AQ65*(p_recur_Stroke*p_Stroke_rec)*(1-I65)</f>
        <v>4.6696265247961391E-10</v>
      </c>
      <c r="AQ66">
        <f>AO65*(1-p_recur_Stroke-H65*rr_Stroke*rr_HF)*(1-I65) + AP65*(1-p_recur_Stroke-H65*rr_Stroke*rr_HF)*(1-I65) + AQ65*(1-p_recur_Stroke-H65*rr_Stroke*rr_HF)*(1-I65)</f>
        <v>-5.2401331482951902E-10</v>
      </c>
      <c r="AR66">
        <f>AR65*(1-AC65-H65*rr_DM) + AD65*(1-T65-H65)*I65</f>
        <v>3.5010552863884553E-6</v>
      </c>
      <c r="AS66">
        <f>AR65*AC65*p_Other + AD65*T65*p_Other*I65 + AE65*(1-T65*p_Stroke-T65*p_MI-H65*rr_Other)*I65 + AS65*(1-AC65*p_Stroke-AC65*p_MI-H65*rr_Other*rr_DM)</f>
        <v>2.9878076833377488E-7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1.6172004055653522E-7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-1.1175610089468192E-7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1.1309859125480835E-7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-8.3820125054542379E-9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5.3315484657995213E-9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1.8641123088989343E-9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-2.1097847086817415E-8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6.8750087475076615E-8</v>
      </c>
      <c r="BB66">
        <f>AM65*(1-T65*p_Stroke - H65*rr_HF)*I65 + AN65*(1-T65*p_Stroke - H65*rr_HF)*I65 + BA65*(1-AC65*p_Stroke - H65*rr_HF*rr_DM) + BB65*(1-AC65*p_Stroke - H65*rr_HF*rr_DM)</f>
        <v>-1.199133744817895E-9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1.6234787623174182E-9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1.8492478262768779E-8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-3.1690593585102488E-7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0.97499491726374532</v>
      </c>
      <c r="BG66">
        <f t="shared" si="63"/>
        <v>0.97499999999999964</v>
      </c>
      <c r="BH66">
        <f>(0.9442 - 0.0007*$B66 - dis_BMI*($C66-21.75))*AD66</f>
        <v>1.0016895765775818E-6</v>
      </c>
      <c r="BI66">
        <f>0.959*(0.9442 - 0.0007*$B66 - dis_BMI*($C66-21.75))*AE66</f>
        <v>6.4534408793481418E-8</v>
      </c>
      <c r="BJ66">
        <f>(0.943*(0.9442 - 0.0007*$B66 - dis_BMI*($C66-21.75)) - 0.19*0.5)*AF66</f>
        <v>2.121140437200667E-8</v>
      </c>
      <c r="BK66">
        <f>(0.943*(0.9442 - 0.0007*$B66 - dis_BMI*($C66-21.75)))*AG66</f>
        <v>-1.3775757585329064E-8</v>
      </c>
      <c r="BL66">
        <f>(0.955*(0.9442 - 0.0007*$B66 - dis_BMI*($C66-21.75)) - 0.15*0.5)*AH66</f>
        <v>1.5434659354530063E-8</v>
      </c>
      <c r="BM66">
        <f>(0.955*(0.9442 - 0.0007*$B66 - dis_BMI*($C66-21.75)))*AI66</f>
        <v>3.8465242432627282E-9</v>
      </c>
      <c r="BN66">
        <f>(0.955*0.943*(0.9442 - 0.0007*$B66 - dis_BMI*($C66-21.75)) - 0.19*0.5)*AJ66</f>
        <v>4.0711740361809057E-10</v>
      </c>
      <c r="BO66">
        <f>(0.955*0.943*(0.9442 - 0.0007*$B66 - dis_BMI*($C66-21.75)) - 0.15*0.5)*AK66</f>
        <v>1.4712608535997824E-10</v>
      </c>
      <c r="BP66">
        <f>(0.955*0.943*(0.9442 - 0.0007*$B66 - dis_BMI*($C66-21.75)))*AL66</f>
        <v>-4.9399449893772675E-10</v>
      </c>
      <c r="BQ66">
        <f>(0.93*(0.9442 - 0.0007*$B66 - dis_BMI*($C66-21.75)))*AM66</f>
        <v>1.0327614407309204E-8</v>
      </c>
      <c r="BR66">
        <f>(0.93*(0.9442 - 0.0007*$B66 - dis_BMI*($C66-21.75)))*AN66</f>
        <v>4.0526596413795023E-9</v>
      </c>
      <c r="BS66">
        <f>(0.93*0.943*(0.9442 - 0.0007*$B66 - dis_BMI*($C66-21.75)))*AO66</f>
        <v>8.9379000987865019E-11</v>
      </c>
      <c r="BT66">
        <f>(0.93*0.943*(0.9442 - 0.0007*$B66 - dis_BMI*($C66-21.75))-0.19*0.5)*AP66</f>
        <v>2.893883949024705E-10</v>
      </c>
      <c r="BU66">
        <f>(0.93*0.943*(0.9442 - 0.0007*$B66 - dis_BMI*($C66-21.75)))*AQ66</f>
        <v>-3.7452537727153275E-10</v>
      </c>
      <c r="BV66">
        <f>0.962*(0.9442 - 0.0007*$B66 - dis_BMI*($C66-21.75))*AR66</f>
        <v>2.7448481758075027E-6</v>
      </c>
      <c r="BW66">
        <f>0.962*0.959*(0.9442 - 0.0007*$B66 - dis_BMI*($C66-21.75))*AS66</f>
        <v>2.2464181821436176E-7</v>
      </c>
      <c r="BX66">
        <f>0.962*(0.943*(0.9442 - 0.0007*$B66 - dis_BMI*($C66-21.75)) - 0.19*0.5)*AT66</f>
        <v>1.0478287950436097E-7</v>
      </c>
      <c r="BY66">
        <f>0.962*(0.943*(0.9442 - 0.0007*$B66 - dis_BMI*($C66-21.75)))*AU66</f>
        <v>-8.2623253511367769E-8</v>
      </c>
      <c r="BZ66">
        <f>0.962*(0.955*(0.9442 - 0.0007*$B66 - dis_BMI*($C66-21.75)) - 0.15*0.5)*AV66</f>
        <v>7.6519756539735841E-8</v>
      </c>
      <c r="CA66">
        <f>0.962*(0.955*(0.9442 - 0.0007*$B66 - dis_BMI*($C66-21.75)))*AW66</f>
        <v>-6.2758280317742556E-9</v>
      </c>
      <c r="CB66">
        <f>0.962*(0.955*0.943*(0.9442 - 0.0007*$B66 - dis_BMI*($C66-21.75)) - 0.19*0.5)*AX66</f>
        <v>3.2770806142525021E-9</v>
      </c>
      <c r="CC66">
        <f>0.962*(0.955*0.943*(0.9442 - 0.0007*$B66 - dis_BMI*($C66-21.75)) - 0.15*0.5)*AY66</f>
        <v>1.1816576578484736E-9</v>
      </c>
      <c r="CD66">
        <f>0.962*(0.955*0.943*(0.9442 - 0.0007*$B66 - dis_BMI*($C66-21.75)))*AZ66</f>
        <v>-1.4896099456700781E-8</v>
      </c>
      <c r="CE66">
        <f>0.962*(0.93*(0.9442 - 0.0007*$B66 - dis_BMI*($C66-21.75)))*BA66</f>
        <v>5.0127444208436913E-8</v>
      </c>
      <c r="CF66">
        <f>0.962*(0.93*(0.9442 - 0.0007*$B66 - dis_BMI*($C66-21.75)))*BB66</f>
        <v>-8.7431903142820059E-10</v>
      </c>
      <c r="CG66">
        <f>0.962*(0.93*0.943*(0.9442 - 0.0007*$B66 - dis_BMI*($C66-21.75)))*BC66</f>
        <v>1.1162477890346728E-9</v>
      </c>
      <c r="CH66">
        <f>0.962*(0.93*0.943*(0.9442 - 0.0007*$B66 - dis_BMI*($C66-21.75))-0.19*0.5)*BD66</f>
        <v>1.1024760220136532E-8</v>
      </c>
      <c r="CI66">
        <f>0.962*(0.93*0.943*(0.9442 - 0.0007*$B66 - dis_BMI*($C66-21.75)))*BE66</f>
        <v>-2.1789354960253369E-7</v>
      </c>
      <c r="CJ66">
        <f t="shared" si="64"/>
        <v>0</v>
      </c>
      <c r="CK66">
        <f t="shared" si="65"/>
        <v>4.0023423517347466E-6</v>
      </c>
      <c r="CL66">
        <f>CK66/(1+r_)^A66</f>
        <v>6.2168312365624226E-7</v>
      </c>
      <c r="CM66">
        <f t="shared" si="66"/>
        <v>0</v>
      </c>
      <c r="CN66">
        <f>AE66*c_Other</f>
        <v>1.1790337461647618E-3</v>
      </c>
      <c r="CO66">
        <f>AF66*(c_Stroke1+c_Stroke2)</f>
        <v>7.5004415267667377E-4</v>
      </c>
      <c r="CP66">
        <f>AG66*c_Stroke2</f>
        <v>-1.1651259339274623E-4</v>
      </c>
      <c r="CQ66">
        <f>AH66*(c_MI1+c_MI2)</f>
        <v>6.3974837925064585E-4</v>
      </c>
      <c r="CR66">
        <f>AI66*c_MI2</f>
        <v>1.5404855114721728E-5</v>
      </c>
      <c r="CS66">
        <f>AJ66*(c_Stroke1+c_Stroke2+c_MI2)</f>
        <v>1.7161123149781317E-5</v>
      </c>
      <c r="CT66">
        <f>AK66*(c_Stroke2+c_MI1+c_MI2)</f>
        <v>7.9600696584599915E-6</v>
      </c>
      <c r="CU66">
        <f>AL66*(c_Stroke2+c_MI2)</f>
        <v>-6.4729518699649843E-6</v>
      </c>
      <c r="CV66">
        <f>AM66*(c_HF1)</f>
        <v>3.683145072126927E-4</v>
      </c>
      <c r="CW66">
        <f>AN66*(c_HF2)</f>
        <v>8.3440456091208191E-5</v>
      </c>
      <c r="CX66">
        <f>AO66*(c_Stroke2+c_HF1)</f>
        <v>4.1930507769473004E-6</v>
      </c>
      <c r="CY66">
        <f>AP66*(c_Stroke1+c_Stroke2+c_HF2)</f>
        <v>1.840813472339886E-5</v>
      </c>
      <c r="CZ66">
        <f>AQ66*(c_Stroke2+c_HF2)</f>
        <v>-1.1583314324306518E-5</v>
      </c>
      <c r="DA66">
        <f>AR66*c_DM</f>
        <v>3.9999556646988101E-2</v>
      </c>
      <c r="DB66">
        <f>AS66*(c_Other+c_DM)</f>
        <v>7.6798608692513499E-3</v>
      </c>
      <c r="DC66">
        <f>AT66*(c_Stroke1+c_Stroke2+c_DM)</f>
        <v>5.6991759492528576E-3</v>
      </c>
      <c r="DD66">
        <f>AU66*(c_Stroke2+c_DM)</f>
        <v>-2.0032281085371733E-3</v>
      </c>
      <c r="DE66">
        <f>AV66*(c_MI1+c_MI2+c_DM)</f>
        <v>4.5890884387551041E-3</v>
      </c>
      <c r="DF66">
        <f>AW66*(c_MI2+c_DM)</f>
        <v>-1.2189122585431553E-4</v>
      </c>
      <c r="DG66">
        <f>AX66*(c_Stroke1+c_Stroke2+c_MI2+c_DM)</f>
        <v>2.0450753605113803E-4</v>
      </c>
      <c r="DH66">
        <f>AY66*(c_Stroke2+c_MI1+c_MI2+c_DM)</f>
        <v>8.7754951053726238E-5</v>
      </c>
      <c r="DI66">
        <f>AZ66*(c_Stroke2+c_MI2+c_DM)</f>
        <v>-4.4394089840081206E-4</v>
      </c>
      <c r="DJ66">
        <f>BA66*(c_HF1+c_DM)</f>
        <v>2.643784613854071E-3</v>
      </c>
      <c r="DK66">
        <f>BB66*(c_HF2+c_DM)</f>
        <v>-3.2412585122427704E-5</v>
      </c>
      <c r="DL66">
        <f>BC66*(c_Stroke2+c_HF1+c_DM)</f>
        <v>7.298348775997953E-5</v>
      </c>
      <c r="DM66">
        <f>BD66*(c_Stroke1+c_Stroke2+c_HF2+c_DM)</f>
        <v>9.4026854974874128E-4</v>
      </c>
      <c r="DN66">
        <f>BE66*(c_Stroke2+c_HF2+c_DM)</f>
        <v>-1.0625856029084864E-2</v>
      </c>
      <c r="DO66">
        <f t="shared" si="67"/>
        <v>0</v>
      </c>
      <c r="DP66">
        <f t="shared" si="68"/>
        <v>5.163879181094775E-2</v>
      </c>
      <c r="DQ66">
        <f>DP66/(1+r_)^A66</f>
        <v>8.0210443219455984E-3</v>
      </c>
    </row>
    <row r="67" spans="1:121" x14ac:dyDescent="0.3">
      <c r="A67">
        <v>64</v>
      </c>
      <c r="B67">
        <v>109</v>
      </c>
      <c r="C67">
        <f t="shared" si="40"/>
        <v>38</v>
      </c>
      <c r="D67">
        <f t="shared" ref="D67" si="69">SBP_BL</f>
        <v>125</v>
      </c>
      <c r="E67">
        <f t="shared" si="42"/>
        <v>5.7</v>
      </c>
      <c r="F67">
        <v>0.50319000000000003</v>
      </c>
      <c r="G67">
        <v>0.52910000000000001</v>
      </c>
      <c r="H67">
        <f t="shared" si="55"/>
        <v>0.50837200000000005</v>
      </c>
      <c r="I67">
        <f t="shared" si="56"/>
        <v>5.6857293942168513E-2</v>
      </c>
      <c r="J67">
        <f t="shared" si="23"/>
        <v>0.61029811640010112</v>
      </c>
      <c r="K67">
        <f t="shared" si="24"/>
        <v>0.732807417326373</v>
      </c>
      <c r="L67">
        <f t="shared" si="25"/>
        <v>0.35989202113887642</v>
      </c>
      <c r="M67">
        <f t="shared" si="26"/>
        <v>0.46462346557612944</v>
      </c>
      <c r="N67">
        <f t="shared" si="27"/>
        <v>0.94797480761080044</v>
      </c>
      <c r="O67">
        <f t="shared" si="28"/>
        <v>0.98465297598386292</v>
      </c>
      <c r="P67">
        <f t="shared" si="29"/>
        <v>0.76637557237867626</v>
      </c>
      <c r="Q67">
        <f t="shared" si="30"/>
        <v>0.87184862115206119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5.0041326293199989E-2</v>
      </c>
      <c r="U67">
        <f t="shared" si="31"/>
        <v>0.87138022236769586</v>
      </c>
      <c r="V67">
        <f t="shared" si="32"/>
        <v>0.94342908791362534</v>
      </c>
      <c r="W67">
        <f t="shared" si="33"/>
        <v>0.62125464094190908</v>
      </c>
      <c r="X67">
        <f t="shared" si="34"/>
        <v>0.74326856226564475</v>
      </c>
      <c r="Y67">
        <f t="shared" si="35"/>
        <v>0.99346205188039505</v>
      </c>
      <c r="Z67">
        <f t="shared" si="36"/>
        <v>0.99918107713386706</v>
      </c>
      <c r="AA67">
        <f t="shared" si="37"/>
        <v>0.91577571600062424</v>
      </c>
      <c r="AB67">
        <f t="shared" si="38"/>
        <v>0.96968519017851351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7.2190504793690241E-2</v>
      </c>
      <c r="AD67">
        <f t="shared" si="57"/>
        <v>5.3207310596288695E-7</v>
      </c>
      <c r="AE67">
        <f t="shared" si="58"/>
        <v>3.4819390531260124E-8</v>
      </c>
      <c r="AF67">
        <f t="shared" si="59"/>
        <v>1.4315951264362295E-8</v>
      </c>
      <c r="AG67">
        <f t="shared" si="60"/>
        <v>-8.5727850413444319E-9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9.9720407771607406E-9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1.4620102994915768E-9</v>
      </c>
      <c r="AJ67">
        <f t="shared" si="61"/>
        <v>2.8401488364735588E-10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9.9017655888076946E-11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-3.0146824281187932E-10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6.1276915923054738E-9</v>
      </c>
      <c r="AN67">
        <f t="shared" si="62"/>
        <v>1.6774164283562389E-9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5.4838744686479892E-11</v>
      </c>
      <c r="AP67">
        <f>AM66*T66*p_Stroke*p_Stroke_rec*(1-I66) + AN66*T66*p_Stroke*p_Stroke_rec*(1-I66) + AO66*(p_recur_Stroke*p_Stroke_rec)*(1-I66) + AP66*(p_recur_Stroke*p_Stroke_rec)*(1-I66) + AQ66*(p_recur_Stroke*p_Stroke_rec)*(1-I66)</f>
        <v>1.9372305131245622E-10</v>
      </c>
      <c r="AQ67">
        <f>AO66*(1-p_recur_Stroke-H66*rr_Stroke*rr_HF)*(1-I66) + AP66*(1-p_recur_Stroke-H66*rr_Stroke*rr_HF)*(1-I66) + AQ66*(1-p_recur_Stroke-H66*rr_Stroke*rr_HF)*(1-I66)</f>
        <v>-1.2321337495553477E-10</v>
      </c>
      <c r="AR67">
        <f>AR66*(1-AC66-H66*rr_DM) + AD66*(1-T66-H66)*I66</f>
        <v>1.3031627347644375E-6</v>
      </c>
      <c r="AS67">
        <f>AR66*AC66*p_Other + AD66*T66*p_Other*I66 + AE66*(1-T66*p_Stroke-T66*p_MI-H66*rr_Other)*I66 + AS66*(1-AC66*p_Stroke-AC66*p_MI-H66*rr_Other*rr_DM)</f>
        <v>1.0787912933587394E-7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6.3842906761609159E-8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-4.5766891317712943E-8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4.4614113354107554E-8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-6.6122274162709268E-9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6.5919810333920299E-11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-1.5348796284159667E-10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2.8767583885988885E-8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2.683794616433955E-8</v>
      </c>
      <c r="BB67">
        <f>AM66*(1-T66*p_Stroke - H66*rr_HF)*I66 + AN66*(1-T66*p_Stroke - H66*rr_HF)*I66 + BA66*(1-AC66*p_Stroke - H66*rr_HF*rr_DM) + BB66*(1-AC66*p_Stroke - H66*rr_HF*rr_DM)</f>
        <v>-2.9791550045765107E-9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-1.174412726619122E-9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-3.1732381011782356E-8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6.9485975842463481E-7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0.97499722630672803</v>
      </c>
      <c r="BG67">
        <f t="shared" si="63"/>
        <v>0.97499999999999964</v>
      </c>
      <c r="BH67">
        <f>(0.9442 - 0.0007*$B67 - dis_BMI*($C67-21.75))*AD67</f>
        <v>4.3325382835792977E-7</v>
      </c>
      <c r="BI67">
        <f>0.959*(0.9442 - 0.0007*$B67 - dis_BMI*($C67-21.75))*AE67</f>
        <v>2.7190104296623322E-8</v>
      </c>
      <c r="BJ67">
        <f>(0.943*(0.9442 - 0.0007*$B67 - dis_BMI*($C67-21.75)) - 0.19*0.5)*AF67</f>
        <v>9.6326499363742386E-9</v>
      </c>
      <c r="BK67">
        <f>(0.943*(0.9442 - 0.0007*$B67 - dis_BMI*($C67-21.75)))*AG67</f>
        <v>-6.582710080786915E-9</v>
      </c>
      <c r="BL67">
        <f>(0.955*(0.9442 - 0.0007*$B67 - dis_BMI*($C67-21.75)) - 0.15*0.5)*AH67</f>
        <v>7.0066811878634915E-9</v>
      </c>
      <c r="BM67">
        <f>(0.955*(0.9442 - 0.0007*$B67 - dis_BMI*($C67-21.75)))*AI67</f>
        <v>1.1369069069706711E-9</v>
      </c>
      <c r="BN67">
        <f>(0.955*0.943*(0.9442 - 0.0007*$B67 - dis_BMI*($C67-21.75)) - 0.19*0.5)*AJ67</f>
        <v>1.8128884891120764E-10</v>
      </c>
      <c r="BO67">
        <f>(0.955*0.943*(0.9442 - 0.0007*$B67 - dis_BMI*($C67-21.75)) - 0.15*0.5)*AK67</f>
        <v>6.5184071976819465E-11</v>
      </c>
      <c r="BP67">
        <f>(0.955*0.943*(0.9442 - 0.0007*$B67 - dis_BMI*($C67-21.75)))*AL67</f>
        <v>-2.2106894317425856E-10</v>
      </c>
      <c r="BQ67">
        <f>(0.93*(0.9442 - 0.0007*$B67 - dis_BMI*($C67-21.75)))*AM67</f>
        <v>4.6403522463318224E-9</v>
      </c>
      <c r="BR67">
        <f>(0.93*(0.9442 - 0.0007*$B67 - dis_BMI*($C67-21.75)))*AN67</f>
        <v>1.2702667838457921E-9</v>
      </c>
      <c r="BS67">
        <f>(0.93*0.943*(0.9442 - 0.0007*$B67 - dis_BMI*($C67-21.75)))*AO67</f>
        <v>3.9160952575356361E-11</v>
      </c>
      <c r="BT67">
        <f>(0.93*0.943*(0.9442 - 0.0007*$B67 - dis_BMI*($C67-21.75))-0.19*0.5)*AP67</f>
        <v>1.1993607826867449E-10</v>
      </c>
      <c r="BU67">
        <f>(0.93*0.943*(0.9442 - 0.0007*$B67 - dis_BMI*($C67-21.75)))*AQ67</f>
        <v>-8.7988030376503248E-11</v>
      </c>
      <c r="BV67">
        <f>0.962*(0.9442 - 0.0007*$B67 - dis_BMI*($C67-21.75))*AR67</f>
        <v>1.0208097880880003E-6</v>
      </c>
      <c r="BW67">
        <f>0.962*0.959*(0.9442 - 0.0007*$B67 - dis_BMI*($C67-21.75))*AS67</f>
        <v>8.1040518901997474E-8</v>
      </c>
      <c r="BX67">
        <f>0.962*(0.943*(0.9442 - 0.0007*$B67 - dis_BMI*($C67-21.75)) - 0.19*0.5)*AT67</f>
        <v>4.1325040767720012E-8</v>
      </c>
      <c r="BY67">
        <f>0.962*(0.943*(0.9442 - 0.0007*$B67 - dis_BMI*($C67-21.75)))*AU67</f>
        <v>-3.3807206027632748E-8</v>
      </c>
      <c r="BZ67">
        <f>0.962*(0.955*(0.9442 - 0.0007*$B67 - dis_BMI*($C67-21.75)) - 0.15*0.5)*AV67</f>
        <v>3.0156132978078465E-8</v>
      </c>
      <c r="CA67">
        <f>0.962*(0.955*(0.9442 - 0.0007*$B67 - dis_BMI*($C67-21.75)))*AW67</f>
        <v>-4.9464921798248827E-9</v>
      </c>
      <c r="CB67">
        <f>0.962*(0.955*0.943*(0.9442 - 0.0007*$B67 - dis_BMI*($C67-21.75)) - 0.19*0.5)*AX67</f>
        <v>4.0478183325745829E-11</v>
      </c>
      <c r="CC67">
        <f>0.962*(0.955*0.943*(0.9442 - 0.0007*$B67 - dis_BMI*($C67-21.75)) - 0.15*0.5)*AY67</f>
        <v>-9.7202680221580419E-11</v>
      </c>
      <c r="CD67">
        <f>0.962*(0.955*0.943*(0.9442 - 0.0007*$B67 - dis_BMI*($C67-21.75)))*AZ67</f>
        <v>2.0293858398911679E-8</v>
      </c>
      <c r="CE67">
        <f>0.962*(0.93*(0.9442 - 0.0007*$B67 - dis_BMI*($C67-21.75)))*BA67</f>
        <v>1.9551424229277582E-8</v>
      </c>
      <c r="CF67">
        <f>0.962*(0.93*(0.9442 - 0.0007*$B67 - dis_BMI*($C67-21.75)))*BB67</f>
        <v>-2.1703122505195675E-9</v>
      </c>
      <c r="CG67">
        <f>0.962*(0.93*0.943*(0.9442 - 0.0007*$B67 - dis_BMI*($C67-21.75)))*BC67</f>
        <v>-8.067919632827646E-10</v>
      </c>
      <c r="CH67">
        <f>0.962*(0.93*0.943*(0.9442 - 0.0007*$B67 - dis_BMI*($C67-21.75))-0.19*0.5)*BD67</f>
        <v>-1.889932421172459E-8</v>
      </c>
      <c r="CI67">
        <f>0.962*(0.93*0.943*(0.9442 - 0.0007*$B67 - dis_BMI*($C67-21.75)))*BE67</f>
        <v>4.7735115262201273E-7</v>
      </c>
      <c r="CJ67">
        <f t="shared" si="64"/>
        <v>0</v>
      </c>
      <c r="CK67">
        <f t="shared" si="65"/>
        <v>2.1074856574694516E-6</v>
      </c>
      <c r="CL67">
        <f>CK67/(1+r_)^A67</f>
        <v>3.178207488287646E-7</v>
      </c>
      <c r="CM67">
        <f t="shared" si="66"/>
        <v>0</v>
      </c>
      <c r="CN67">
        <f>AE67*c_Other</f>
        <v>4.9718607739586331E-4</v>
      </c>
      <c r="CO67">
        <f>AF67*(c_Stroke1+c_Stroke2)</f>
        <v>3.4094869531205239E-4</v>
      </c>
      <c r="CP67">
        <f>AG67*c_Stroke2</f>
        <v>-5.5723102768738806E-5</v>
      </c>
      <c r="CQ67">
        <f>AH67*(c_MI1+c_MI2)</f>
        <v>2.9069496069501272E-4</v>
      </c>
      <c r="CR67">
        <f>AI67*c_MI2</f>
        <v>4.5570861035152451E-6</v>
      </c>
      <c r="CS67">
        <f>AJ67*(c_Stroke1+c_Stroke2+c_MI2)</f>
        <v>7.6493728612742359E-6</v>
      </c>
      <c r="CT67">
        <f>AK67*(c_Stroke2+c_MI1+c_MI2)</f>
        <v>3.5300784500658312E-6</v>
      </c>
      <c r="CU67">
        <f>AL67*(c_Stroke2+c_MI2)</f>
        <v>-2.8992200911218434E-6</v>
      </c>
      <c r="CV67">
        <f>AM67*(c_HF1)</f>
        <v>1.6563150374001694E-4</v>
      </c>
      <c r="CW67">
        <f>AN67*(c_HF2)</f>
        <v>2.6176083364499109E-5</v>
      </c>
      <c r="CX67">
        <f>AO67*(c_Stroke2+c_HF1)</f>
        <v>1.8387431093376708E-6</v>
      </c>
      <c r="CY67">
        <f>AP67*(c_Stroke1+c_Stroke2+c_HF2)</f>
        <v>7.6367564057883374E-6</v>
      </c>
      <c r="CZ67">
        <f>AQ67*(c_Stroke2+c_HF2)</f>
        <v>-2.7236316533920962E-6</v>
      </c>
      <c r="DA67">
        <f>AR67*c_DM</f>
        <v>1.4888634244683698E-2</v>
      </c>
      <c r="DB67">
        <f>AS67*(c_Other+c_DM)</f>
        <v>2.7729251404493035E-3</v>
      </c>
      <c r="DC67">
        <f>AT67*(c_Stroke1+c_Stroke2+c_DM)</f>
        <v>2.2498878771858685E-3</v>
      </c>
      <c r="DD67">
        <f>AU67*(c_Stroke2+c_DM)</f>
        <v>-8.2037152687000452E-4</v>
      </c>
      <c r="DE67">
        <f>AV67*(c_MI1+c_MI2+c_DM)</f>
        <v>1.8102622634562681E-3</v>
      </c>
      <c r="DF67">
        <f>AW67*(c_MI2+c_DM)</f>
        <v>-9.6155011087411822E-5</v>
      </c>
      <c r="DG67">
        <f>AX67*(c_Stroke1+c_Stroke2+c_MI2+c_DM)</f>
        <v>2.5285520847885149E-6</v>
      </c>
      <c r="DH67">
        <f>AY67*(c_Stroke2+c_MI1+c_MI2+c_DM)</f>
        <v>-7.2255993387310045E-6</v>
      </c>
      <c r="DI67">
        <f>AZ67*(c_Stroke2+c_MI2+c_DM)</f>
        <v>6.0532750012897818E-4</v>
      </c>
      <c r="DJ67">
        <f>BA67*(c_HF1+c_DM)</f>
        <v>1.0320532197496774E-3</v>
      </c>
      <c r="DK67">
        <f>BB67*(c_HF2+c_DM)</f>
        <v>-8.0526559773703079E-5</v>
      </c>
      <c r="DL67">
        <f>BC67*(c_Stroke2+c_HF1+c_DM)</f>
        <v>-5.2795724125162629E-5</v>
      </c>
      <c r="DM67">
        <f>BD67*(c_Stroke1+c_Stroke2+c_HF2+c_DM)</f>
        <v>-1.6134646449250856E-3</v>
      </c>
      <c r="DN67">
        <f>BE67*(c_Stroke2+c_HF2+c_DM)</f>
        <v>2.3298647699978005E-2</v>
      </c>
      <c r="DO67">
        <f t="shared" si="67"/>
        <v>0</v>
      </c>
      <c r="DP67">
        <f t="shared" si="68"/>
        <v>4.527423083452066E-2</v>
      </c>
      <c r="DQ67">
        <f>DP67/(1+r_)^A67</f>
        <v>6.8276099035242295E-3</v>
      </c>
    </row>
    <row r="68" spans="1:121" x14ac:dyDescent="0.3">
      <c r="CF68" s="6" t="s">
        <v>192</v>
      </c>
      <c r="CG68" s="6"/>
      <c r="CH68" s="6"/>
      <c r="CI68" s="6"/>
      <c r="CJ68" s="6"/>
      <c r="CK68">
        <f>SUM(CK3:CK67)</f>
        <v>26.652589039728202</v>
      </c>
      <c r="CL68">
        <f>SUM(CL3:CL67)</f>
        <v>16.745007167832412</v>
      </c>
      <c r="DK68" s="6" t="s">
        <v>196</v>
      </c>
      <c r="DL68" s="6"/>
      <c r="DM68" s="6"/>
      <c r="DN68" s="6"/>
      <c r="DO68" s="6"/>
      <c r="DP68" s="11">
        <f>SUM(DP3:DP67)</f>
        <v>298280.32356721372</v>
      </c>
      <c r="DQ68" s="11">
        <f>SUM(DQ3:DQ67)</f>
        <v>152829.27506035066</v>
      </c>
    </row>
    <row r="69" spans="1:121" x14ac:dyDescent="0.3">
      <c r="CF69" s="6" t="s">
        <v>193</v>
      </c>
      <c r="CG69" s="6"/>
      <c r="CH69" s="6"/>
      <c r="CI69" s="6"/>
      <c r="CJ69" s="6"/>
      <c r="CK69">
        <f>disc_LSM*TRT_DISC!CK68</f>
        <v>0.6833997189673896</v>
      </c>
      <c r="CL69">
        <f>disc_LSM*TRT_DISC!CL68</f>
        <v>0.42935915814954922</v>
      </c>
      <c r="DK69" s="6" t="s">
        <v>195</v>
      </c>
      <c r="DL69" s="6"/>
      <c r="DM69" s="6"/>
      <c r="DN69" s="6"/>
      <c r="DO69" s="6"/>
      <c r="DP69" s="11">
        <f>disc_LSM*TRT_DISC!DP68</f>
        <v>7648.2134248003513</v>
      </c>
      <c r="DQ69" s="11">
        <f>disc_LSM*TRT_DISC!DQ68</f>
        <v>3918.699360521814</v>
      </c>
    </row>
    <row r="70" spans="1:121" x14ac:dyDescent="0.3">
      <c r="CI70" s="6" t="s">
        <v>194</v>
      </c>
      <c r="CJ70" s="6"/>
      <c r="CK70">
        <f>CK68+CK69</f>
        <v>27.335988758695592</v>
      </c>
      <c r="CL70">
        <f>CL68+CL69</f>
        <v>17.174366325981961</v>
      </c>
      <c r="DN70" s="6" t="s">
        <v>197</v>
      </c>
      <c r="DO70" s="6"/>
      <c r="DP70" s="11">
        <f>DP68+DP69</f>
        <v>305928.53699201409</v>
      </c>
      <c r="DQ70" s="11">
        <f>DQ68+DQ69</f>
        <v>156747.97442087246</v>
      </c>
    </row>
  </sheetData>
  <mergeCells count="11">
    <mergeCell ref="CF68:CJ68"/>
    <mergeCell ref="CF69:CJ69"/>
    <mergeCell ref="CI70:CJ70"/>
    <mergeCell ref="DK69:DO69"/>
    <mergeCell ref="DN70:DO70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9" priority="2" operator="equal">
      <formula>"$AB$3"</formula>
    </cfRule>
  </conditionalFormatting>
  <conditionalFormatting sqref="BG3:BG67">
    <cfRule type="cellIs" dxfId="8" priority="1" operator="equal">
      <formula>$AD$3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AED-56B6-4831-9A70-8C8870FEBD52}">
  <dimension ref="A1:DQ70"/>
  <sheetViews>
    <sheetView topLeftCell="CZ48" workbookViewId="0">
      <selection activeCell="CF68" sqref="CF68:DQ70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44" si="0">BMI_BL</f>
        <v>38</v>
      </c>
      <c r="D3">
        <f t="shared" ref="D3:D66" si="1">SBP_BL</f>
        <v>125</v>
      </c>
      <c r="E3">
        <f t="shared" ref="E3:E44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f>1-disc_SEM</f>
        <v>0.95799999999999996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0.95799999999999996</v>
      </c>
      <c r="BH3">
        <f>(0.9442 - 0.0007*$B3 - dis_BMI*($C3-21.75))*AD3</f>
        <v>0.82299385000000003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0.82299385000000003</v>
      </c>
      <c r="CL3">
        <f>CK3/(1+r_)^A3</f>
        <v>0.82299385000000003</v>
      </c>
      <c r="CM3">
        <f>AD3*c_SEM</f>
        <v>13046.044</v>
      </c>
      <c r="CN3">
        <f>AE3*(c_Other+c_SEM)</f>
        <v>0</v>
      </c>
      <c r="CO3">
        <f>AF3*(c_Stroke1+c_Stroke2+c_SEM)</f>
        <v>0</v>
      </c>
      <c r="CP3">
        <f>AG3*(c_Stroke2 + c_SEM)</f>
        <v>0</v>
      </c>
      <c r="CQ3">
        <f>AH3*(c_MI1+c_MI2 + c_SEM)</f>
        <v>0</v>
      </c>
      <c r="CR3">
        <f>AI3*(c_MI2+c_SEM)</f>
        <v>0</v>
      </c>
      <c r="CS3">
        <f>AJ3*(c_Stroke1+c_Stroke2+c_MI2+c_SEM)</f>
        <v>0</v>
      </c>
      <c r="CT3">
        <f>AK3*(c_Stroke2+c_MI1+c_MI2+c_SEM)</f>
        <v>0</v>
      </c>
      <c r="CU3">
        <f>AL3*(c_Stroke2+c_MI2+c_SEM)</f>
        <v>0</v>
      </c>
      <c r="CV3">
        <f>AM3*(c_HF1+c_SEM)</f>
        <v>0</v>
      </c>
      <c r="CW3">
        <f>AN3*(c_HF2+c_SEM)</f>
        <v>0</v>
      </c>
      <c r="CX3">
        <f>AO3*(c_Stroke2+c_HF1+c_SEM)</f>
        <v>0</v>
      </c>
      <c r="CY3">
        <f>AP3*(c_Stroke1+c_Stroke2+c_HF2+c_SEM)</f>
        <v>0</v>
      </c>
      <c r="CZ3">
        <f>AQ3*(c_Stroke2+c_HF2+c_SEM)</f>
        <v>0</v>
      </c>
      <c r="DA3">
        <f>AR3*(c_DM+c_SEM)</f>
        <v>0</v>
      </c>
      <c r="DB3">
        <f>AS3*(c_Other+c_DM+c_SEM)</f>
        <v>0</v>
      </c>
      <c r="DC3">
        <f>AT3*(c_Stroke1+c_Stroke2+c_DM+c_SEM)</f>
        <v>0</v>
      </c>
      <c r="DD3">
        <f>AU3*(c_Stroke2+c_DM+c_SEM)</f>
        <v>0</v>
      </c>
      <c r="DE3">
        <f>AV3*(c_MI1+c_MI2+c_DM+c_SEM)</f>
        <v>0</v>
      </c>
      <c r="DF3">
        <f>AW3*(c_MI2+c_DM+c_SEM)</f>
        <v>0</v>
      </c>
      <c r="DG3">
        <f>AX3*(c_Stroke1+c_Stroke2+c_MI2+c_DM+c_SEM)</f>
        <v>0</v>
      </c>
      <c r="DH3">
        <f>AY3*(c_Stroke2+c_MI1+c_MI2+c_DM+c_SEM)</f>
        <v>0</v>
      </c>
      <c r="DI3">
        <f>AZ3*(c_Stroke2+c_MI2+c_DM+c_SEM)</f>
        <v>0</v>
      </c>
      <c r="DJ3">
        <f>BA3*(c_HF1+c_DM+c_SEM)</f>
        <v>0</v>
      </c>
      <c r="DK3">
        <f>BB3*(c_HF2+c_DM+c_SEM)</f>
        <v>0</v>
      </c>
      <c r="DL3">
        <f>BC3*(c_Stroke2+c_HF1+c_DM+c_SEM)</f>
        <v>0</v>
      </c>
      <c r="DM3">
        <f>BD3*(c_Stroke1+c_Stroke2+c_HF2+c_DM+c_SEM)</f>
        <v>0</v>
      </c>
      <c r="DN3">
        <f>BE3*(c_Stroke2+c_HF2+c_DM+c_SEM)</f>
        <v>0</v>
      </c>
      <c r="DO3">
        <f t="shared" ref="DO3" si="5">BF3*0</f>
        <v>0</v>
      </c>
      <c r="DP3">
        <f>SUM(CM3:DO3)</f>
        <v>13046.044</v>
      </c>
      <c r="DQ3">
        <f>DP3/(1+r_)^A3</f>
        <v>13046.044</v>
      </c>
    </row>
    <row r="4" spans="1:121" x14ac:dyDescent="0.3">
      <c r="A4">
        <v>1</v>
      </c>
      <c r="B4">
        <v>46</v>
      </c>
      <c r="C4">
        <f>C3*(1+w_red_LSM+w_red_SEM)</f>
        <v>32.793999999999997</v>
      </c>
      <c r="D4">
        <f t="shared" si="1"/>
        <v>125</v>
      </c>
      <c r="E4">
        <f>E3+h_red_LSM+h_red_SEM</f>
        <v>5.4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1.9177515277734612E-2</v>
      </c>
      <c r="J4">
        <f>1 - 0.94833 ^ (EXP(2.72107*(LN($B4)-3.8686) + 0.51125*(LN($C4)-LN(21.75)) + 2.81291*(LN($D4)*(1-0) - 4.24) + 2.88267*(LN($D4)*0 - 0.5826) + 0.61868*(1-0.3423) + 0.77763*(0-0.0376)))</f>
        <v>8.0165939094498317E-2</v>
      </c>
      <c r="K4">
        <f>1 - 0.94833 ^ (EXP(2.72107*(LN($B4)-3.8686) + 0.51125*(LN($C4)-LN(21.75)) + 2.81291*(LN($D4)*(1-1) - 4.24) + 2.88267*(LN($D4)*1 - 0.5826) + 0.61868*(1-0.3423) + 0.77763*(0-0.0376)))</f>
        <v>0.11043958379381857</v>
      </c>
      <c r="L4">
        <f>1 - 0.94833 ^ (EXP(2.72107*(LN($B4)-3.8686) + 0.51125*(LN($C4)-LN(28)) + 2.81291*(LN($D4)*(1-0) - 4.24) + 2.88267*(LN($D4)*0 - 0.5826) + 0.61868*(0-0.3423) + 0.77763*(0-0.0376)))</f>
        <v>3.8785943502927522E-2</v>
      </c>
      <c r="M4">
        <f>1 - 0.94833 ^ (EXP(2.72107*(LN($B4)-3.8686) + 0.51125*(LN($C4)-LN(28)) + 2.81291*(LN($D4)*(1-1) - 4.24) + 2.88267*(LN($D4)*1 - 0.5826) + 0.61868*(0-0.3423) + 0.77763*(0-0.0376)))</f>
        <v>5.3894174817620266E-2</v>
      </c>
      <c r="N4">
        <f>1 - 0.8843 ^ (EXP(3.113*(LN($B4)-3.856) + 0.7928*(LN($C4)-LN(28)) + 1.8551*(LN($D4)*(1-0) - 4.3544) + 1.9267*(LN($D4)*0 - 0.5019) + 0.7095*(1-0.3522) + 0.5316*(0-0.065)))</f>
        <v>0.16416350907596045</v>
      </c>
      <c r="O4">
        <f>1 - 0.8843 ^ (EXP(3.113*(LN($B4)-3.856) + 0.7928*(LN($C4)-LN(28)) + 1.8551*(LN($D4)*(1-1) - 4.3544) + 1.9267*(LN($D4)*1 - 0.5019) + 0.7095*(1-0.3522) + 0.5316*(0-0.065)))</f>
        <v>0.22382741566756659</v>
      </c>
      <c r="P4">
        <f>1 - 0.8843 ^ (EXP(3.113*(LN($B4)-3.856) + 0.7928*(LN($C4)-LN(28)) + 1.8551*(LN($D4)*(1-0) - 4.3544) + 1.9267*(LN($D4)*0 - 0.5019) + 0.7095*(0-0.3522) + 0.5316*(0-0.065)))</f>
        <v>8.4428525109135011E-2</v>
      </c>
      <c r="Q4">
        <f>1 - 0.8843 ^ (EXP(3.113*(LN($B4)-3.856) + 0.7928*(LN($C4)-LN(28)) + 1.8551*(LN($D4)*(1-1) - 4.3544) + 1.9267*(LN($D4)*1 - 0.5019) + 0.7095*(0-0.3522) + 0.5316*(0-0.065)))</f>
        <v>0.11718118870761907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6.2622342244386658E-3</v>
      </c>
      <c r="U4">
        <f>1 - 0.94833 ^ (EXP(2.72107*(LN($B4)-3.8686) + 0.51125*(LN($C4)-LN(21.75)) + 2.81291*(LN($D4)*(1-0) - 4.24) + 2.88267*(LN($D4)*0 - 0.5826) + 0.61868*(1-0.3423) + 0.77763*(1-0.0376)))</f>
        <v>0.16627916299978285</v>
      </c>
      <c r="V4">
        <f>1 - 0.94833 ^ (EXP(2.72107*(LN($B4)-3.8686) + 0.51125*(LN($C4)-LN(21.75)) + 2.81291*(LN($D4)*(1-1) - 4.24) + 2.88267*(LN($D4)*1 - 0.5826) + 0.61868*(1-0.3423) + 0.77763*(1-0.0376)))</f>
        <v>0.2248422227544552</v>
      </c>
      <c r="W4">
        <f>1 - 0.94833 ^ (EXP(2.72107*(LN($B4)-3.8686) + 0.51125*(LN($C4)-LN(28)) + 2.81291*(LN($D4)*(1-0) - 4.24) + 2.88267*(LN($D4)*0 - 0.5826) + 0.61868*(0-0.3423) + 0.77763*(1-0.0376)))</f>
        <v>8.2489021056390444E-2</v>
      </c>
      <c r="X4">
        <f>1 - 0.94833 ^ (EXP(2.72107*(LN($B4)-3.8686) + 0.51125*(LN($C4)-LN(28)) + 2.81291*(LN($D4)*(1-1) - 4.24) + 2.88267*(LN($D4)*1 - 0.5826) + 0.61868*(0-0.3423) + 0.77763*(1-0.0376)))</f>
        <v>0.11358437006770261</v>
      </c>
      <c r="Y4">
        <f>1 - 0.8843 ^ (EXP(3.113*(LN($B4)-3.856) + 0.7928*(LN($C4)-LN(28)) + 1.8551*(LN($D4)*(1-0) - 4.3544) + 1.9267*(LN($D4)*0 - 0.5019) + 0.7095*(1-0.3522) + 0.5316*(1-0.065)))</f>
        <v>0.26298293961467278</v>
      </c>
      <c r="Z4">
        <f>1 - 0.8843 ^ (EXP(3.113*(LN($B4)-3.856) + 0.7928*(LN($C4)-LN(28)) + 1.8551*(LN($D4)*(1-1) - 4.3544) + 1.9267*(LN($D4)*1 - 0.5019) + 0.7095*(1-0.3522) + 0.5316*(1-0.065)))</f>
        <v>0.3502485857142118</v>
      </c>
      <c r="AA4">
        <f>1 - 0.8843 ^ (EXP(3.113*(LN($B4)-3.856) + 0.7928*(LN($C4)-LN(28)) + 1.8551*(LN($D4)*(1-0) - 4.3544) + 1.9267*(LN($D4)*0 - 0.5019) + 0.7095*(0-0.3522) + 0.5316*(1-0.065)))</f>
        <v>0.13937587333629975</v>
      </c>
      <c r="AB4">
        <f>1 - 0.8843 ^ (EXP(3.113*(LN($B4)-3.856) + 0.7928*(LN($C4)-LN(28)) + 1.8551*(LN($D4)*(1-1) - 4.3544) + 1.9267*(LN($D4)*1 - 0.5019) + 0.7095*(0-0.3522) + 0.5316*(1-0.065)))</f>
        <v>0.19110486855245734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1.2092020147989659E-2</v>
      </c>
      <c r="AD4">
        <f>AD3*(1-T3-H3)*(1-I3)</f>
        <v>0.89579818427831592</v>
      </c>
      <c r="AE4">
        <f t="shared" ref="AE4:AE44" si="6">AD3*T3*p_Other*(1-I3) + AE3*(1-T3*(1-p_Other)-H3*rr_Other)*(1-I3)</f>
        <v>3.1148935365255411E-3</v>
      </c>
      <c r="AF4">
        <f t="shared" ref="AF4:AF44" si="7">AD3*T3*p_Stroke*p_Stroke_rec*(1-I3)+AE3*T3*p_Stroke*p_Stroke_rec*(1-I3) + AF3*p_recur_Stroke*p_Stroke_rec*(1-I3) + AG3*p_recur_Stroke*p_Stroke_rec*(1-I3)</f>
        <v>1.198384495143281E-3</v>
      </c>
      <c r="AG4">
        <f t="shared" ref="AG4:AG44" si="8">AF3*(1-p_recur_Stroke-T3*p_MI-H3*rr_Stroke)*(1-I3) + AG3*(1-p_recur_Stroke-T3*p_MI-H3*rr_Stroke)*(1-I3)</f>
        <v>0</v>
      </c>
      <c r="AH4">
        <f t="shared" ref="AH4:AH44" si="9">AD3*T3*p_MI*p_MI_rec_young*(1-I3)+AE3*T3*p_MI*p_MI_rec_young*(1-I3) + AH3*(PREV_FEMALE*p_recur_MI_F + (1-PREV_FEMALE)*p_recur_MI_M)*p_MI_rec_young*(1-I3) + AI3*(PREV_FEMALE*p_recur_MI_F + (1-PREV_FEMALE)*p_recur_MI_M)*p_MI_rec_young*(1-I3)</f>
        <v>1.0224326544291437E-3</v>
      </c>
      <c r="AI4">
        <f t="shared" ref="AI4:AI44" si="10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1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2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3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4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1.238481670122555E-4</v>
      </c>
      <c r="AN4">
        <f t="shared" ref="AN4:AN44" si="15">AM3*(1-T3*p_Stroke - H3*rr_HF)*(1-I3) + AN3*(1-T3*p_Stroke-H3*rr_HF)*(1-I3)</f>
        <v>0</v>
      </c>
      <c r="AO4">
        <f t="shared" ref="AO4:AO44" si="16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5.4003132664050907E-2</v>
      </c>
      <c r="AS4">
        <f>AR3*AC3*p_Other + AD3*T3*p_Other*I3 + AE3*(1-T3*p_Stroke-T3*p_MI-H3*rr_Other)*I3 + AS3*(1-AC3*p_Stroke-AC3*p_MI-H3*rr_Other*rr_DM)</f>
        <v>1.8778114517267321E-4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7.2244527851886652E-5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6.1637283091478258E-5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7.466178332065487E-6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2.4099950700747922E-3</v>
      </c>
      <c r="BG4">
        <f t="shared" ref="BG4:BG44" si="17">SUM(AD4:BF4)</f>
        <v>0.95799999999999996</v>
      </c>
      <c r="BH4">
        <f>(0.9442 - 0.0007*$B4 - dis_BMI*($C4-21.75))*AD4</f>
        <v>0.7843204000761641</v>
      </c>
      <c r="BI4">
        <f>0.959*(0.9442 - 0.0007*$B4 - dis_BMI*($C4-21.75))*AE4</f>
        <v>2.6154423279107627E-3</v>
      </c>
      <c r="BJ4">
        <f>(0.943*(0.9442 - 0.0007*$B4 - dis_BMI*($C4-21.75)) - 0.19*0.5)*AF4</f>
        <v>8.7559744600247289E-4</v>
      </c>
      <c r="BK4">
        <f>(0.943*(0.9442 - 0.0007*$B4 - dis_BMI*($C4-21.75)))*AG4</f>
        <v>0</v>
      </c>
      <c r="BL4">
        <f>(0.955*(0.9442 - 0.0007*$B4 - dis_BMI*($C4-21.75)) - 0.15*0.5)*AH4</f>
        <v>7.7822955735819428E-4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1.0084534710186724E-4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4.5485959342322795E-2</v>
      </c>
      <c r="BW4">
        <f>0.962*0.959*(0.9442 - 0.0007*$B4 - dis_BMI*($C4-21.75))*AS4</f>
        <v>1.5168023600812427E-4</v>
      </c>
      <c r="BX4">
        <f>0.962*(0.943*(0.9442 - 0.0007*$B4 - dis_BMI*($C4-21.75)) - 0.19*0.5)*AT4</f>
        <v>5.0779489893725314E-5</v>
      </c>
      <c r="BY4">
        <f>0.962*(0.943*(0.9442 - 0.0007*$B4 - dis_BMI*($C4-21.75)))*AU4</f>
        <v>0</v>
      </c>
      <c r="BZ4">
        <f>0.962*(0.955*(0.9442 - 0.0007*$B4 - dis_BMI*($C4-21.75)) - 0.15*0.5)*AV4</f>
        <v>4.5132726372476342E-5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5.8484356108709176E-6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8">0*BF4</f>
        <v>0</v>
      </c>
      <c r="CK4">
        <f t="shared" ref="CK4:CK44" si="19">SUM(BH4:CJ4)</f>
        <v>0.8344299149847455</v>
      </c>
      <c r="CL4">
        <f>CK4/(1+r_)^A4</f>
        <v>0.8101261310531509</v>
      </c>
      <c r="CM4">
        <f>AD4*c_SEM</f>
        <v>12198.979673502106</v>
      </c>
      <c r="CN4">
        <f>AE4*(c_Other+c_SEM)</f>
        <v>86.896184988453015</v>
      </c>
      <c r="CO4">
        <f>AF4*(c_Stroke1+c_Stroke2+c_SEM)</f>
        <v>44.860325191193581</v>
      </c>
      <c r="CP4">
        <f>AG4*(c_Stroke2 + c_SEM)</f>
        <v>0</v>
      </c>
      <c r="CQ4">
        <f>AH4*(c_MI1+c_MI2 + c_SEM)</f>
        <v>43.728422197280047</v>
      </c>
      <c r="CR4">
        <f>AI4*(c_MI2+c_SEM)</f>
        <v>0</v>
      </c>
      <c r="CS4">
        <f>AJ4*(c_Stroke1+c_Stroke2+c_MI2+c_SEM)</f>
        <v>0</v>
      </c>
      <c r="CT4">
        <f>AK4*(c_Stroke2+c_MI1+c_MI2+c_SEM)</f>
        <v>0</v>
      </c>
      <c r="CU4">
        <f>AL4*(c_Stroke2+c_MI2+c_SEM)</f>
        <v>0</v>
      </c>
      <c r="CV4">
        <f>AM4*(c_HF1+c_SEM)</f>
        <v>5.0341802927141615</v>
      </c>
      <c r="CW4">
        <f>AN4*(c_HF2+c_SEM)</f>
        <v>0</v>
      </c>
      <c r="CX4">
        <f>AO4*(c_Stroke2+c_HF1+c_SEM)</f>
        <v>0</v>
      </c>
      <c r="CY4">
        <f>AP4*(c_Stroke1+c_Stroke2+c_HF2+c_SEM)</f>
        <v>0</v>
      </c>
      <c r="CZ4">
        <f>AQ4*(c_Stroke2+c_HF2+c_SEM)</f>
        <v>0</v>
      </c>
      <c r="DA4">
        <f>AR4*(c_DM+c_SEM)</f>
        <v>1352.4004513058269</v>
      </c>
      <c r="DB4">
        <f>AS4*(c_Other+c_DM+c_SEM)</f>
        <v>7.3839301904798562</v>
      </c>
      <c r="DC4">
        <f>AT4*(c_Stroke1+c_Stroke2+c_DM+c_SEM)</f>
        <v>3.52979538631533</v>
      </c>
      <c r="DD4">
        <f>AU4*(c_Stroke2+c_DM+c_SEM)</f>
        <v>0</v>
      </c>
      <c r="DE4">
        <f>AV4*(c_MI1+c_MI2+c_DM+c_SEM)</f>
        <v>3.3403709198595726</v>
      </c>
      <c r="DF4">
        <f>AW4*(c_MI2+c_DM+c_SEM)</f>
        <v>0</v>
      </c>
      <c r="DG4">
        <f>AX4*(c_Stroke1+c_Stroke2+c_MI2+c_DM+c_SEM)</f>
        <v>0</v>
      </c>
      <c r="DH4">
        <f>AY4*(c_Stroke2+c_MI1+c_MI2+c_DM+c_SEM)</f>
        <v>0</v>
      </c>
      <c r="DI4">
        <f>AZ4*(c_Stroke2+c_MI2+c_DM+c_SEM)</f>
        <v>0</v>
      </c>
      <c r="DJ4">
        <f>BA4*(c_HF1+c_DM+c_SEM)</f>
        <v>0.38878630428564609</v>
      </c>
      <c r="DK4">
        <f>BB4*(c_HF2+c_DM+c_SEM)</f>
        <v>0</v>
      </c>
      <c r="DL4">
        <f>BC4*(c_Stroke2+c_HF1+c_DM+c_SEM)</f>
        <v>0</v>
      </c>
      <c r="DM4">
        <f>BD4*(c_Stroke1+c_Stroke2+c_HF2+c_DM+c_SEM)</f>
        <v>0</v>
      </c>
      <c r="DN4">
        <f>BE4*(c_Stroke2+c_HF2+c_DM+c_SEM)</f>
        <v>0</v>
      </c>
      <c r="DO4">
        <f t="shared" ref="DO4:DO44" si="20">BF4*0</f>
        <v>0</v>
      </c>
      <c r="DP4">
        <f>BG4*0</f>
        <v>0</v>
      </c>
      <c r="DQ4">
        <f>DP4/(1+r_)^A4</f>
        <v>0</v>
      </c>
    </row>
    <row r="5" spans="1:121" x14ac:dyDescent="0.3">
      <c r="A5">
        <v>2</v>
      </c>
      <c r="B5">
        <v>47</v>
      </c>
      <c r="C5">
        <f>C$4</f>
        <v>32.793999999999997</v>
      </c>
      <c r="D5">
        <f t="shared" si="1"/>
        <v>125</v>
      </c>
      <c r="E5">
        <f>E$4</f>
        <v>5.4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21">0.00000146 * EXP(1.87 * E5) * 0.0197 * EXP(0.101*C5)</f>
        <v>1.9177515277734612E-2</v>
      </c>
      <c r="J5">
        <f t="shared" ref="J5:J67" si="22">1 - 0.94833 ^ (EXP(2.72107*(LN($B5)-3.8686) + 0.51125*(LN($C5)-LN(21.75)) + 2.81291*(LN($D5)*(1-0) - 4.24) + 2.88267*(LN($D5)*0 - 0.5826) + 0.61868*(1-0.3423) + 0.77763*(0-0.0376)))</f>
        <v>8.4786536150054159E-2</v>
      </c>
      <c r="K5">
        <f t="shared" ref="K5:K67" si="23">1 - 0.94833 ^ (EXP(2.72107*(LN($B5)-3.8686) + 0.51125*(LN($C5)-LN(21.75)) + 2.81291*(LN($D5)*(1-1) - 4.24) + 2.88267*(LN($D5)*1 - 0.5826) + 0.61868*(1-0.3423) + 0.77763*(0-0.0376)))</f>
        <v>0.11669141131832095</v>
      </c>
      <c r="L5">
        <f t="shared" ref="L5:L67" si="24">1 - 0.94833 ^ (EXP(2.72107*(LN($B5)-3.8686) + 0.51125*(LN($C5)-LN(28)) + 2.81291*(LN($D5)*(1-0) - 4.24) + 2.88267*(LN($D5)*0 - 0.5826) + 0.61868*(0-0.3423) + 0.77763*(0-0.0376)))</f>
        <v>4.1074762354704308E-2</v>
      </c>
      <c r="M5">
        <f t="shared" ref="M5:M67" si="25">1 - 0.94833 ^ (EXP(2.72107*(LN($B5)-3.8686) + 0.51125*(LN($C5)-LN(28)) + 2.81291*(LN($D5)*(1-1) - 4.24) + 2.88267*(LN($D5)*1 - 0.5826) + 0.61868*(0-0.3423) + 0.77763*(0-0.0376)))</f>
        <v>5.7047757625070972E-2</v>
      </c>
      <c r="N5">
        <f t="shared" ref="N5:N67" si="26">1 - 0.8843 ^ (EXP(3.113*(LN($B5)-3.856) + 0.7928*(LN($C5)-LN(28)) + 1.8551*(LN($D5)*(1-0) - 4.3544) + 1.9267*(LN($D5)*0 - 0.5019) + 0.7095*(1-0.3522) + 0.5316*(0-0.065)))</f>
        <v>0.17447743286088091</v>
      </c>
      <c r="O5">
        <f t="shared" ref="O5:O67" si="27">1 - 0.8843 ^ (EXP(3.113*(LN($B5)-3.856) + 0.7928*(LN($C5)-LN(28)) + 1.8551*(LN($D5)*(1-1) - 4.3544) + 1.9267*(LN($D5)*1 - 0.5019) + 0.7095*(1-0.3522) + 0.5316*(0-0.065)))</f>
        <v>0.2373260219331631</v>
      </c>
      <c r="P5">
        <f t="shared" ref="P5:P67" si="28">1 - 0.8843 ^ (EXP(3.113*(LN($B5)-3.856) + 0.7928*(LN($C5)-LN(28)) + 1.8551*(LN($D5)*(1-0) - 4.3544) + 1.9267*(LN($D5)*0 - 0.5019) + 0.7095*(0-0.3522) + 0.5316*(0-0.065)))</f>
        <v>9.0003343889045406E-2</v>
      </c>
      <c r="Q5">
        <f t="shared" ref="Q5:Q67" si="29">1 - 0.8843 ^ (EXP(3.113*(LN($B5)-3.856) + 0.7928*(LN($C5)-LN(28)) + 1.8551*(LN($D5)*(1-1) - 4.3544) + 1.9267*(LN($D5)*1 - 0.5019) + 0.7095*(0-0.3522) + 0.5316*(0-0.065)))</f>
        <v>0.12476699574751315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6.6397285377204126E-3</v>
      </c>
      <c r="U5">
        <f t="shared" ref="U5:U67" si="30">1 - 0.94833 ^ (EXP(2.72107*(LN($B5)-3.8686) + 0.51125*(LN($C5)-LN(21.75)) + 2.81291*(LN($D5)*(1-0) - 4.24) + 2.88267*(LN($D5)*0 - 0.5826) + 0.61868*(1-0.3423) + 0.77763*(1-0.0376)))</f>
        <v>0.17536667618884283</v>
      </c>
      <c r="V5">
        <f t="shared" ref="V5:V67" si="31">1 - 0.94833 ^ (EXP(2.72107*(LN($B5)-3.8686) + 0.51125*(LN($C5)-LN(21.75)) + 2.81291*(LN($D5)*(1-1) - 4.24) + 2.88267*(LN($D5)*1 - 0.5826) + 0.61868*(1-0.3423) + 0.77763*(1-0.0376)))</f>
        <v>0.23664934105720536</v>
      </c>
      <c r="W5">
        <f t="shared" ref="W5:W67" si="32">1 - 0.94833 ^ (EXP(2.72107*(LN($B5)-3.8686) + 0.51125*(LN($C5)-LN(28)) + 2.81291*(LN($D5)*(1-0) - 4.24) + 2.88267*(LN($D5)*0 - 0.5826) + 0.61868*(0-0.3423) + 0.77763*(1-0.0376)))</f>
        <v>8.7237061688330786E-2</v>
      </c>
      <c r="X5">
        <f t="shared" ref="X5:X67" si="33">1 - 0.94833 ^ (EXP(2.72107*(LN($B5)-3.8686) + 0.51125*(LN($C5)-LN(28)) + 2.81291*(LN($D5)*(1-1) - 4.24) + 2.88267*(LN($D5)*1 - 0.5826) + 0.61868*(0-0.3423) + 0.77763*(1-0.0376)))</f>
        <v>0.12000193490591005</v>
      </c>
      <c r="Y5">
        <f t="shared" ref="Y5:Y67" si="34">1 - 0.8843 ^ (EXP(3.113*(LN($B5)-3.856) + 0.7928*(LN($C5)-LN(28)) + 1.8551*(LN($D5)*(1-0) - 4.3544) + 1.9267*(LN($D5)*0 - 0.5019) + 0.7095*(1-0.3522) + 0.5316*(1-0.065)))</f>
        <v>0.27839158915996376</v>
      </c>
      <c r="Z5">
        <f t="shared" ref="Z5:Z67" si="35">1 - 0.8843 ^ (EXP(3.113*(LN($B5)-3.856) + 0.7928*(LN($C5)-LN(28)) + 1.8551*(LN($D5)*(1-1) - 4.3544) + 1.9267*(LN($D5)*1 - 0.5019) + 0.7095*(1-0.3522) + 0.5316*(1-0.065)))</f>
        <v>0.36935971248600918</v>
      </c>
      <c r="AA5">
        <f t="shared" ref="AA5:AA67" si="36">1 - 0.8843 ^ (EXP(3.113*(LN($B5)-3.856) + 0.7928*(LN($C5)-LN(28)) + 1.8551*(LN($D5)*(1-0) - 4.3544) + 1.9267*(LN($D5)*0 - 0.5019) + 0.7095*(0-0.3522) + 0.5316*(1-0.065)))</f>
        <v>0.14827389977657579</v>
      </c>
      <c r="AB5">
        <f t="shared" ref="AB5:AB67" si="37">1 - 0.8843 ^ (EXP(3.113*(LN($B5)-3.856) + 0.7928*(LN($C5)-LN(28)) + 1.8551*(LN($D5)*(1-1) - 4.3544) + 1.9267*(LN($D5)*1 - 0.5019) + 0.7095*(0-0.3522) + 0.5316*(1-0.065)))</f>
        <v>0.20289669492605034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1.2785660549905402E-2</v>
      </c>
      <c r="AD5">
        <f t="shared" ref="AD5:AD44" si="38">AD4*(1-T4-H4)*(1-I4)</f>
        <v>0.87091330648149756</v>
      </c>
      <c r="AE5">
        <f t="shared" si="6"/>
        <v>6.0581546181591485E-3</v>
      </c>
      <c r="AF5">
        <f t="shared" si="7"/>
        <v>1.2980609505032139E-3</v>
      </c>
      <c r="AG5">
        <f t="shared" si="8"/>
        <v>1.0235078648745365E-3</v>
      </c>
      <c r="AH5">
        <f t="shared" si="9"/>
        <v>1.0577405557059853E-3</v>
      </c>
      <c r="AI5">
        <f t="shared" si="10"/>
        <v>9.1106349266533186E-4</v>
      </c>
      <c r="AJ5">
        <f t="shared" si="11"/>
        <v>1.3288320536042807E-6</v>
      </c>
      <c r="AK5">
        <f t="shared" si="12"/>
        <v>1.3288320536042807E-6</v>
      </c>
      <c r="AL5">
        <f t="shared" si="13"/>
        <v>0</v>
      </c>
      <c r="AM5">
        <f t="shared" si="14"/>
        <v>1.401589433983055E-4</v>
      </c>
      <c r="AN5">
        <f t="shared" si="15"/>
        <v>1.2074363645174152E-4</v>
      </c>
      <c r="AO5">
        <f t="shared" si="16"/>
        <v>1.6096259581801794E-7</v>
      </c>
      <c r="AP5">
        <f>AM4*T4*p_Stroke*p_Stroke_rec*(1-I4) + AN4*T4*p_Stroke*p_Stroke_rec*(1-I4) + AO4*(p_recur_Stroke*p_Stroke_rec)*(1-I4) + AP4*(p_recur_Stroke*p_Stroke_rec)*(1-I4) + AQ4*(p_recur_Stroke*p_Stroke_rec)*(1-I4)</f>
        <v>1.6096259581801788E-7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7.0222887763463748E-2</v>
      </c>
      <c r="AS5">
        <f>AR4*AC4*p_Other + AD4*T4*p_Other*I4 + AE4*(1-T4*p_Stroke-T4*p_MI-H4*rr_Other)*I4 + AS4*(1-AC4*p_Stroke-AC4*p_MI-H4*rr_Other*rr_DM)</f>
        <v>6.6333611390682261E-4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1.7201285569955061E-4</v>
      </c>
      <c r="AU5">
        <f>AF4*(1-p_recur_Stroke-T4*p_MI-H4*rr_Stroke)*I4 + AG4*(1-p_recur_Stroke-T4*p_MI-H4*rr_Stroke)*I4 + AT4*(1-p_recur_Stroke-AC4*p_MI-H4*rr_Stroke*rr_DM) + AU4*(1-p_recur_Stroke-AC4*p_MI-H4*rr_Stroke*rr_DM)</f>
        <v>8.2742926069629674E-5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1.427279791530182E-4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7.3691560016182647E-5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1.8369152389279845E-7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1.8369152389279845E-7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1.8263705704470526E-5</v>
      </c>
      <c r="BB5">
        <f>AM4*(1-T4*p_Stroke - H4*rr_HF)*I4 + AN4*(1-T4*p_Stroke - H4*rr_HF)*I4 + BA4*(1-AC4*p_Stroke - H4*rr_HF*rr_DM) + BB4*(1-AC4*p_Stroke - H4*rr_HF*rr_DM)</f>
        <v>9.7670598074983311E-6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2.2250715909022869E-8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2.2250715909022865E-8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5.0884420191448527E-3</v>
      </c>
      <c r="BG5">
        <f t="shared" si="17"/>
        <v>0.95799999999999996</v>
      </c>
      <c r="BH5">
        <f>(0.9442 - 0.0007*$B5 - dis_BMI*($C5-21.75))*AD5</f>
        <v>0.76192268655920925</v>
      </c>
      <c r="BI5">
        <f>0.959*(0.9442 - 0.0007*$B5 - dis_BMI*($C5-21.75))*AE5</f>
        <v>5.0827054153183117E-3</v>
      </c>
      <c r="BJ5">
        <f>(0.943*(0.9442 - 0.0007*$B5 - dis_BMI*($C5-21.75)) - 0.19*0.5)*AF5</f>
        <v>9.475690163077968E-4</v>
      </c>
      <c r="BK5">
        <f>(0.943*(0.9442 - 0.0007*$B5 - dis_BMI*($C5-21.75)))*AG5</f>
        <v>8.4438178462311502E-4</v>
      </c>
      <c r="BL5">
        <f>(0.955*(0.9442 - 0.0007*$B5 - dis_BMI*($C5-21.75)) - 0.15*0.5)*AH5</f>
        <v>8.0439723753196761E-4</v>
      </c>
      <c r="BM5">
        <f>(0.955*(0.9442 - 0.0007*$B5 - dis_BMI*($C5-21.75)))*AI5</f>
        <v>7.6118109752819406E-4</v>
      </c>
      <c r="BN5">
        <f>(0.955*0.943*(0.9442 - 0.0007*$B5 - dis_BMI*($C5-21.75)) - 0.19*0.5)*AJ5</f>
        <v>9.2069937767997602E-7</v>
      </c>
      <c r="BO5">
        <f>(0.955*0.943*(0.9442 - 0.0007*$B5 - dis_BMI*($C5-21.75)) - 0.15*0.5)*AK5</f>
        <v>9.4727601875206166E-7</v>
      </c>
      <c r="BP5">
        <f>(0.955*0.943*(0.9442 - 0.0007*$B5 - dis_BMI*($C5-21.75)))*AL5</f>
        <v>0</v>
      </c>
      <c r="BQ5">
        <f>(0.93*(0.9442 - 0.0007*$B5 - dis_BMI*($C5-21.75)))*AM5</f>
        <v>1.1403541368729039E-4</v>
      </c>
      <c r="BR5">
        <f>(0.93*(0.9442 - 0.0007*$B5 - dis_BMI*($C5-21.75)))*AN5</f>
        <v>9.8238829424912775E-5</v>
      </c>
      <c r="BS5">
        <f>(0.93*0.943*(0.9442 - 0.0007*$B5 - dis_BMI*($C5-21.75)))*AO5</f>
        <v>1.234967667355193E-7</v>
      </c>
      <c r="BT5">
        <f>(0.93*0.943*(0.9442 - 0.0007*$B5 - dis_BMI*($C5-21.75))-0.19*0.5)*AP5</f>
        <v>1.0820532013280756E-7</v>
      </c>
      <c r="BU5">
        <f>(0.93*0.943*(0.9442 - 0.0007*$B5 - dis_BMI*($C5-21.75)))*AQ5</f>
        <v>0</v>
      </c>
      <c r="BV5">
        <f>0.962*(0.9442 - 0.0007*$B5 - dis_BMI*($C5-21.75))*AR5</f>
        <v>5.910030687339788E-2</v>
      </c>
      <c r="BW5">
        <f>0.962*0.959*(0.9442 - 0.0007*$B5 - dis_BMI*($C5-21.75))*AS5</f>
        <v>5.3538142628314325E-4</v>
      </c>
      <c r="BX5">
        <f>0.962*(0.943*(0.9442 - 0.0007*$B5 - dis_BMI*($C5-21.75)) - 0.19*0.5)*AT5</f>
        <v>1.2079577496955467E-4</v>
      </c>
      <c r="BY5">
        <f>0.962*(0.943*(0.9442 - 0.0007*$B5 - dis_BMI*($C5-21.75)))*AU5</f>
        <v>6.566797417216334E-5</v>
      </c>
      <c r="BZ5">
        <f>0.962*(0.955*(0.9442 - 0.0007*$B5 - dis_BMI*($C5-21.75)) - 0.15*0.5)*AV5</f>
        <v>1.0441805587554557E-4</v>
      </c>
      <c r="CA5">
        <f>0.962*(0.955*(0.9442 - 0.0007*$B5 - dis_BMI*($C5-21.75)))*AW5</f>
        <v>5.9228696254324292E-5</v>
      </c>
      <c r="CB5">
        <f>0.962*(0.955*0.943*(0.9442 - 0.0007*$B5 - dis_BMI*($C5-21.75)) - 0.19*0.5)*AX5</f>
        <v>1.2243679234409521E-7</v>
      </c>
      <c r="CC5">
        <f>0.962*(0.955*0.943*(0.9442 - 0.0007*$B5 - dis_BMI*($C5-21.75)) - 0.15*0.5)*AY5</f>
        <v>1.2597101726379265E-7</v>
      </c>
      <c r="CD5">
        <f>0.962*(0.955*0.943*(0.9442 - 0.0007*$B5 - dis_BMI*($C5-21.75)))*AZ5</f>
        <v>0</v>
      </c>
      <c r="CE5">
        <f>0.962*(0.93*(0.9442 - 0.0007*$B5 - dis_BMI*($C5-21.75)))*BA5</f>
        <v>1.4294958537397907E-5</v>
      </c>
      <c r="CF5">
        <f>0.962*(0.93*(0.9442 - 0.0007*$B5 - dis_BMI*($C5-21.75)))*BB5</f>
        <v>7.6446542251443854E-6</v>
      </c>
      <c r="CG5">
        <f>0.962*(0.93*0.943*(0.9442 - 0.0007*$B5 - dis_BMI*($C5-21.75)))*BC5</f>
        <v>1.6422893672487806E-8</v>
      </c>
      <c r="CH5">
        <f>0.962*(0.93*0.943*(0.9442 - 0.0007*$B5 - dis_BMI*($C5-21.75))-0.19*0.5)*BD5</f>
        <v>1.4389400745562204E-8</v>
      </c>
      <c r="CI5">
        <f>0.962*(0.93*0.943*(0.9442 - 0.0007*$B5 - dis_BMI*($C5-21.75)))*BE5</f>
        <v>0</v>
      </c>
      <c r="CJ5">
        <f t="shared" si="18"/>
        <v>0</v>
      </c>
      <c r="CK5">
        <f t="shared" si="19"/>
        <v>0.83058531266493341</v>
      </c>
      <c r="CL5">
        <f>CK5/(1+r_)^A5</f>
        <v>0.78290631790454657</v>
      </c>
      <c r="CM5">
        <f>AD5*c_SEM</f>
        <v>11860.097407665035</v>
      </c>
      <c r="CN5">
        <f>AE5*(c_Other+c_SEM)</f>
        <v>169.00433938278576</v>
      </c>
      <c r="CO5">
        <f>AF5*(c_Stroke1+c_Stroke2+c_SEM)</f>
        <v>48.591613621137306</v>
      </c>
      <c r="CP5">
        <f>AG5*(c_Stroke2 + c_SEM)</f>
        <v>20.590931225545926</v>
      </c>
      <c r="CQ5">
        <f>AH5*(c_MI1+c_MI2 + c_SEM)</f>
        <v>45.238505826989282</v>
      </c>
      <c r="CR5">
        <f>AI5*(c_MI2+c_SEM)</f>
        <v>15.246647549754329</v>
      </c>
      <c r="CS5">
        <f>AJ5*(c_Stroke1+c_Stroke2+c_MI2+c_SEM)</f>
        <v>5.3885468605707185E-2</v>
      </c>
      <c r="CT5">
        <f>AK5*(c_Stroke2+c_MI1+c_MI2+c_SEM)</f>
        <v>6.5470226449029306E-2</v>
      </c>
      <c r="CU5">
        <f>AL5*(c_Stroke2+c_MI2+c_SEM)</f>
        <v>0</v>
      </c>
      <c r="CV5">
        <f>AM5*(c_HF1+c_SEM)</f>
        <v>5.6971807312543223</v>
      </c>
      <c r="CW5">
        <f>AN5*(c_HF2+c_SEM)</f>
        <v>3.5284912880292425</v>
      </c>
      <c r="CX5">
        <f>AO5*(c_Stroke2+c_HF1+c_SEM)</f>
        <v>7.5890644676279099E-3</v>
      </c>
      <c r="CY5">
        <f>AP5*(c_Stroke1+c_Stroke2+c_HF2+c_SEM)</f>
        <v>8.5372951195918506E-3</v>
      </c>
      <c r="CZ5">
        <f>AQ5*(c_Stroke2+c_HF2+c_SEM)</f>
        <v>0</v>
      </c>
      <c r="DA5">
        <f>AR5*(c_DM+c_SEM)</f>
        <v>1758.5917782604226</v>
      </c>
      <c r="DB5">
        <f>AS5*(c_Other+c_DM+c_SEM)</f>
        <v>26.08370267104408</v>
      </c>
      <c r="DC5">
        <f>AT5*(c_Stroke1+c_Stroke2+c_DM+c_SEM)</f>
        <v>8.4043761166243431</v>
      </c>
      <c r="DD5">
        <f>AU5*(c_Stroke2+c_DM+c_SEM)</f>
        <v>2.609960117014329</v>
      </c>
      <c r="DE5">
        <f>AV5*(c_MI1+c_MI2+c_DM+c_SEM)</f>
        <v>7.7350001022186685</v>
      </c>
      <c r="DF5">
        <f>AW5*(c_MI2+c_DM+c_SEM)</f>
        <v>2.0751543300557032</v>
      </c>
      <c r="DG5">
        <f>AX5*(c_Stroke1+c_Stroke2+c_MI2+c_DM+c_SEM)</f>
        <v>9.5475506458520924E-3</v>
      </c>
      <c r="DH5">
        <f>AY5*(c_Stroke2+c_MI1+c_MI2+c_DM+c_SEM)</f>
        <v>1.1148973351149508E-2</v>
      </c>
      <c r="DI5">
        <f>AZ5*(c_Stroke2+c_MI2+c_DM+c_SEM)</f>
        <v>0</v>
      </c>
      <c r="DJ5">
        <f>BA5*(c_HF1+c_DM+c_SEM)</f>
        <v>0.95104594714889368</v>
      </c>
      <c r="DK5">
        <f>BB5*(c_HF2+c_DM+c_SEM)</f>
        <v>0.39701144705519215</v>
      </c>
      <c r="DL5">
        <f>BC5*(c_Stroke2+c_HF1+c_DM+c_SEM)</f>
        <v>1.3032911829391964E-3</v>
      </c>
      <c r="DM5">
        <f>BD5*(c_Stroke1+c_Stroke2+c_HF2+c_DM+c_SEM)</f>
        <v>1.4343701503592499E-3</v>
      </c>
      <c r="DN5">
        <f>BE5*(c_Stroke2+c_HF2+c_DM+c_SEM)</f>
        <v>0</v>
      </c>
      <c r="DO5">
        <f t="shared" si="20"/>
        <v>0</v>
      </c>
      <c r="DP5">
        <f t="shared" ref="DP4:DP44" si="39">SUM(CM5:DO5)</f>
        <v>13975.00206252209</v>
      </c>
      <c r="DQ5">
        <f>DP5/(1+r_)^A5</f>
        <v>13172.779774269102</v>
      </c>
    </row>
    <row r="6" spans="1:121" x14ac:dyDescent="0.3">
      <c r="A6">
        <v>3</v>
      </c>
      <c r="B6">
        <v>48</v>
      </c>
      <c r="C6">
        <f t="shared" ref="C6:C67" si="40">C$4</f>
        <v>32.793999999999997</v>
      </c>
      <c r="D6">
        <f t="shared" si="1"/>
        <v>125</v>
      </c>
      <c r="E6">
        <f t="shared" ref="E6:E43" si="41">E$4</f>
        <v>5.4</v>
      </c>
      <c r="F6">
        <v>2.5300000000000001E-3</v>
      </c>
      <c r="G6">
        <v>4.1099999999999999E-3</v>
      </c>
      <c r="H6">
        <f t="shared" si="3"/>
        <v>2.846E-3</v>
      </c>
      <c r="I6">
        <f t="shared" si="21"/>
        <v>1.9177515277734612E-2</v>
      </c>
      <c r="J6">
        <f t="shared" si="22"/>
        <v>8.9554946730997065E-2</v>
      </c>
      <c r="K6">
        <f t="shared" si="23"/>
        <v>0.12312999468954489</v>
      </c>
      <c r="L6">
        <f t="shared" si="24"/>
        <v>4.3443190107539054E-2</v>
      </c>
      <c r="M6">
        <f t="shared" si="25"/>
        <v>6.0307855052257664E-2</v>
      </c>
      <c r="N6">
        <f t="shared" si="26"/>
        <v>0.18512946605533376</v>
      </c>
      <c r="O6">
        <f t="shared" si="27"/>
        <v>0.25119420577996898</v>
      </c>
      <c r="P6">
        <f t="shared" si="28"/>
        <v>9.5798192096650636E-2</v>
      </c>
      <c r="Q6">
        <f t="shared" si="29"/>
        <v>0.13263188376633084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7.0300996573451832E-3</v>
      </c>
      <c r="U6">
        <f t="shared" si="30"/>
        <v>0.18468848227845081</v>
      </c>
      <c r="V6">
        <f t="shared" si="31"/>
        <v>0.248706841477633</v>
      </c>
      <c r="W6">
        <f t="shared" si="32"/>
        <v>9.2136232204699464E-2</v>
      </c>
      <c r="X6">
        <f t="shared" si="33"/>
        <v>0.12660976981975403</v>
      </c>
      <c r="Y6">
        <f t="shared" si="34"/>
        <v>0.29416418232449582</v>
      </c>
      <c r="Z6">
        <f t="shared" si="35"/>
        <v>0.38874842087199557</v>
      </c>
      <c r="AA6">
        <f t="shared" si="36"/>
        <v>0.15748266135053679</v>
      </c>
      <c r="AB6">
        <f t="shared" si="37"/>
        <v>0.21504685187053252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1.3499179710620011E-2</v>
      </c>
      <c r="AD6">
        <f t="shared" si="38"/>
        <v>0.8462640026964745</v>
      </c>
      <c r="AE6">
        <f t="shared" si="6"/>
        <v>9.0135967998744709E-3</v>
      </c>
      <c r="AF6">
        <f t="shared" si="7"/>
        <v>1.4598726374914044E-3</v>
      </c>
      <c r="AG6">
        <f t="shared" si="8"/>
        <v>1.9814883469078744E-3</v>
      </c>
      <c r="AH6">
        <f t="shared" si="9"/>
        <v>1.1484717264949691E-3</v>
      </c>
      <c r="AI6">
        <f t="shared" si="10"/>
        <v>1.7537071234046322E-3</v>
      </c>
      <c r="AJ6">
        <f t="shared" si="11"/>
        <v>3.0008361666862075E-6</v>
      </c>
      <c r="AK6">
        <f t="shared" si="12"/>
        <v>2.8879624770189967E-6</v>
      </c>
      <c r="AL6">
        <f t="shared" si="13"/>
        <v>2.035114475887845E-6</v>
      </c>
      <c r="AM6">
        <f t="shared" si="14"/>
        <v>1.6228795805017009E-4</v>
      </c>
      <c r="AN6">
        <f t="shared" si="15"/>
        <v>2.5426760173639983E-4</v>
      </c>
      <c r="AO6">
        <f t="shared" si="16"/>
        <v>3.8110179635609037E-7</v>
      </c>
      <c r="AP6">
        <f>AM5*T5*p_Stroke*p_Stroke_rec*(1-I5) + AN5*T5*p_Stroke*p_Stroke_rec*(1-I5) + AO5*(p_recur_Stroke*p_Stroke_rec)*(1-I5) + AP5*(p_recur_Stroke*p_Stroke_rec)*(1-I5) + AQ5*(p_recur_Stroke*p_Stroke_rec)*(1-I5)</f>
        <v>3.9438866313394698E-7</v>
      </c>
      <c r="AQ6">
        <f>AO5*(1-p_recur_Stroke-H5*rr_Stroke*rr_HF)*(1-I5) + AP5*(1-p_recur_Stroke-H5*rr_Stroke*rr_HF)*(1-I5) + AQ5*(1-p_recur_Stroke-H5*rr_Stroke*rr_HF)*(1-I5)</f>
        <v>2.7306952747670233E-7</v>
      </c>
      <c r="AR6">
        <f>AR5*(1-AC5-H5*rr_DM) + AD5*(1-T5-H5)*I5</f>
        <v>8.56564697203646E-2</v>
      </c>
      <c r="AS6">
        <f>AR5*AC5*p_Other + AD5*T5*p_Other*I5 + AE5*(1-T5*p_Stroke-T5*p_MI-H5*rr_Other)*I5 + AS5*(1-AC5*p_Stroke-AC5*p_MI-H5*rr_Other*rr_DM)</f>
        <v>1.3257119091586609E-3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2.4844800841670875E-4</v>
      </c>
      <c r="AU6">
        <f>AF5*(1-p_recur_Stroke-T5*p_MI-H5*rr_Stroke)*I5 + AG5*(1-p_recur_Stroke-T5*p_MI-H5*rr_Stroke)*I5 + AT5*(1-p_recur_Stroke-AC5*p_MI-H5*rr_Stroke*rr_DM) + AU5*(1-p_recur_Stroke-AC5*p_MI-H5*rr_Stroke*rr_DM)</f>
        <v>2.5976864669580038E-4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1.9923624171100219E-4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2.3039114459670536E-4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6.8474421488840634E-7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6.6683871310977076E-7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3.2589082306903867E-7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2.7183776961897344E-5</v>
      </c>
      <c r="BB6">
        <f>AM5*(1-T5*p_Stroke - H5*rr_HF)*I5 + AN5*(1-T5*p_Stroke - H5*rr_HF)*I5 + BA5*(1-AC5*p_Stroke - H5*rr_HF*rr_DM) + BB5*(1-AC5*p_Stroke - H5*rr_HF*rr_DM)</f>
        <v>3.2763605832109175E-5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8.5794965334694389E-8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8.8459951882745809E-8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4.3723803776993224E-8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7.9714641302495656E-3</v>
      </c>
      <c r="BG6">
        <f t="shared" si="17"/>
        <v>0.95800000000000018</v>
      </c>
      <c r="BH6">
        <f>(0.9442 - 0.0007*$B6 - dis_BMI*($C6-21.75))*AD6</f>
        <v>0.73976574002433626</v>
      </c>
      <c r="BI6">
        <f>0.959*(0.9442 - 0.0007*$B6 - dis_BMI*($C6-21.75))*AE6</f>
        <v>7.5562284726520381E-3</v>
      </c>
      <c r="BJ6">
        <f>(0.943*(0.9442 - 0.0007*$B6 - dis_BMI*($C6-21.75)) - 0.19*0.5)*AF6</f>
        <v>1.0647259565033369E-3</v>
      </c>
      <c r="BK6">
        <f>(0.943*(0.9442 - 0.0007*$B6 - dis_BMI*($C6-21.75)))*AG6</f>
        <v>1.6333962792667495E-3</v>
      </c>
      <c r="BL6">
        <f>(0.955*(0.9442 - 0.0007*$B6 - dis_BMI*($C6-21.75)) - 0.15*0.5)*AH6</f>
        <v>8.7262929963564798E-4</v>
      </c>
      <c r="BM6">
        <f>(0.955*(0.9442 - 0.0007*$B6 - dis_BMI*($C6-21.75)))*AI6</f>
        <v>1.464025982231026E-3</v>
      </c>
      <c r="BN6">
        <f>(0.955*0.943*(0.9442 - 0.0007*$B6 - dis_BMI*($C6-21.75)) - 0.19*0.5)*AJ6</f>
        <v>2.0772784747415283E-6</v>
      </c>
      <c r="BO6">
        <f>(0.955*0.943*(0.9442 - 0.0007*$B6 - dis_BMI*($C6-21.75)) - 0.15*0.5)*AK6</f>
        <v>2.0569028069167674E-6</v>
      </c>
      <c r="BP6">
        <f>(0.955*0.943*(0.9442 - 0.0007*$B6 - dis_BMI*($C6-21.75)))*AL6</f>
        <v>1.6021097167566801E-6</v>
      </c>
      <c r="BQ6">
        <f>(0.93*(0.9442 - 0.0007*$B6 - dis_BMI*($C6-21.75)))*AM6</f>
        <v>1.3193426168593201E-4</v>
      </c>
      <c r="BR6">
        <f>(0.93*(0.9442 - 0.0007*$B6 - dis_BMI*($C6-21.75)))*AN6</f>
        <v>2.0671039742439692E-4</v>
      </c>
      <c r="BS6">
        <f>(0.93*0.943*(0.9442 - 0.0007*$B6 - dis_BMI*($C6-21.75)))*AO6</f>
        <v>2.9216217151113746E-7</v>
      </c>
      <c r="BT6">
        <f>(0.93*0.943*(0.9442 - 0.0007*$B6 - dis_BMI*($C6-21.75))-0.19*0.5)*AP6</f>
        <v>2.6488129299684137E-7</v>
      </c>
      <c r="BU6">
        <f>(0.93*0.943*(0.9442 - 0.0007*$B6 - dis_BMI*($C6-21.75)))*AQ6</f>
        <v>2.0934193143127806E-7</v>
      </c>
      <c r="BV6">
        <f>0.962*(0.9442 - 0.0007*$B6 - dis_BMI*($C6-21.75))*AR6</f>
        <v>7.2031687619141152E-2</v>
      </c>
      <c r="BW6">
        <f>0.962*0.959*(0.9442 - 0.0007*$B6 - dis_BMI*($C6-21.75))*AS6</f>
        <v>1.0691316429664423E-3</v>
      </c>
      <c r="BX6">
        <f>0.962*(0.943*(0.9442 - 0.0007*$B6 - dis_BMI*($C6-21.75)) - 0.19*0.5)*AT6</f>
        <v>1.7431448005683999E-4</v>
      </c>
      <c r="BY6">
        <f>0.962*(0.943*(0.9442 - 0.0007*$B6 - dis_BMI*($C6-21.75)))*AU6</f>
        <v>2.0599744947412491E-4</v>
      </c>
      <c r="BZ6">
        <f>0.962*(0.955*(0.9442 - 0.0007*$B6 - dis_BMI*($C6-21.75)) - 0.15*0.5)*AV6</f>
        <v>1.456306861451703E-4</v>
      </c>
      <c r="CA6">
        <f>0.962*(0.955*(0.9442 - 0.0007*$B6 - dis_BMI*($C6-21.75)))*AW6</f>
        <v>1.8502592012541232E-4</v>
      </c>
      <c r="CB6">
        <f>0.962*(0.955*0.943*(0.9442 - 0.0007*$B6 - dis_BMI*($C6-21.75)) - 0.19*0.5)*AX6</f>
        <v>4.5599058875228639E-7</v>
      </c>
      <c r="CC6">
        <f>0.962*(0.955*0.943*(0.9442 - 0.0007*$B6 - dis_BMI*($C6-21.75)) - 0.15*0.5)*AY6</f>
        <v>4.5689678424406879E-7</v>
      </c>
      <c r="CD6">
        <f>0.962*(0.955*0.943*(0.9442 - 0.0007*$B6 - dis_BMI*($C6-21.75)))*AZ6</f>
        <v>2.4680310210091152E-7</v>
      </c>
      <c r="CE6">
        <f>0.962*(0.93*(0.9442 - 0.0007*$B6 - dis_BMI*($C6-21.75)))*BA6</f>
        <v>2.1259652694569379E-5</v>
      </c>
      <c r="CF6">
        <f>0.962*(0.93*(0.9442 - 0.0007*$B6 - dis_BMI*($C6-21.75)))*BB6</f>
        <v>2.5623476899061208E-5</v>
      </c>
      <c r="CG6">
        <f>0.962*(0.93*0.943*(0.9442 - 0.0007*$B6 - dis_BMI*($C6-21.75)))*BC6</f>
        <v>6.3273209308238536E-8</v>
      </c>
      <c r="CH6">
        <f>0.962*(0.93*0.943*(0.9442 - 0.0007*$B6 - dis_BMI*($C6-21.75))-0.19*0.5)*BD6</f>
        <v>5.7154263942483341E-8</v>
      </c>
      <c r="CI6">
        <f>0.962*(0.93*0.943*(0.9442 - 0.0007*$B6 - dis_BMI*($C6-21.75)))*BE6</f>
        <v>3.2246010909165639E-8</v>
      </c>
      <c r="CJ6">
        <f t="shared" si="18"/>
        <v>0</v>
      </c>
      <c r="CK6">
        <f t="shared" si="19"/>
        <v>0.82656187664159175</v>
      </c>
      <c r="CL6">
        <f>CK6/(1+r_)^A6</f>
        <v>0.7564212073478479</v>
      </c>
      <c r="CM6">
        <f>AD6*c_SEM</f>
        <v>11524.42318872059</v>
      </c>
      <c r="CN6">
        <f>AE6*(c_Other+c_SEM)</f>
        <v>251.45230992609811</v>
      </c>
      <c r="CO6">
        <f>AF6*(c_Stroke1+c_Stroke2+c_SEM)</f>
        <v>54.648872311853232</v>
      </c>
      <c r="CP6">
        <f>AG6*(c_Stroke2 + c_SEM)</f>
        <v>39.863582563092613</v>
      </c>
      <c r="CQ6">
        <f>AH6*(c_MI1+c_MI2 + c_SEM)</f>
        <v>49.118987270463336</v>
      </c>
      <c r="CR6">
        <f>AI6*(c_MI2+c_SEM)</f>
        <v>29.348288710176519</v>
      </c>
      <c r="CS6">
        <f>AJ6*(c_Stroke1+c_Stroke2+c_MI2+c_SEM)</f>
        <v>0.12168690739529239</v>
      </c>
      <c r="CT6">
        <f>AK6*(c_Stroke2+c_MI1+c_MI2+c_SEM)</f>
        <v>0.14228702328024895</v>
      </c>
      <c r="CU6">
        <f>AL6*(c_Stroke2+c_MI2+c_SEM)</f>
        <v>4.728588484725408E-2</v>
      </c>
      <c r="CV6">
        <f>AM6*(c_HF1+c_SEM)</f>
        <v>6.5966809188233144</v>
      </c>
      <c r="CW6">
        <f>AN6*(c_HF2+c_SEM)</f>
        <v>7.430462125542812</v>
      </c>
      <c r="CX6">
        <f>AO6*(c_Stroke2+c_HF1+c_SEM)</f>
        <v>1.796818749459695E-2</v>
      </c>
      <c r="CY6">
        <f>AP6*(c_Stroke1+c_Stroke2+c_HF2+c_SEM)</f>
        <v>2.0917980303961414E-2</v>
      </c>
      <c r="CZ6">
        <f>AQ6*(c_Stroke2+c_HF2+c_SEM)</f>
        <v>9.7548627300502368E-3</v>
      </c>
      <c r="DA6">
        <f>AR6*(c_DM+c_SEM)</f>
        <v>2145.0949712070906</v>
      </c>
      <c r="DB6">
        <f>AS6*(c_Other+c_DM+c_SEM)</f>
        <v>52.129643691936863</v>
      </c>
      <c r="DC6">
        <f>AT6*(c_Stroke1+c_Stroke2+c_DM+c_SEM)</f>
        <v>12.138921243231973</v>
      </c>
      <c r="DD6">
        <f>AU6*(c_Stroke2+c_DM+c_SEM)</f>
        <v>8.1938824227256308</v>
      </c>
      <c r="DE6">
        <f>AV6*(c_MI1+c_MI2+c_DM+c_SEM)</f>
        <v>10.797408883286053</v>
      </c>
      <c r="DF6">
        <f>AW6*(c_MI2+c_DM+c_SEM)</f>
        <v>6.4878146318432233</v>
      </c>
      <c r="DG6">
        <f>AX6*(c_Stroke1+c_Stroke2+c_MI2+c_DM+c_SEM)</f>
        <v>3.5590265313039805E-2</v>
      </c>
      <c r="DH6">
        <f>AY6*(c_Stroke2+c_MI1+c_MI2+c_DM+c_SEM)</f>
        <v>4.047310885348443E-2</v>
      </c>
      <c r="DI6">
        <f>AZ6*(c_Stroke2+c_MI2+c_DM+c_SEM)</f>
        <v>1.1295375927572881E-2</v>
      </c>
      <c r="DJ6">
        <f>BA6*(c_HF1+c_DM+c_SEM)</f>
        <v>1.4155408177368805</v>
      </c>
      <c r="DK6">
        <f>BB6*(c_HF2+c_DM+c_SEM)</f>
        <v>1.3317750498635736</v>
      </c>
      <c r="DL6">
        <f>BC6*(c_Stroke2+c_HF1+c_DM+c_SEM)</f>
        <v>5.0252685045490547E-3</v>
      </c>
      <c r="DM6">
        <f>BD6*(c_Stroke1+c_Stroke2+c_HF2+c_DM+c_SEM)</f>
        <v>5.7024823381693259E-3</v>
      </c>
      <c r="DN6">
        <f>BE6*(c_Stroke2+c_HF2+c_DM+c_SEM)</f>
        <v>2.0614899004776765E-3</v>
      </c>
      <c r="DO6">
        <f t="shared" si="20"/>
        <v>0</v>
      </c>
      <c r="DP6">
        <f t="shared" si="39"/>
        <v>14200.932379331241</v>
      </c>
      <c r="DQ6">
        <f>DP6/(1+r_)^A6</f>
        <v>12995.864821983205</v>
      </c>
    </row>
    <row r="7" spans="1:121" x14ac:dyDescent="0.3">
      <c r="A7">
        <v>4</v>
      </c>
      <c r="B7">
        <v>49</v>
      </c>
      <c r="C7">
        <f t="shared" si="40"/>
        <v>32.793999999999997</v>
      </c>
      <c r="D7">
        <f t="shared" si="1"/>
        <v>125</v>
      </c>
      <c r="E7">
        <f t="shared" si="41"/>
        <v>5.4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1"/>
        <v>1.9177515277734612E-2</v>
      </c>
      <c r="J7">
        <f t="shared" si="22"/>
        <v>9.4471216055063589E-2</v>
      </c>
      <c r="K7">
        <f t="shared" si="23"/>
        <v>0.12975409986012276</v>
      </c>
      <c r="L7">
        <f t="shared" si="24"/>
        <v>4.5891907253320707E-2</v>
      </c>
      <c r="M7">
        <f t="shared" si="25"/>
        <v>6.36750719831356E-2</v>
      </c>
      <c r="N7">
        <f t="shared" si="26"/>
        <v>0.19611404625401407</v>
      </c>
      <c r="O7">
        <f t="shared" si="27"/>
        <v>0.26541713375520959</v>
      </c>
      <c r="P7">
        <f t="shared" si="28"/>
        <v>0.10181440509553152</v>
      </c>
      <c r="Q7">
        <f t="shared" si="29"/>
        <v>0.14077521613168587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7.4333532892213259E-3</v>
      </c>
      <c r="U7">
        <f t="shared" si="30"/>
        <v>0.1942393948656651</v>
      </c>
      <c r="V7">
        <f t="shared" si="31"/>
        <v>0.26100354828139871</v>
      </c>
      <c r="W7">
        <f t="shared" si="32"/>
        <v>9.7186503099817134E-2</v>
      </c>
      <c r="X7">
        <f t="shared" si="33"/>
        <v>0.13340647105792192</v>
      </c>
      <c r="Y7">
        <f t="shared" si="34"/>
        <v>0.31027835363467182</v>
      </c>
      <c r="Z7">
        <f t="shared" si="35"/>
        <v>0.40837305400316382</v>
      </c>
      <c r="AA7">
        <f t="shared" si="36"/>
        <v>0.16699948472849391</v>
      </c>
      <c r="AB7">
        <f t="shared" si="37"/>
        <v>0.22754596576315422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1.42322423993779E-2</v>
      </c>
      <c r="AD7">
        <f t="shared" si="38"/>
        <v>0.82183725582861777</v>
      </c>
      <c r="AE7">
        <f t="shared" si="6"/>
        <v>1.1974339830431946E-2</v>
      </c>
      <c r="AF7">
        <f t="shared" si="7"/>
        <v>1.620525473613474E-3</v>
      </c>
      <c r="AG7">
        <f t="shared" si="8"/>
        <v>2.9350324343680027E-3</v>
      </c>
      <c r="AH7">
        <f t="shared" si="9"/>
        <v>1.2377524539363149E-3</v>
      </c>
      <c r="AI7">
        <f t="shared" si="10"/>
        <v>2.5840341962933304E-3</v>
      </c>
      <c r="AJ7">
        <f t="shared" si="11"/>
        <v>5.0924220545850053E-6</v>
      </c>
      <c r="AK7">
        <f t="shared" si="12"/>
        <v>4.7564552509487474E-6</v>
      </c>
      <c r="AL7">
        <f t="shared" si="13"/>
        <v>6.0607656325218328E-6</v>
      </c>
      <c r="AM7">
        <f t="shared" si="14"/>
        <v>1.840883110223996E-4</v>
      </c>
      <c r="AN7">
        <f t="shared" si="15"/>
        <v>4.0579017476416652E-4</v>
      </c>
      <c r="AO7">
        <f t="shared" si="16"/>
        <v>6.6941703534230577E-7</v>
      </c>
      <c r="AP7">
        <f>AM6*T6*p_Stroke*p_Stroke_rec*(1-I6) + AN6*T6*p_Stroke*p_Stroke_rec*(1-I6) + AO6*(p_recur_Stroke*p_Stroke_rec)*(1-I6) + AP6*(p_recur_Stroke*p_Stroke_rec)*(1-I6) + AQ6*(p_recur_Stroke*p_Stroke_rec)*(1-I6)</f>
        <v>7.2131274117916603E-7</v>
      </c>
      <c r="AQ7">
        <f>AO6*(1-p_recur_Stroke-H6*rr_Stroke*rr_HF)*(1-I6) + AP6*(1-p_recur_Stroke-H6*rr_Stroke*rr_HF)*(1-I6) + AQ6*(1-p_recur_Stroke-H6*rr_Stroke*rr_HF)*(1-I6)</f>
        <v>8.8836327683870769E-7</v>
      </c>
      <c r="AR7">
        <f>AR6*(1-AC6-H6*rr_DM) + AD6*(1-T6-H6)*I6</f>
        <v>0.10028879182328693</v>
      </c>
      <c r="AS7">
        <f>AR6*AC6*p_Other + AD6*T6*p_Other*I6 + AE6*(1-T6*p_Stroke-T6*p_MI-H6*rr_Other)*I6 + AS6*(1-AC6*p_Stroke-AC6*p_MI-H6*rr_Other*rr_DM)</f>
        <v>2.1795034687469962E-3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3.3625061829011015E-4</v>
      </c>
      <c r="AU7">
        <f>AF6*(1-p_recur_Stroke-T6*p_MI-H6*rr_Stroke)*I6 + AG6*(1-p_recur_Stroke-T6*p_MI-H6*rr_Stroke)*I6 + AT6*(1-p_recur_Stroke-AC6*p_MI-H6*rr_Stroke*rr_DM) + AU6*(1-p_recur_Stroke-AC6*p_MI-H6*rr_Stroke*rr_DM)</f>
        <v>4.9790225611120661E-4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2.6230378102595449E-4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4.3960516049702184E-4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1.5119616193383779E-6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1.4335429754348824E-6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1.4230981758717759E-6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3.7596495368570644E-5</v>
      </c>
      <c r="BB7">
        <f>AM6*(1-T6*p_Stroke - H6*rr_HF)*I6 + AN6*(1-T6*p_Stroke - H6*rr_HF)*I6 + BA6*(1-AC6*p_Stroke - H6*rr_HF*rr_DM) + BB6*(1-AC6*p_Stroke - H6*rr_HF*rr_DM)</f>
        <v>6.7338375849948737E-5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1.9559953850036862E-7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2.0940359457043735E-7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2.0512689970022764E-7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1.1088721848981199E-2</v>
      </c>
      <c r="BG7">
        <f t="shared" si="17"/>
        <v>0.9580000000000003</v>
      </c>
      <c r="BH7">
        <f>(0.9442 - 0.0007*$B7 - dis_BMI*($C7-21.75))*AD7</f>
        <v>0.71783769592233426</v>
      </c>
      <c r="BI7">
        <f>0.959*(0.9442 - 0.0007*$B7 - dis_BMI*($C7-21.75))*AE7</f>
        <v>1.0030223773051369E-2</v>
      </c>
      <c r="BJ7">
        <f>(0.943*(0.9442 - 0.0007*$B7 - dis_BMI*($C7-21.75)) - 0.19*0.5)*AF7</f>
        <v>1.1808248555100344E-3</v>
      </c>
      <c r="BK7">
        <f>(0.943*(0.9442 - 0.0007*$B7 - dis_BMI*($C7-21.75)))*AG7</f>
        <v>2.4174919323810152E-3</v>
      </c>
      <c r="BL7">
        <f>(0.955*(0.9442 - 0.0007*$B7 - dis_BMI*($C7-21.75)) - 0.15*0.5)*AH7</f>
        <v>9.3963895106261919E-4</v>
      </c>
      <c r="BM7">
        <f>(0.955*(0.9442 - 0.0007*$B7 - dis_BMI*($C7-21.75)))*AI7</f>
        <v>2.1554704038713067E-3</v>
      </c>
      <c r="BN7">
        <f>(0.955*0.943*(0.9442 - 0.0007*$B7 - dis_BMI*($C7-21.75)) - 0.19*0.5)*AJ7</f>
        <v>3.521933463572516E-6</v>
      </c>
      <c r="BO7">
        <f>(0.955*0.943*(0.9442 - 0.0007*$B7 - dis_BMI*($C7-21.75)) - 0.15*0.5)*AK7</f>
        <v>3.3847069791111019E-6</v>
      </c>
      <c r="BP7">
        <f>(0.955*0.943*(0.9442 - 0.0007*$B7 - dis_BMI*($C7-21.75)))*AL7</f>
        <v>4.76741534979198E-6</v>
      </c>
      <c r="BQ7">
        <f>(0.93*(0.9442 - 0.0007*$B7 - dis_BMI*($C7-21.75)))*AM7</f>
        <v>1.495373215643593E-4</v>
      </c>
      <c r="BR7">
        <f>(0.93*(0.9442 - 0.0007*$B7 - dis_BMI*($C7-21.75)))*AN7</f>
        <v>3.2962861962475813E-4</v>
      </c>
      <c r="BS7">
        <f>(0.93*0.943*(0.9442 - 0.0007*$B7 - dis_BMI*($C7-21.75)))*AO7</f>
        <v>5.127808963715341E-7</v>
      </c>
      <c r="BT7">
        <f>(0.93*0.943*(0.9442 - 0.0007*$B7 - dis_BMI*($C7-21.75))-0.19*0.5)*AP7</f>
        <v>4.840088739729744E-7</v>
      </c>
      <c r="BU7">
        <f>(0.93*0.943*(0.9442 - 0.0007*$B7 - dis_BMI*($C7-21.75)))*AQ7</f>
        <v>6.8049615314609985E-7</v>
      </c>
      <c r="BV7">
        <f>0.962*(0.9442 - 0.0007*$B7 - dis_BMI*($C7-21.75))*AR7</f>
        <v>8.4269012993289191E-2</v>
      </c>
      <c r="BW7">
        <f>0.962*0.959*(0.9442 - 0.0007*$B7 - dis_BMI*($C7-21.75))*AS7</f>
        <v>1.7562716039686518E-3</v>
      </c>
      <c r="BX7">
        <f>0.962*(0.943*(0.9442 - 0.0007*$B7 - dis_BMI*($C7-21.75)) - 0.19*0.5)*AT7</f>
        <v>2.357044530568712E-4</v>
      </c>
      <c r="BY7">
        <f>0.962*(0.943*(0.9442 - 0.0007*$B7 - dis_BMI*($C7-21.75)))*AU7</f>
        <v>3.945220623759428E-4</v>
      </c>
      <c r="BZ7">
        <f>0.962*(0.955*(0.9442 - 0.0007*$B7 - dis_BMI*($C7-21.75)) - 0.15*0.5)*AV7</f>
        <v>1.9156088652601686E-4</v>
      </c>
      <c r="CA7">
        <f>0.962*(0.955*(0.9442 - 0.0007*$B7 - dis_BMI*($C7-21.75)))*AW7</f>
        <v>3.5276189048119485E-4</v>
      </c>
      <c r="CB7">
        <f>0.962*(0.955*0.943*(0.9442 - 0.0007*$B7 - dis_BMI*($C7-21.75)) - 0.19*0.5)*AX7</f>
        <v>1.0059411995726165E-6</v>
      </c>
      <c r="CC7">
        <f>0.962*(0.955*0.943*(0.9442 - 0.0007*$B7 - dis_BMI*($C7-21.75)) - 0.15*0.5)*AY7</f>
        <v>9.8134892410778055E-7</v>
      </c>
      <c r="CD7">
        <f>0.962*(0.955*0.943*(0.9442 - 0.0007*$B7 - dis_BMI*($C7-21.75)))*AZ7</f>
        <v>1.0768753455090645E-6</v>
      </c>
      <c r="CE7">
        <f>0.962*(0.93*(0.9442 - 0.0007*$B7 - dis_BMI*($C7-21.75)))*BA7</f>
        <v>2.937959600647937E-5</v>
      </c>
      <c r="CF7">
        <f>0.962*(0.93*(0.9442 - 0.0007*$B7 - dis_BMI*($C7-21.75)))*BB7</f>
        <v>5.2621241921868399E-5</v>
      </c>
      <c r="CG7">
        <f>0.962*(0.93*0.943*(0.9442 - 0.0007*$B7 - dis_BMI*($C7-21.75)))*BC7</f>
        <v>1.4413782848955924E-7</v>
      </c>
      <c r="CH7">
        <f>0.962*(0.93*0.943*(0.9442 - 0.0007*$B7 - dis_BMI*($C7-21.75))-0.19*0.5)*BD7</f>
        <v>1.3517268020250167E-7</v>
      </c>
      <c r="CI7">
        <f>0.962*(0.93*0.943*(0.9442 - 0.0007*$B7 - dis_BMI*($C7-21.75)))*BE7</f>
        <v>1.5115856670352375E-7</v>
      </c>
      <c r="CJ7">
        <f t="shared" si="18"/>
        <v>0</v>
      </c>
      <c r="CK7">
        <f t="shared" si="19"/>
        <v>0.82233919248328635</v>
      </c>
      <c r="CL7">
        <f>CK7/(1+r_)^A7</f>
        <v>0.73063772151484663</v>
      </c>
      <c r="CM7">
        <f>AD7*c_SEM</f>
        <v>11191.779749874117</v>
      </c>
      <c r="CN7">
        <f>AE7*(c_Other+c_SEM)</f>
        <v>334.04815824956</v>
      </c>
      <c r="CO7">
        <f>AF7*(c_Stroke1+c_Stroke2+c_SEM)</f>
        <v>60.662750579246783</v>
      </c>
      <c r="CP7">
        <f>AG7*(c_Stroke2 + c_SEM)</f>
        <v>59.046982514615479</v>
      </c>
      <c r="CQ7">
        <f>AH7*(c_MI1+c_MI2 + c_SEM)</f>
        <v>52.93743470240225</v>
      </c>
      <c r="CR7">
        <f>AI7*(c_MI2+c_SEM)</f>
        <v>43.243812274968882</v>
      </c>
      <c r="CS7">
        <f>AJ7*(c_Stroke1+c_Stroke2+c_MI2+c_SEM)</f>
        <v>0.20650280673547655</v>
      </c>
      <c r="CT7">
        <f>AK7*(c_Stroke2+c_MI1+c_MI2+c_SEM)</f>
        <v>0.23434579375899384</v>
      </c>
      <c r="CU7">
        <f>AL7*(c_Stroke2+c_MI2+c_SEM)</f>
        <v>0.14082188947164478</v>
      </c>
      <c r="CV7">
        <f>AM7*(c_HF1+c_SEM)</f>
        <v>7.4828216664384986</v>
      </c>
      <c r="CW7">
        <f>AN7*(c_HF2+c_SEM)</f>
        <v>11.858406277133238</v>
      </c>
      <c r="CX7">
        <f>AO7*(c_Stroke2+c_HF1+c_SEM)</f>
        <v>3.1561674382319035E-2</v>
      </c>
      <c r="CY7">
        <f>AP7*(c_Stroke1+c_Stroke2+c_HF2+c_SEM)</f>
        <v>3.8257706479401785E-2</v>
      </c>
      <c r="CZ7">
        <f>AQ7*(c_Stroke2+c_HF2+c_SEM)</f>
        <v>3.1735001338509157E-2</v>
      </c>
      <c r="DA7">
        <f>AR7*(c_DM+c_SEM)</f>
        <v>2511.5322136305745</v>
      </c>
      <c r="DB7">
        <f>AS7*(c_Other+c_DM+c_SEM)</f>
        <v>85.702435398069383</v>
      </c>
      <c r="DC7">
        <f>AT7*(c_Stroke1+c_Stroke2+c_DM+c_SEM)</f>
        <v>16.428868959036492</v>
      </c>
      <c r="DD7">
        <f>AU7*(c_Stroke2+c_DM+c_SEM)</f>
        <v>15.705330864515791</v>
      </c>
      <c r="DE7">
        <f>AV7*(c_MI1+c_MI2+c_DM+c_SEM)</f>
        <v>14.215291108920578</v>
      </c>
      <c r="DF7">
        <f>AW7*(c_MI2+c_DM+c_SEM)</f>
        <v>12.379281319596135</v>
      </c>
      <c r="DG7">
        <f>AX7*(c_Stroke1+c_Stroke2+c_MI2+c_DM+c_SEM)</f>
        <v>7.8585717126731527E-2</v>
      </c>
      <c r="DH7">
        <f>AY7*(c_Stroke2+c_MI1+c_MI2+c_DM+c_SEM)</f>
        <v>8.7007457351044759E-2</v>
      </c>
      <c r="DI7">
        <f>AZ7*(c_Stroke2+c_MI2+c_DM+c_SEM)</f>
        <v>4.9324582775715754E-2</v>
      </c>
      <c r="DJ7">
        <f>BA7*(c_HF1+c_DM+c_SEM)</f>
        <v>1.9577623033275791</v>
      </c>
      <c r="DK7">
        <f>BB7*(c_HF2+c_DM+c_SEM)</f>
        <v>2.7371703015487161</v>
      </c>
      <c r="DL7">
        <f>BC7*(c_Stroke2+c_HF1+c_DM+c_SEM)</f>
        <v>1.1456851768582091E-2</v>
      </c>
      <c r="DM7">
        <f>BD7*(c_Stroke1+c_Stroke2+c_HF2+c_DM+c_SEM)</f>
        <v>1.3498993320388673E-2</v>
      </c>
      <c r="DN7">
        <f>BE7*(c_Stroke2+c_HF2+c_DM+c_SEM)</f>
        <v>9.6713230670663324E-3</v>
      </c>
      <c r="DO7">
        <f t="shared" si="20"/>
        <v>0</v>
      </c>
      <c r="DP7">
        <f t="shared" si="39"/>
        <v>14422.651239821647</v>
      </c>
      <c r="DQ7">
        <f>DP7/(1+r_)^A7</f>
        <v>12814.338823186687</v>
      </c>
    </row>
    <row r="8" spans="1:121" x14ac:dyDescent="0.3">
      <c r="A8">
        <v>5</v>
      </c>
      <c r="B8">
        <v>50</v>
      </c>
      <c r="C8">
        <f t="shared" si="40"/>
        <v>32.793999999999997</v>
      </c>
      <c r="D8">
        <f t="shared" si="1"/>
        <v>125</v>
      </c>
      <c r="E8">
        <f t="shared" si="41"/>
        <v>5.4</v>
      </c>
      <c r="F8">
        <v>2.99E-3</v>
      </c>
      <c r="G8">
        <v>4.8500000000000001E-3</v>
      </c>
      <c r="H8">
        <f t="shared" si="3"/>
        <v>3.362E-3</v>
      </c>
      <c r="I8">
        <f t="shared" si="21"/>
        <v>1.9177515277734612E-2</v>
      </c>
      <c r="J8">
        <f t="shared" si="22"/>
        <v>9.9535248124076547E-2</v>
      </c>
      <c r="K8">
        <f t="shared" si="23"/>
        <v>0.136562255197614</v>
      </c>
      <c r="L8">
        <f t="shared" si="24"/>
        <v>4.842155353854205E-2</v>
      </c>
      <c r="M8">
        <f t="shared" si="25"/>
        <v>6.7149941414474612E-2</v>
      </c>
      <c r="N8">
        <f t="shared" si="26"/>
        <v>0.20742469443511635</v>
      </c>
      <c r="O8">
        <f t="shared" si="27"/>
        <v>0.27997861243296396</v>
      </c>
      <c r="P8">
        <f t="shared" si="28"/>
        <v>0.10805301570767711</v>
      </c>
      <c r="Q8">
        <f t="shared" si="29"/>
        <v>0.1491958184001988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7.849479350982104E-3</v>
      </c>
      <c r="U8">
        <f t="shared" si="30"/>
        <v>0.20401379891553839</v>
      </c>
      <c r="V8">
        <f t="shared" si="31"/>
        <v>0.27352769780529884</v>
      </c>
      <c r="W8">
        <f t="shared" si="32"/>
        <v>0.1023876967694759</v>
      </c>
      <c r="X8">
        <f t="shared" si="33"/>
        <v>0.14039038664333858</v>
      </c>
      <c r="Y8">
        <f t="shared" si="34"/>
        <v>0.32671017829030102</v>
      </c>
      <c r="Z8">
        <f t="shared" si="35"/>
        <v>0.42819045752989326</v>
      </c>
      <c r="AA8">
        <f t="shared" si="36"/>
        <v>0.17682098222326081</v>
      </c>
      <c r="AB8">
        <f t="shared" si="37"/>
        <v>0.24038353299537041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1.4984476546610132E-2</v>
      </c>
      <c r="AD8">
        <f t="shared" si="38"/>
        <v>0.79759705624566046</v>
      </c>
      <c r="AE8">
        <f t="shared" si="6"/>
        <v>1.4932069833423978E-2</v>
      </c>
      <c r="AF8">
        <f t="shared" si="7"/>
        <v>1.7796374818283434E-3</v>
      </c>
      <c r="AG8">
        <f t="shared" si="8"/>
        <v>3.8815442993019832E-3</v>
      </c>
      <c r="AH8">
        <f t="shared" si="9"/>
        <v>1.3254144282617518E-3</v>
      </c>
      <c r="AI8">
        <f t="shared" si="10"/>
        <v>3.4010630197852257E-3</v>
      </c>
      <c r="AJ8">
        <f t="shared" si="11"/>
        <v>7.6187382102415093E-6</v>
      </c>
      <c r="AK8">
        <f t="shared" si="12"/>
        <v>6.9449853552523539E-6</v>
      </c>
      <c r="AL8">
        <f t="shared" si="13"/>
        <v>1.2150292059920126E-5</v>
      </c>
      <c r="AM8">
        <f t="shared" si="14"/>
        <v>2.0553054719357969E-4</v>
      </c>
      <c r="AN8">
        <f t="shared" si="15"/>
        <v>5.7432739634128869E-4</v>
      </c>
      <c r="AO8">
        <f t="shared" si="16"/>
        <v>1.0285066127961003E-6</v>
      </c>
      <c r="AP8">
        <f>AM7*T7*p_Stroke*p_Stroke_rec*(1-I7) + AN7*T7*p_Stroke*p_Stroke_rec*(1-I7) + AO7*(p_recur_Stroke*p_Stroke_rec)*(1-I7) + AP7*(p_recur_Stroke*p_Stroke_rec)*(1-I7) + AQ7*(p_recur_Stroke*p_Stroke_rec)*(1-I7)</f>
        <v>1.1568117590909009E-6</v>
      </c>
      <c r="AQ8">
        <f>AO7*(1-p_recur_Stroke-H7*rr_Stroke*rr_HF)*(1-I7) + AP7*(1-p_recur_Stroke-H7*rr_Stroke*rr_HF)*(1-I7) + AQ7*(1-p_recur_Stroke-H7*rr_Stroke*rr_HF)*(1-I7)</f>
        <v>1.9278419989472243E-6</v>
      </c>
      <c r="AR8">
        <f>AR7*(1-AC7-H7*rr_DM) + AD7*(1-T7-H7)*I7</f>
        <v>0.11410054567746733</v>
      </c>
      <c r="AS8">
        <f>AR7*AC7*p_Other + AD7*T7*p_Other*I7 + AE7*(1-T7*p_Stroke-T7*p_MI-H7*rr_Other)*I7 + AS7*(1-AC7*p_Stroke-AC7*p_MI-H7*rr_Other*rr_DM)</f>
        <v>3.2278415870331612E-3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4.3547443484753671E-4</v>
      </c>
      <c r="AU8">
        <f>AF7*(1-p_recur_Stroke-T7*p_MI-H7*rr_Stroke)*I7 + AG7*(1-p_recur_Stroke-T7*p_MI-H7*rr_Stroke)*I7 + AT7*(1-p_recur_Stroke-AC7*p_MI-H7*rr_Stroke*rr_DM) + AU7*(1-p_recur_Stroke-AC7*p_MI-H7*rr_Stroke*rr_DM)</f>
        <v>7.9807073148714224E-4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3.3187523664089517E-4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7.0174038252010778E-4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2.7450876004022268E-6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2.5446826758364598E-6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3.6291299545487746E-6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4.9502755173504799E-5</v>
      </c>
      <c r="BB8">
        <f>AM7*(1-T7*p_Stroke - H7*rr_HF)*I7 + AN7*(1-T7*p_Stroke - H7*rr_HF)*I7 + BA7*(1-AC7*p_Stroke - H7*rr_HF*rr_DM) + BB7*(1-AC7*p_Stroke - H7*rr_HF*rr_DM)</f>
        <v>1.1514312847512108E-4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3.6432417374173168E-7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4.0599272178471935E-7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5.6227373366677323E-7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1.4502084147702455E-2</v>
      </c>
      <c r="BG8">
        <f t="shared" si="17"/>
        <v>0.95800000000000007</v>
      </c>
      <c r="BH8">
        <f>(0.9442 - 0.0007*$B8 - dis_BMI*($C8-21.75))*AD8</f>
        <v>0.69610665930427018</v>
      </c>
      <c r="BI8">
        <f>0.959*(0.9442 - 0.0007*$B8 - dis_BMI*($C8-21.75))*AE8</f>
        <v>1.2497722160592683E-2</v>
      </c>
      <c r="BJ8">
        <f>(0.943*(0.9442 - 0.0007*$B8 - dis_BMI*($C8-21.75)) - 0.19*0.5)*AF8</f>
        <v>1.2955899259439478E-3</v>
      </c>
      <c r="BK8">
        <f>(0.943*(0.9442 - 0.0007*$B8 - dis_BMI*($C8-21.75)))*AG8</f>
        <v>3.1945411427666214E-3</v>
      </c>
      <c r="BL8">
        <f>(0.955*(0.9442 - 0.0007*$B8 - dis_BMI*($C8-21.75)) - 0.15*0.5)*AH8</f>
        <v>1.0053014409436068E-3</v>
      </c>
      <c r="BM8">
        <f>(0.955*(0.9442 - 0.0007*$B8 - dis_BMI*($C8-21.75)))*AI8</f>
        <v>2.8347208422171487E-3</v>
      </c>
      <c r="BN8">
        <f>(0.955*0.943*(0.9442 - 0.0007*$B8 - dis_BMI*($C8-21.75)) - 0.19*0.5)*AJ8</f>
        <v>5.2643380277093314E-6</v>
      </c>
      <c r="BO8">
        <f>(0.955*0.943*(0.9442 - 0.0007*$B8 - dis_BMI*($C8-21.75)) - 0.15*0.5)*AK8</f>
        <v>4.9376930897668215E-6</v>
      </c>
      <c r="BP8">
        <f>(0.955*0.943*(0.9442 - 0.0007*$B8 - dis_BMI*($C8-21.75)))*AL8</f>
        <v>9.5497945325573948E-6</v>
      </c>
      <c r="BQ8">
        <f>(0.93*(0.9442 - 0.0007*$B8 - dis_BMI*($C8-21.75)))*AM8</f>
        <v>1.6682132759713561E-4</v>
      </c>
      <c r="BR8">
        <f>(0.93*(0.9442 - 0.0007*$B8 - dis_BMI*($C8-21.75)))*AN8</f>
        <v>4.6615970249337684E-4</v>
      </c>
      <c r="BS8">
        <f>(0.93*0.943*(0.9442 - 0.0007*$B8 - dis_BMI*($C8-21.75)))*AO8</f>
        <v>7.8721611458131328E-7</v>
      </c>
      <c r="BT8">
        <f>(0.93*0.943*(0.9442 - 0.0007*$B8 - dis_BMI*($C8-21.75))-0.19*0.5)*AP8</f>
        <v>7.7552340129974506E-7</v>
      </c>
      <c r="BU8">
        <f>(0.93*0.943*(0.9442 - 0.0007*$B8 - dis_BMI*($C8-21.75)))*AQ8</f>
        <v>1.4755649298278003E-6</v>
      </c>
      <c r="BV8">
        <f>0.962*(0.9442 - 0.0007*$B8 - dis_BMI*($C8-21.75))*AR8</f>
        <v>9.5797690563568974E-2</v>
      </c>
      <c r="BW8">
        <f>0.962*0.959*(0.9442 - 0.0007*$B8 - dis_BMI*($C8-21.75))*AS8</f>
        <v>2.5989512778476372E-3</v>
      </c>
      <c r="BX8">
        <f>0.962*(0.943*(0.9442 - 0.0007*$B8 - dis_BMI*($C8-21.75)) - 0.19*0.5)*AT8</f>
        <v>3.0498168154269057E-4</v>
      </c>
      <c r="BY8">
        <f>0.962*(0.943*(0.9442 - 0.0007*$B8 - dis_BMI*($C8-21.75)))*AU8</f>
        <v>6.3185931824217049E-4</v>
      </c>
      <c r="BZ8">
        <f>0.962*(0.955*(0.9442 - 0.0007*$B8 - dis_BMI*($C8-21.75)) - 0.15*0.5)*AV8</f>
        <v>2.4215560803302289E-4</v>
      </c>
      <c r="CA8">
        <f>0.962*(0.955*(0.9442 - 0.0007*$B8 - dis_BMI*($C8-21.75)))*AW8</f>
        <v>5.6266144722191358E-4</v>
      </c>
      <c r="CB8">
        <f>0.962*(0.955*0.943*(0.9442 - 0.0007*$B8 - dis_BMI*($C8-21.75)) - 0.19*0.5)*AX8</f>
        <v>1.8247022061768501E-6</v>
      </c>
      <c r="CC8">
        <f>0.962*(0.955*0.943*(0.9442 - 0.0007*$B8 - dis_BMI*($C8-21.75)) - 0.15*0.5)*AY8</f>
        <v>1.7404496463838829E-6</v>
      </c>
      <c r="CD8">
        <f>0.962*(0.955*0.943*(0.9442 - 0.0007*$B8 - dis_BMI*($C8-21.75)))*AZ8</f>
        <v>2.7440050254223686E-6</v>
      </c>
      <c r="CE8">
        <f>0.962*(0.93*(0.9442 - 0.0007*$B8 - dis_BMI*($C8-21.75)))*BA8</f>
        <v>3.8652682355011621E-5</v>
      </c>
      <c r="CF8">
        <f>0.962*(0.93*(0.9442 - 0.0007*$B8 - dis_BMI*($C8-21.75)))*BB8</f>
        <v>8.9905920482850709E-5</v>
      </c>
      <c r="CG8">
        <f>0.962*(0.93*0.943*(0.9442 - 0.0007*$B8 - dis_BMI*($C8-21.75)))*BC8</f>
        <v>2.6825631101379436E-7</v>
      </c>
      <c r="CH8">
        <f>0.962*(0.93*0.943*(0.9442 - 0.0007*$B8 - dis_BMI*($C8-21.75))-0.19*0.5)*BD8</f>
        <v>2.6183369383485972E-7</v>
      </c>
      <c r="CI8">
        <f>0.962*(0.93*0.943*(0.9442 - 0.0007*$B8 - dis_BMI*($C8-21.75)))*BE8</f>
        <v>4.1400897454673618E-7</v>
      </c>
      <c r="CJ8">
        <f t="shared" si="18"/>
        <v>0</v>
      </c>
      <c r="CK8">
        <f t="shared" si="19"/>
        <v>0.81786441773207219</v>
      </c>
      <c r="CL8">
        <f>CK8/(1+r_)^A8</f>
        <v>0.70549703117092499</v>
      </c>
      <c r="CM8">
        <f>AD8*c_SEM</f>
        <v>10861.676711953403</v>
      </c>
      <c r="CN8">
        <f>AE8*(c_Other+c_SEM)</f>
        <v>416.55995214302874</v>
      </c>
      <c r="CO8">
        <f>AF8*(c_Stroke1+c_Stroke2+c_SEM)</f>
        <v>66.618949494762205</v>
      </c>
      <c r="CP8">
        <f>AG8*(c_Stroke2 + c_SEM)</f>
        <v>78.0889082133573</v>
      </c>
      <c r="CQ8">
        <f>AH8*(c_MI1+c_MI2 + c_SEM)</f>
        <v>56.686649682326866</v>
      </c>
      <c r="CR8">
        <f>AI8*(c_MI2+c_SEM)</f>
        <v>56.916789636105754</v>
      </c>
      <c r="CS8">
        <f>AJ8*(c_Stroke1+c_Stroke2+c_MI2+c_SEM)</f>
        <v>0.30894745316350347</v>
      </c>
      <c r="CT8">
        <f>AK8*(c_Stroke2+c_MI1+c_MI2+c_SEM)</f>
        <v>0.34217248346792822</v>
      </c>
      <c r="CU8">
        <f>AL8*(c_Stroke2+c_MI2+c_SEM)</f>
        <v>0.28231203601224414</v>
      </c>
      <c r="CV8">
        <f>AM8*(c_HF1+c_SEM)</f>
        <v>8.3544056823246269</v>
      </c>
      <c r="CW8">
        <f>AN8*(c_HF2+c_SEM)</f>
        <v>16.78356950328148</v>
      </c>
      <c r="CX8">
        <f>AO8*(c_Stroke2+c_HF1+c_SEM)</f>
        <v>4.8492029780110538E-2</v>
      </c>
      <c r="CY8">
        <f>AP8*(c_Stroke1+c_Stroke2+c_HF2+c_SEM)</f>
        <v>6.1356138890422296E-2</v>
      </c>
      <c r="CZ8">
        <f>AQ8*(c_Stroke2+c_HF2+c_SEM)</f>
        <v>6.8868299728391688E-2</v>
      </c>
      <c r="DA8">
        <f>AR8*(c_DM+c_SEM)</f>
        <v>2857.4199654008144</v>
      </c>
      <c r="DB8">
        <f>AS8*(c_Other+c_DM+c_SEM)</f>
        <v>126.92518688531797</v>
      </c>
      <c r="DC8">
        <f>AT8*(c_Stroke1+c_Stroke2+c_DM+c_SEM)</f>
        <v>21.276845412215796</v>
      </c>
      <c r="DD8">
        <f>AU8*(c_Stroke2+c_DM+c_SEM)</f>
        <v>25.173545083298929</v>
      </c>
      <c r="DE8">
        <f>AV8*(c_MI1+c_MI2+c_DM+c_SEM)</f>
        <v>17.985646574516672</v>
      </c>
      <c r="DF8">
        <f>AW8*(c_MI2+c_DM+c_SEM)</f>
        <v>19.761009171766236</v>
      </c>
      <c r="DG8">
        <f>AX8*(c_Stroke1+c_Stroke2+c_MI2+c_DM+c_SEM)</f>
        <v>0.14267867311850616</v>
      </c>
      <c r="DH8">
        <f>AY8*(c_Stroke2+c_MI1+c_MI2+c_DM+c_SEM)</f>
        <v>0.15444697032721807</v>
      </c>
      <c r="DI8">
        <f>AZ8*(c_Stroke2+c_MI2+c_DM+c_SEM)</f>
        <v>0.12578564422466051</v>
      </c>
      <c r="DJ8">
        <f>BA8*(c_HF1+c_DM+c_SEM)</f>
        <v>2.5777569701499154</v>
      </c>
      <c r="DK8">
        <f>BB8*(c_HF2+c_DM+c_SEM)</f>
        <v>4.680337886256722</v>
      </c>
      <c r="DL8">
        <f>BC8*(c_Stroke2+c_HF1+c_DM+c_SEM)</f>
        <v>2.133955982857445E-2</v>
      </c>
      <c r="DM8">
        <f>BD8*(c_Stroke1+c_Stroke2+c_HF2+c_DM+c_SEM)</f>
        <v>2.6171914817130149E-2</v>
      </c>
      <c r="DN8">
        <f>BE8*(c_Stroke2+c_HF2+c_DM+c_SEM)</f>
        <v>2.6510081994921025E-2</v>
      </c>
      <c r="DO8">
        <f t="shared" si="20"/>
        <v>0</v>
      </c>
      <c r="DP8">
        <f t="shared" si="39"/>
        <v>14639.09531097828</v>
      </c>
      <c r="DQ8">
        <f>DP8/(1+r_)^A8</f>
        <v>12627.81221068689</v>
      </c>
    </row>
    <row r="9" spans="1:121" x14ac:dyDescent="0.3">
      <c r="A9">
        <v>6</v>
      </c>
      <c r="B9">
        <v>51</v>
      </c>
      <c r="C9">
        <f t="shared" si="40"/>
        <v>32.793999999999997</v>
      </c>
      <c r="D9">
        <f t="shared" si="1"/>
        <v>125</v>
      </c>
      <c r="E9">
        <f t="shared" si="41"/>
        <v>5.4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1"/>
        <v>1.9177515277734612E-2</v>
      </c>
      <c r="J9">
        <f t="shared" si="22"/>
        <v>0.1047468047491561</v>
      </c>
      <c r="K9">
        <f t="shared" si="23"/>
        <v>0.14355275157592251</v>
      </c>
      <c r="L9">
        <f t="shared" si="24"/>
        <v>5.1032727454960902E-2</v>
      </c>
      <c r="M9">
        <f t="shared" si="25"/>
        <v>7.0732923640172141E-2</v>
      </c>
      <c r="N9">
        <f t="shared" si="26"/>
        <v>0.21905401409138114</v>
      </c>
      <c r="O9">
        <f t="shared" si="27"/>
        <v>0.29486112527210429</v>
      </c>
      <c r="P9">
        <f t="shared" si="28"/>
        <v>0.11451474555060148</v>
      </c>
      <c r="Q9">
        <f t="shared" si="29"/>
        <v>0.1578919685957566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8.278451863660401E-3</v>
      </c>
      <c r="U9">
        <f t="shared" si="30"/>
        <v>0.21400565884792278</v>
      </c>
      <c r="V9">
        <f t="shared" si="31"/>
        <v>0.28626696673817154</v>
      </c>
      <c r="W9">
        <f t="shared" si="32"/>
        <v>0.10773948656099308</v>
      </c>
      <c r="X9">
        <f t="shared" si="33"/>
        <v>0.14755961668330231</v>
      </c>
      <c r="Y9">
        <f t="shared" si="34"/>
        <v>0.34343425373209191</v>
      </c>
      <c r="Z9">
        <f t="shared" si="35"/>
        <v>0.44815622106772302</v>
      </c>
      <c r="AA9">
        <f t="shared" si="36"/>
        <v>0.18694304438415132</v>
      </c>
      <c r="AB9">
        <f t="shared" si="37"/>
        <v>0.2535479319349826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1.5755474022662211E-2</v>
      </c>
      <c r="AD9">
        <f t="shared" si="38"/>
        <v>0.77353037358787102</v>
      </c>
      <c r="AE9">
        <f t="shared" si="6"/>
        <v>1.7877784528504137E-2</v>
      </c>
      <c r="AF9">
        <f t="shared" si="7"/>
        <v>1.9366973405529524E-3</v>
      </c>
      <c r="AG9">
        <f t="shared" si="8"/>
        <v>4.8182814319961426E-3</v>
      </c>
      <c r="AH9">
        <f t="shared" si="9"/>
        <v>1.4112279181270186E-3</v>
      </c>
      <c r="AI9">
        <f t="shared" si="10"/>
        <v>4.2036951129832221E-3</v>
      </c>
      <c r="AJ9">
        <f t="shared" si="11"/>
        <v>1.0592558420150972E-5</v>
      </c>
      <c r="AK9">
        <f t="shared" si="12"/>
        <v>9.4617440969366103E-6</v>
      </c>
      <c r="AL9">
        <f t="shared" si="13"/>
        <v>2.0365894356167693E-5</v>
      </c>
      <c r="AM9">
        <f t="shared" si="14"/>
        <v>2.2657330363809182E-4</v>
      </c>
      <c r="AN9">
        <f t="shared" si="15"/>
        <v>7.5884095235838269E-4</v>
      </c>
      <c r="AO9">
        <f t="shared" si="16"/>
        <v>1.4605298735123972E-6</v>
      </c>
      <c r="AP9">
        <f>AM8*T8*p_Stroke*p_Stroke_rec*(1-I8) + AN8*T8*p_Stroke*p_Stroke_rec*(1-I8) + AO8*(p_recur_Stroke*p_Stroke_rec)*(1-I8) + AP8*(p_recur_Stroke*p_Stroke_rec)*(1-I8) + AQ8*(p_recur_Stroke*p_Stroke_rec)*(1-I8)</f>
        <v>1.7158487206988698E-6</v>
      </c>
      <c r="AQ9">
        <f>AO8*(1-p_recur_Stroke-H8*rr_Stroke*rr_HF)*(1-I8) + AP8*(1-p_recur_Stroke-H8*rr_Stroke*rr_HF)*(1-I8) + AQ8*(1-p_recur_Stroke-H8*rr_Stroke*rr_HF)*(1-I8)</f>
        <v>3.4729021443294056E-6</v>
      </c>
      <c r="AR9">
        <f>AR8*(1-AC8-H8*rr_DM) + AD8*(1-T8-H8)*I8</f>
        <v>0.1270741015183422</v>
      </c>
      <c r="AS9">
        <f>AR8*AC8*p_Other + AD8*T8*p_Other*I8 + AE8*(1-T8*p_Stroke-T8*p_MI-H8*rr_Other)*I8 + AS8*(1-AC8*p_Stroke-AC8*p_MI-H8*rr_Other*rr_DM)</f>
        <v>4.4722749838711964E-3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5.4606553408391748E-4</v>
      </c>
      <c r="AU9">
        <f>AF8*(1-p_recur_Stroke-T8*p_MI-H8*rr_Stroke)*I8 + AG8*(1-p_recur_Stroke-T8*p_MI-H8*rr_Stroke)*I8 + AT8*(1-p_recur_Stroke-AC8*p_MI-H8*rr_Stroke*rr_DM) + AU8*(1-p_recur_Stroke-AC8*p_MI-H8*rr_Stroke*rr_DM)</f>
        <v>1.1607348571679647E-3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4.078376328149713E-4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1.0169376059341946E-3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4.4690582005090508E-6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4.0642859975776131E-6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7.3083857628773881E-6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6.2892823847947944E-5</v>
      </c>
      <c r="BB9">
        <f>AM8*(1-T8*p_Stroke - H8*rr_HF)*I8 + AN8*(1-T8*p_Stroke - H8*rr_HF)*I8 + BA8*(1-AC8*p_Stroke - H8*rr_HF*rr_DM) + BB8*(1-AC8*p_Stroke - H8*rr_HF*rr_DM)</f>
        <v>1.777571101768864E-4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6.0548504290717463E-7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7.0271232100062995E-7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1.2112336200683779E-6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1.8252493119173093E-2</v>
      </c>
      <c r="BG9">
        <f t="shared" si="17"/>
        <v>0.95799999999999974</v>
      </c>
      <c r="BH9">
        <f>(0.9442 - 0.0007*$B9 - dis_BMI*($C9-21.75))*AD9</f>
        <v>0.67456087523309627</v>
      </c>
      <c r="BI9">
        <f>0.959*(0.9442 - 0.0007*$B9 - dis_BMI*($C9-21.75))*AE9</f>
        <v>1.4951201091178413E-2</v>
      </c>
      <c r="BJ9">
        <f>(0.943*(0.9442 - 0.0007*$B9 - dis_BMI*($C9-21.75)) - 0.19*0.5)*AF9</f>
        <v>1.4086523105412497E-3</v>
      </c>
      <c r="BK9">
        <f>(0.943*(0.9442 - 0.0007*$B9 - dis_BMI*($C9-21.75)))*AG9</f>
        <v>3.9623025398432925E-3</v>
      </c>
      <c r="BL9">
        <f>(0.955*(0.9442 - 0.0007*$B9 - dis_BMI*($C9-21.75)) - 0.15*0.5)*AH9</f>
        <v>1.069445922441797E-3</v>
      </c>
      <c r="BM9">
        <f>(0.955*(0.9442 - 0.0007*$B9 - dis_BMI*($C9-21.75)))*AI9</f>
        <v>3.5008891384679512E-3</v>
      </c>
      <c r="BN9">
        <f>(0.955*0.943*(0.9442 - 0.0007*$B9 - dis_BMI*($C9-21.75)) - 0.19*0.5)*AJ9</f>
        <v>7.3124882928506567E-6</v>
      </c>
      <c r="BO9">
        <f>(0.955*0.943*(0.9442 - 0.0007*$B9 - dis_BMI*($C9-21.75)) - 0.15*0.5)*AK9</f>
        <v>6.7210745182606676E-6</v>
      </c>
      <c r="BP9">
        <f>(0.955*0.943*(0.9442 - 0.0007*$B9 - dis_BMI*($C9-21.75)))*AL9</f>
        <v>1.5994192836030269E-5</v>
      </c>
      <c r="BQ9">
        <f>(0.93*(0.9442 - 0.0007*$B9 - dis_BMI*($C9-21.75)))*AM9</f>
        <v>1.837534334001936E-4</v>
      </c>
      <c r="BR9">
        <f>(0.93*(0.9442 - 0.0007*$B9 - dis_BMI*($C9-21.75)))*AN9</f>
        <v>6.1542833229485017E-4</v>
      </c>
      <c r="BS9">
        <f>(0.93*0.943*(0.9442 - 0.0007*$B9 - dis_BMI*($C9-21.75)))*AO9</f>
        <v>1.1169889134500066E-6</v>
      </c>
      <c r="BT9">
        <f>(0.93*0.943*(0.9442 - 0.0007*$B9 - dis_BMI*($C9-21.75))-0.19*0.5)*AP9</f>
        <v>1.1492468854577917E-6</v>
      </c>
      <c r="BU9">
        <f>(0.93*0.943*(0.9442 - 0.0007*$B9 - dis_BMI*($C9-21.75)))*AQ9</f>
        <v>2.6560176981410942E-6</v>
      </c>
      <c r="BV9">
        <f>0.962*(0.9442 - 0.0007*$B9 - dis_BMI*($C9-21.75))*AR9</f>
        <v>0.10660458813773682</v>
      </c>
      <c r="BW9">
        <f>0.962*0.959*(0.9442 - 0.0007*$B9 - dis_BMI*($C9-21.75))*AS9</f>
        <v>3.5980397334371907E-3</v>
      </c>
      <c r="BX9">
        <f>0.962*(0.943*(0.9442 - 0.0007*$B9 - dis_BMI*($C9-21.75)) - 0.19*0.5)*AT9</f>
        <v>3.8208667647769603E-4</v>
      </c>
      <c r="BY9">
        <f>0.962*(0.943*(0.9442 - 0.0007*$B9 - dis_BMI*($C9-21.75)))*AU9</f>
        <v>9.1825556342563632E-4</v>
      </c>
      <c r="BZ9">
        <f>0.962*(0.955*(0.9442 - 0.0007*$B9 - dis_BMI*($C9-21.75)) - 0.15*0.5)*AV9</f>
        <v>2.973199416567196E-4</v>
      </c>
      <c r="CA9">
        <f>0.962*(0.955*(0.9442 - 0.0007*$B9 - dis_BMI*($C9-21.75)))*AW9</f>
        <v>8.1473529024747257E-4</v>
      </c>
      <c r="CB9">
        <f>0.962*(0.955*0.943*(0.9442 - 0.0007*$B9 - dis_BMI*($C9-21.75)) - 0.19*0.5)*AX9</f>
        <v>2.9679419234709809E-6</v>
      </c>
      <c r="CC9">
        <f>0.962*(0.955*0.943*(0.9442 - 0.0007*$B9 - dis_BMI*($C9-21.75)) - 0.15*0.5)*AY9</f>
        <v>2.7773259094723716E-6</v>
      </c>
      <c r="CD9">
        <f>0.962*(0.955*0.943*(0.9442 - 0.0007*$B9 - dis_BMI*($C9-21.75)))*AZ9</f>
        <v>5.5214783823851621E-6</v>
      </c>
      <c r="CE9">
        <f>0.962*(0.93*(0.9442 - 0.0007*$B9 - dis_BMI*($C9-21.75)))*BA9</f>
        <v>4.9068512449097417E-5</v>
      </c>
      <c r="CF9">
        <f>0.962*(0.93*(0.9442 - 0.0007*$B9 - dis_BMI*($C9-21.75)))*BB9</f>
        <v>1.3868477260167925E-4</v>
      </c>
      <c r="CG9">
        <f>0.962*(0.93*0.943*(0.9442 - 0.0007*$B9 - dis_BMI*($C9-21.75)))*BC9</f>
        <v>4.454684076918901E-7</v>
      </c>
      <c r="CH9">
        <f>0.962*(0.93*0.943*(0.9442 - 0.0007*$B9 - dis_BMI*($C9-21.75))-0.19*0.5)*BD9</f>
        <v>4.5277973457217716E-7</v>
      </c>
      <c r="CI9">
        <f>0.962*(0.93*0.943*(0.9442 - 0.0007*$B9 - dis_BMI*($C9-21.75)))*BE9</f>
        <v>8.911307032194742E-7</v>
      </c>
      <c r="CJ9">
        <f t="shared" si="18"/>
        <v>0</v>
      </c>
      <c r="CK9">
        <f t="shared" si="19"/>
        <v>0.81310333276350133</v>
      </c>
      <c r="CL9">
        <f>CK9/(1+r_)^A9</f>
        <v>0.680961240246443</v>
      </c>
      <c r="CM9">
        <f>AD9*c_SEM</f>
        <v>10533.936627519628</v>
      </c>
      <c r="CN9">
        <f>AE9*(c_Other+c_SEM)</f>
        <v>498.7365549916799</v>
      </c>
      <c r="CO9">
        <f>AF9*(c_Stroke1+c_Stroke2+c_SEM)</f>
        <v>72.49832824625922</v>
      </c>
      <c r="CP9">
        <f>AG9*(c_Stroke2 + c_SEM)</f>
        <v>96.934185848898395</v>
      </c>
      <c r="CQ9">
        <f>AH9*(c_MI1+c_MI2 + c_SEM)</f>
        <v>60.35680683037446</v>
      </c>
      <c r="CR9">
        <f>AI9*(c_MI2+c_SEM)</f>
        <v>70.348837715774224</v>
      </c>
      <c r="CS9">
        <f>AJ9*(c_Stroke1+c_Stroke2+c_MI2+c_SEM)</f>
        <v>0.42953883649554209</v>
      </c>
      <c r="CT9">
        <f>AK9*(c_Stroke2+c_MI1+c_MI2+c_SEM)</f>
        <v>0.46617066991196987</v>
      </c>
      <c r="CU9">
        <f>AL9*(c_Stroke2+c_MI2+c_SEM)</f>
        <v>0.47320155536555636</v>
      </c>
      <c r="CV9">
        <f>AM9*(c_HF1+c_SEM)</f>
        <v>9.2097516462811555</v>
      </c>
      <c r="CW9">
        <f>AN9*(c_HF2+c_SEM)</f>
        <v>22.175609150769017</v>
      </c>
      <c r="CX9">
        <f>AO9*(c_Stroke2+c_HF1+c_SEM)</f>
        <v>6.8861062476362506E-2</v>
      </c>
      <c r="CY9">
        <f>AP9*(c_Stroke1+c_Stroke2+c_HF2+c_SEM)</f>
        <v>9.100690029714735E-2</v>
      </c>
      <c r="CZ9">
        <f>AQ9*(c_Stroke2+c_HF2+c_SEM)</f>
        <v>0.12406248330187936</v>
      </c>
      <c r="DA9">
        <f>AR9*(c_DM+c_SEM)</f>
        <v>3182.3167243238436</v>
      </c>
      <c r="DB9">
        <f>AS9*(c_Other+c_DM+c_SEM)</f>
        <v>175.85879691578319</v>
      </c>
      <c r="DC9">
        <f>AT9*(c_Stroke1+c_Stroke2+c_DM+c_SEM)</f>
        <v>26.680215929806124</v>
      </c>
      <c r="DD9">
        <f>AU9*(c_Stroke2+c_DM+c_SEM)</f>
        <v>36.613059599649112</v>
      </c>
      <c r="DE9">
        <f>AV9*(c_MI1+c_MI2+c_DM+c_SEM)</f>
        <v>22.102352672774554</v>
      </c>
      <c r="DF9">
        <f>AW9*(c_MI2+c_DM+c_SEM)</f>
        <v>28.636962983106919</v>
      </c>
      <c r="DG9">
        <f>AX9*(c_Stroke1+c_Stroke2+c_MI2+c_DM+c_SEM)</f>
        <v>0.23228376902965842</v>
      </c>
      <c r="DH9">
        <f>AY9*(c_Stroke2+c_MI1+c_MI2+c_DM+c_SEM)</f>
        <v>0.24667777433697566</v>
      </c>
      <c r="DI9">
        <f>AZ9*(c_Stroke2+c_MI2+c_DM+c_SEM)</f>
        <v>0.25330865054133028</v>
      </c>
      <c r="DJ9">
        <f>BA9*(c_HF1+c_DM+c_SEM)</f>
        <v>3.2750180162341933</v>
      </c>
      <c r="DK9">
        <f>BB9*(c_HF2+c_DM+c_SEM)</f>
        <v>7.2254710144700782</v>
      </c>
      <c r="DL9">
        <f>BC9*(c_Stroke2+c_HF1+c_DM+c_SEM)</f>
        <v>3.5465075418201937E-2</v>
      </c>
      <c r="DM9">
        <f>BD9*(c_Stroke1+c_Stroke2+c_HF2+c_DM+c_SEM)</f>
        <v>4.5299647060984612E-2</v>
      </c>
      <c r="DN9">
        <f>BE9*(c_Stroke2+c_HF2+c_DM+c_SEM)</f>
        <v>5.7107242718983882E-2</v>
      </c>
      <c r="DO9">
        <f t="shared" si="20"/>
        <v>0</v>
      </c>
      <c r="DP9">
        <f t="shared" si="39"/>
        <v>14849.428287072287</v>
      </c>
      <c r="DQ9">
        <f>DP9/(1+r_)^A9</f>
        <v>12436.162411175967</v>
      </c>
    </row>
    <row r="10" spans="1:121" x14ac:dyDescent="0.3">
      <c r="A10">
        <v>7</v>
      </c>
      <c r="B10">
        <v>52</v>
      </c>
      <c r="C10">
        <f t="shared" si="40"/>
        <v>32.793999999999997</v>
      </c>
      <c r="D10">
        <f t="shared" si="1"/>
        <v>125</v>
      </c>
      <c r="E10">
        <f t="shared" si="41"/>
        <v>5.4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1"/>
        <v>1.9177515277734612E-2</v>
      </c>
      <c r="J10">
        <f t="shared" si="22"/>
        <v>0.11010550471880443</v>
      </c>
      <c r="K10">
        <f t="shared" si="23"/>
        <v>0.15072364284762563</v>
      </c>
      <c r="L10">
        <f t="shared" si="24"/>
        <v>5.3725985736950088E-2</v>
      </c>
      <c r="M10">
        <f t="shared" si="25"/>
        <v>7.4424405470286947E-2</v>
      </c>
      <c r="N10">
        <f t="shared" si="26"/>
        <v>0.2309936939794095</v>
      </c>
      <c r="O10">
        <f t="shared" si="27"/>
        <v>0.31004587742227308</v>
      </c>
      <c r="P10">
        <f t="shared" si="28"/>
        <v>0.12119999681521243</v>
      </c>
      <c r="Q10">
        <f t="shared" si="29"/>
        <v>0.16686138881863777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8.720228879488378E-3</v>
      </c>
      <c r="U10">
        <f t="shared" si="30"/>
        <v>0.22420852776645717</v>
      </c>
      <c r="V10">
        <f t="shared" si="31"/>
        <v>0.29920850259065923</v>
      </c>
      <c r="W10">
        <f t="shared" si="32"/>
        <v>0.11324139597990068</v>
      </c>
      <c r="X10">
        <f t="shared" si="33"/>
        <v>0.15491201409267363</v>
      </c>
      <c r="Y10">
        <f t="shared" si="34"/>
        <v>0.36042379229282273</v>
      </c>
      <c r="Z10">
        <f t="shared" si="35"/>
        <v>0.4682249346456856</v>
      </c>
      <c r="AA10">
        <f t="shared" si="36"/>
        <v>0.19736083485424771</v>
      </c>
      <c r="AB10">
        <f t="shared" si="37"/>
        <v>0.26702644031223532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1.6544791545241661E-2</v>
      </c>
      <c r="AD10">
        <f t="shared" si="38"/>
        <v>0.7495579057838333</v>
      </c>
      <c r="AE10">
        <f t="shared" si="6"/>
        <v>2.0798596134146606E-2</v>
      </c>
      <c r="AF10">
        <f t="shared" si="7"/>
        <v>2.09118757299413E-3</v>
      </c>
      <c r="AG10">
        <f t="shared" si="8"/>
        <v>5.740218374458682E-3</v>
      </c>
      <c r="AH10">
        <f t="shared" si="9"/>
        <v>1.4949728126382924E-3</v>
      </c>
      <c r="AI10">
        <f t="shared" si="10"/>
        <v>4.9898134887746675E-3</v>
      </c>
      <c r="AJ10">
        <f t="shared" si="11"/>
        <v>1.4023961755038413E-5</v>
      </c>
      <c r="AK10">
        <f t="shared" si="12"/>
        <v>1.2312555878245911E-5</v>
      </c>
      <c r="AL10">
        <f t="shared" si="13"/>
        <v>3.0735831503973222E-5</v>
      </c>
      <c r="AM10">
        <f t="shared" si="14"/>
        <v>2.4717428524453433E-4</v>
      </c>
      <c r="AN10">
        <f t="shared" si="15"/>
        <v>9.5805154945913891E-4</v>
      </c>
      <c r="AO10">
        <f t="shared" si="16"/>
        <v>1.9671711818228183E-6</v>
      </c>
      <c r="AP10">
        <f>AM9*T9*p_Stroke*p_Stroke_rec*(1-I9) + AN9*T9*p_Stroke*p_Stroke_rec*(1-I9) + AO9*(p_recur_Stroke*p_Stroke_rec)*(1-I9) + AP9*(p_recur_Stroke*p_Stroke_rec)*(1-I9) + AQ9*(p_recur_Stroke*p_Stroke_rec)*(1-I9)</f>
        <v>2.4130693638560735E-6</v>
      </c>
      <c r="AQ10">
        <f>AO9*(1-p_recur_Stroke-H9*rr_Stroke*rr_HF)*(1-I9) + AP9*(1-p_recur_Stroke-H9*rr_Stroke*rr_HF)*(1-I9) + AQ9*(1-p_recur_Stroke-H9*rr_Stroke*rr_HF)*(1-I9)</f>
        <v>5.5992383846259362E-6</v>
      </c>
      <c r="AR10">
        <f>AR9*(1-AC9-H9*rr_DM) + AD9*(1-T9-H9)*I9</f>
        <v>0.13917736204093037</v>
      </c>
      <c r="AS10">
        <f>AR9*AC9*p_Other + AD9*T9*p_Other*I9 + AE9*(1-T9*p_Stroke-T9*p_MI-H9*rr_Other)*I9 + AS9*(1-AC9*p_Stroke-AC9*p_MI-H9*rr_Other*rr_DM)</f>
        <v>5.9115918565290256E-3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6.6787565290267513E-4</v>
      </c>
      <c r="AU10">
        <f>AF9*(1-p_recur_Stroke-T9*p_MI-H9*rr_Stroke)*I9 + AG9*(1-p_recur_Stroke-T9*p_MI-H9*rr_Stroke)*I9 + AT9*(1-p_recur_Stroke-AC9*p_MI-H9*rr_Stroke*rr_DM) + AU9*(1-p_recur_Stroke-AC9*p_MI-H9*rr_Stroke*rr_DM)</f>
        <v>1.5851668464434889E-3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4.9003217292658652E-4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1.3847528102500289E-3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6.7731290259532332E-6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6.0587876744162662E-6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1.2838412556120715E-5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7.774749439001173E-5</v>
      </c>
      <c r="BB10">
        <f>AM9*(1-T9*p_Stroke - H9*rr_HF)*I9 + AN9*(1-T9*p_Stroke - H9*rr_HF)*I9 + BA9*(1-AC9*p_Stroke - H9*rr_HF*rr_DM) + BB9*(1-AC9*p_Stroke - H9*rr_HF*rr_DM)</f>
        <v>2.5661330354552502E-4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9.3330894863848473E-7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1.1276194598429629E-6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2.2644203790254629E-6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2.2473890314421433E-2</v>
      </c>
      <c r="BG10">
        <f t="shared" si="17"/>
        <v>0.95800000000000018</v>
      </c>
      <c r="BH10">
        <f>(0.9442 - 0.0007*$B10 - dis_BMI*($C10-21.75))*AD10</f>
        <v>0.65313087908269096</v>
      </c>
      <c r="BI10">
        <f>0.959*(0.9442 - 0.0007*$B10 - dis_BMI*($C10-21.75))*AE10</f>
        <v>1.7379915355185335E-2</v>
      </c>
      <c r="BJ10">
        <f>(0.943*(0.9442 - 0.0007*$B10 - dis_BMI*($C10-21.75)) - 0.19*0.5)*AF10</f>
        <v>1.5196400292169024E-3</v>
      </c>
      <c r="BK10">
        <f>(0.943*(0.9442 - 0.0007*$B10 - dis_BMI*($C10-21.75)))*AG10</f>
        <v>4.7166661241157025E-3</v>
      </c>
      <c r="BL10">
        <f>(0.955*(0.9442 - 0.0007*$B10 - dis_BMI*($C10-21.75)) - 0.15*0.5)*AH10</f>
        <v>1.1319094470867205E-3</v>
      </c>
      <c r="BM10">
        <f>(0.955*(0.9442 - 0.0007*$B10 - dis_BMI*($C10-21.75)))*AI10</f>
        <v>4.1522425274938676E-3</v>
      </c>
      <c r="BN10">
        <f>(0.955*0.943*(0.9442 - 0.0007*$B10 - dis_BMI*($C10-21.75)) - 0.19*0.5)*AJ10</f>
        <v>9.6724895977240857E-6</v>
      </c>
      <c r="BO10">
        <f>(0.955*0.943*(0.9442 - 0.0007*$B10 - dis_BMI*($C10-21.75)) - 0.15*0.5)*AK10</f>
        <v>8.7383641690671689E-6</v>
      </c>
      <c r="BP10">
        <f>(0.955*0.943*(0.9442 - 0.0007*$B10 - dis_BMI*($C10-21.75)))*AL10</f>
        <v>2.4118764606767293E-5</v>
      </c>
      <c r="BQ10">
        <f>(0.93*(0.9442 - 0.0007*$B10 - dis_BMI*($C10-21.75)))*AM10</f>
        <v>2.0030014489248659E-4</v>
      </c>
      <c r="BR10">
        <f>(0.93*(0.9442 - 0.0007*$B10 - dis_BMI*($C10-21.75)))*AN10</f>
        <v>7.7636661912985211E-4</v>
      </c>
      <c r="BS10">
        <f>(0.93*0.943*(0.9442 - 0.0007*$B10 - dis_BMI*($C10-21.75)))*AO10</f>
        <v>1.5032521123030015E-6</v>
      </c>
      <c r="BT10">
        <f>(0.93*0.943*(0.9442 - 0.0007*$B10 - dis_BMI*($C10-21.75))-0.19*0.5)*AP10</f>
        <v>1.6147522894966209E-6</v>
      </c>
      <c r="BU10">
        <f>(0.93*0.943*(0.9442 - 0.0007*$B10 - dis_BMI*($C10-21.75)))*AQ10</f>
        <v>4.2787668946926976E-6</v>
      </c>
      <c r="BV10">
        <f>0.962*(0.9442 - 0.0007*$B10 - dis_BMI*($C10-21.75))*AR10</f>
        <v>0.11666449369200578</v>
      </c>
      <c r="BW10">
        <f>0.962*0.959*(0.9442 - 0.0007*$B10 - dis_BMI*($C10-21.75))*AS10</f>
        <v>4.7521829229393584E-3</v>
      </c>
      <c r="BX10">
        <f>0.962*(0.943*(0.9442 - 0.0007*$B10 - dis_BMI*($C10-21.75)) - 0.19*0.5)*AT10</f>
        <v>4.6689413584172495E-4</v>
      </c>
      <c r="BY10">
        <f>0.962*(0.943*(0.9442 - 0.0007*$B10 - dis_BMI*($C10-21.75)))*AU10</f>
        <v>1.2530164518825175E-3</v>
      </c>
      <c r="BZ10">
        <f>0.962*(0.955*(0.9442 - 0.0007*$B10 - dis_BMI*($C10-21.75)) - 0.15*0.5)*AV10</f>
        <v>3.5692589434165321E-4</v>
      </c>
      <c r="CA10">
        <f>0.962*(0.955*(0.9442 - 0.0007*$B10 - dis_BMI*($C10-21.75)))*AW10</f>
        <v>1.1085255991825115E-3</v>
      </c>
      <c r="CB10">
        <f>0.962*(0.955*0.943*(0.9442 - 0.0007*$B10 - dis_BMI*($C10-21.75)) - 0.19*0.5)*AX10</f>
        <v>4.4939886735733045E-6</v>
      </c>
      <c r="CC10">
        <f>0.962*(0.955*0.943*(0.9442 - 0.0007*$B10 - dis_BMI*($C10-21.75)) - 0.15*0.5)*AY10</f>
        <v>4.136592409172551E-6</v>
      </c>
      <c r="CD10">
        <f>0.962*(0.955*0.943*(0.9442 - 0.0007*$B10 - dis_BMI*($C10-21.75)))*AZ10</f>
        <v>9.691622548530687E-6</v>
      </c>
      <c r="CE10">
        <f>0.962*(0.93*(0.9442 - 0.0007*$B10 - dis_BMI*($C10-21.75)))*BA10</f>
        <v>6.0609325398290875E-5</v>
      </c>
      <c r="CF10">
        <f>0.962*(0.93*(0.9442 - 0.0007*$B10 - dis_BMI*($C10-21.75)))*BB10</f>
        <v>2.0004707982099599E-4</v>
      </c>
      <c r="CG10">
        <f>0.962*(0.93*0.943*(0.9442 - 0.0007*$B10 - dis_BMI*($C10-21.75)))*BC10</f>
        <v>6.8610434734994052E-7</v>
      </c>
      <c r="CH10">
        <f>0.962*(0.93*0.943*(0.9442 - 0.0007*$B10 - dis_BMI*($C10-21.75))-0.19*0.5)*BD10</f>
        <v>7.2589488670714936E-7</v>
      </c>
      <c r="CI10">
        <f>0.962*(0.93*0.943*(0.9442 - 0.0007*$B10 - dis_BMI*($C10-21.75)))*BE10</f>
        <v>1.6646456337353355E-6</v>
      </c>
      <c r="CJ10">
        <f t="shared" si="18"/>
        <v>0</v>
      </c>
      <c r="CK10">
        <f t="shared" si="19"/>
        <v>0.80794193966939387</v>
      </c>
      <c r="CL10">
        <f>CK10/(1+r_)^A10</f>
        <v>0.65693073280346825</v>
      </c>
      <c r="CM10">
        <f>AD10*c_SEM</f>
        <v>10207.479560964242</v>
      </c>
      <c r="CN10">
        <f>AE10*(c_Other+c_SEM)</f>
        <v>580.21843635428786</v>
      </c>
      <c r="CO10">
        <f>AF10*(c_Stroke1+c_Stroke2+c_SEM)</f>
        <v>78.281515607462268</v>
      </c>
      <c r="CP10">
        <f>AG10*(c_Stroke2 + c_SEM)</f>
        <v>115.48171325735976</v>
      </c>
      <c r="CQ10">
        <f>AH10*(c_MI1+c_MI2 + c_SEM)</f>
        <v>63.938492223727124</v>
      </c>
      <c r="CR10">
        <f>AI10*(c_MI2+c_SEM)</f>
        <v>83.504528734644055</v>
      </c>
      <c r="CS10">
        <f>AJ10*(c_Stroke1+c_Stroke2+c_MI2+c_SEM)</f>
        <v>0.56868567312856266</v>
      </c>
      <c r="CT10">
        <f>AK10*(c_Stroke2+c_MI1+c_MI2+c_SEM)</f>
        <v>0.60662731556529781</v>
      </c>
      <c r="CU10">
        <f>AL10*(c_Stroke2+c_MI2+c_SEM)</f>
        <v>0.71414704499481785</v>
      </c>
      <c r="CV10">
        <f>AM10*(c_HF1+c_SEM)</f>
        <v>10.047140346619832</v>
      </c>
      <c r="CW10">
        <f>AN10*(c_HF2+c_SEM)</f>
        <v>27.997140429844418</v>
      </c>
      <c r="CX10">
        <f>AO10*(c_Stroke2+c_HF1+c_SEM)</f>
        <v>9.2748186880582242E-2</v>
      </c>
      <c r="CY10">
        <f>AP10*(c_Stroke1+c_Stroke2+c_HF2+c_SEM)</f>
        <v>0.12798678598956229</v>
      </c>
      <c r="CZ10">
        <f>AQ10*(c_Stroke2+c_HF2+c_SEM)</f>
        <v>0.20002159281399232</v>
      </c>
      <c r="DA10">
        <f>AR10*(c_DM+c_SEM)</f>
        <v>3485.4186775910193</v>
      </c>
      <c r="DB10">
        <f>AS10*(c_Other+c_DM+c_SEM)</f>
        <v>232.45561498243435</v>
      </c>
      <c r="DC10">
        <f>AT10*(c_Stroke1+c_Stroke2+c_DM+c_SEM)</f>
        <v>32.631736525171803</v>
      </c>
      <c r="DD10">
        <f>AU10*(c_Stroke2+c_DM+c_SEM)</f>
        <v>50.00091783736697</v>
      </c>
      <c r="DE10">
        <f>AV10*(c_MI1+c_MI2+c_DM+c_SEM)</f>
        <v>26.556803579583431</v>
      </c>
      <c r="DF10">
        <f>AW10*(c_MI2+c_DM+c_SEM)</f>
        <v>38.994639136640814</v>
      </c>
      <c r="DG10">
        <f>AX10*(c_Stroke1+c_Stroke2+c_MI2+c_DM+c_SEM)</f>
        <v>0.35204015425294527</v>
      </c>
      <c r="DH10">
        <f>AY10*(c_Stroke2+c_MI1+c_MI2+c_DM+c_SEM)</f>
        <v>0.36773205911102086</v>
      </c>
      <c r="DI10">
        <f>AZ10*(c_Stroke2+c_MI2+c_DM+c_SEM)</f>
        <v>0.44497937919514396</v>
      </c>
      <c r="DJ10">
        <f>BA10*(c_HF1+c_DM+c_SEM)</f>
        <v>4.0485452753710804</v>
      </c>
      <c r="DK10">
        <f>BB10*(c_HF2+c_DM+c_SEM)</f>
        <v>10.4308175625185</v>
      </c>
      <c r="DL10">
        <f>BC10*(c_Stroke2+c_HF1+c_DM+c_SEM)</f>
        <v>5.4666705048601966E-2</v>
      </c>
      <c r="DM10">
        <f>BD10*(c_Stroke1+c_Stroke2+c_HF2+c_DM+c_SEM)</f>
        <v>7.2690860859316767E-2</v>
      </c>
      <c r="DN10">
        <f>BE10*(c_Stroke2+c_HF2+c_DM+c_SEM)</f>
        <v>0.10676289203029252</v>
      </c>
      <c r="DO10">
        <f t="shared" si="20"/>
        <v>0</v>
      </c>
      <c r="DP10">
        <f t="shared" si="39"/>
        <v>15051.195369058169</v>
      </c>
      <c r="DQ10">
        <f>DP10/(1+r_)^A10</f>
        <v>12237.999190151593</v>
      </c>
    </row>
    <row r="11" spans="1:121" x14ac:dyDescent="0.3">
      <c r="A11">
        <v>8</v>
      </c>
      <c r="B11">
        <v>53</v>
      </c>
      <c r="C11">
        <f t="shared" si="40"/>
        <v>32.793999999999997</v>
      </c>
      <c r="D11">
        <f t="shared" si="1"/>
        <v>125</v>
      </c>
      <c r="E11">
        <f t="shared" si="41"/>
        <v>5.4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1"/>
        <v>1.9177515277734612E-2</v>
      </c>
      <c r="J11">
        <f t="shared" si="22"/>
        <v>0.11561082311681403</v>
      </c>
      <c r="K11">
        <f t="shared" si="23"/>
        <v>0.15807274670782401</v>
      </c>
      <c r="L11">
        <f t="shared" si="24"/>
        <v>5.6501842867189067E-2</v>
      </c>
      <c r="M11">
        <f t="shared" si="25"/>
        <v>7.8224699488027682E-2</v>
      </c>
      <c r="N11">
        <f t="shared" si="26"/>
        <v>0.24323451461651668</v>
      </c>
      <c r="O11">
        <f t="shared" si="27"/>
        <v>0.32551284847856621</v>
      </c>
      <c r="P11">
        <f t="shared" si="28"/>
        <v>0.12810884452725635</v>
      </c>
      <c r="Q11">
        <f t="shared" si="29"/>
        <v>0.17610123827213287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9.1747524469816058E-3</v>
      </c>
      <c r="U11">
        <f t="shared" si="30"/>
        <v>0.2346155578282979</v>
      </c>
      <c r="V11">
        <f t="shared" si="31"/>
        <v>0.31233895627014119</v>
      </c>
      <c r="W11">
        <f t="shared" si="32"/>
        <v>0.11889279806056496</v>
      </c>
      <c r="X11">
        <f t="shared" si="33"/>
        <v>0.1624451857408995</v>
      </c>
      <c r="Y11">
        <f t="shared" si="34"/>
        <v>0.37765072461872151</v>
      </c>
      <c r="Z11">
        <f t="shared" si="35"/>
        <v>0.48835045805982147</v>
      </c>
      <c r="AA11">
        <f t="shared" si="36"/>
        <v>0.20806878760489156</v>
      </c>
      <c r="AB11">
        <f t="shared" si="37"/>
        <v>0.28080525813935708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1.7351951712738022E-2</v>
      </c>
      <c r="AD11">
        <f t="shared" si="38"/>
        <v>0.72579478925397456</v>
      </c>
      <c r="AE11">
        <f t="shared" si="6"/>
        <v>2.3688735569548286E-2</v>
      </c>
      <c r="AF11">
        <f t="shared" si="7"/>
        <v>2.2422086192443631E-3</v>
      </c>
      <c r="AG11">
        <f t="shared" si="8"/>
        <v>6.6473657448727647E-3</v>
      </c>
      <c r="AH11">
        <f t="shared" si="9"/>
        <v>1.5762543236879625E-3</v>
      </c>
      <c r="AI11">
        <f t="shared" si="10"/>
        <v>5.7593345321334099E-3</v>
      </c>
      <c r="AJ11">
        <f t="shared" si="11"/>
        <v>1.7916211397802823E-5</v>
      </c>
      <c r="AK11">
        <f t="shared" si="12"/>
        <v>1.5496206765358092E-5</v>
      </c>
      <c r="AL11">
        <f t="shared" si="13"/>
        <v>4.3319636841595243E-5</v>
      </c>
      <c r="AM11">
        <f t="shared" si="14"/>
        <v>2.6725816364279542E-4</v>
      </c>
      <c r="AN11">
        <f t="shared" si="15"/>
        <v>1.1710283386314596E-3</v>
      </c>
      <c r="AO11">
        <f t="shared" si="16"/>
        <v>2.5488032792095269E-6</v>
      </c>
      <c r="AP11">
        <f>AM10*T10*p_Stroke*p_Stroke_rec*(1-I10) + AN10*T10*p_Stroke*p_Stroke_rec*(1-I10) + AO10*(p_recur_Stroke*p_Stroke_rec)*(1-I10) + AP10*(p_recur_Stroke*p_Stroke_rec)*(1-I10) + AQ10*(p_recur_Stroke*p_Stroke_rec)*(1-I10)</f>
        <v>3.2618406191168913E-6</v>
      </c>
      <c r="AQ11">
        <f>AO10*(1-p_recur_Stroke-H10*rr_Stroke*rr_HF)*(1-I10) + AP10*(1-p_recur_Stroke-H10*rr_Stroke*rr_HF)*(1-I10) + AQ10*(1-p_recur_Stroke-H10*rr_Stroke*rr_HF)*(1-I10)</f>
        <v>8.387702197629251E-6</v>
      </c>
      <c r="AR11">
        <f>AR10*(1-AC10-H10*rr_DM) + AD10*(1-T10-H10)*I10</f>
        <v>0.15041757354901003</v>
      </c>
      <c r="AS11">
        <f>AR10*AC10*p_Other + AD10*T10*p_Other*I10 + AE10*(1-T10*p_Stroke-T10*p_MI-H10*rr_Other)*I10 + AS10*(1-AC10*p_Stroke-AC10*p_MI-H10*rr_Other*rr_DM)</f>
        <v>7.544902828312678E-3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8.005153494917537E-4</v>
      </c>
      <c r="AU11">
        <f>AF10*(1-p_recur_Stroke-T10*p_MI-H10*rr_Stroke)*I10 + AG10*(1-p_recur_Stroke-T10*p_MI-H10*rr_Stroke)*I10 + AT10*(1-p_recur_Stroke-AC10*p_MI-H10*rr_Stroke*rr_DM) + AU10*(1-p_recur_Stroke-AC10*p_MI-H10*rr_Stroke*rr_DM)</f>
        <v>2.0716043640111132E-3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5.7817974224058752E-4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1.8050449039068203E-3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9.7477040724583145E-6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8.5934433975130152E-6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2.0635411033070612E-5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9.4025185744126767E-5</v>
      </c>
      <c r="BB11">
        <f>AM10*(1-T10*p_Stroke - H10*rr_HF)*I10 + AN10*(1-T10*p_Stroke - H10*rr_HF)*I10 + BA10*(1-AC10*p_Stroke - H10*rr_HF*rr_DM) + BB10*(1-AC10*p_Stroke - H10*rr_HF*rr_DM)</f>
        <v>3.5315070671077783E-4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1.3621093808785807E-6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1.7118519155568988E-6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3.8555475561510513E-6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2.7051192356380139E-2</v>
      </c>
      <c r="BG11">
        <f t="shared" si="17"/>
        <v>0.95799999999999996</v>
      </c>
      <c r="BH11">
        <f>(0.9442 - 0.0007*$B11 - dis_BMI*($C11-21.75))*AD11</f>
        <v>0.63191671707896147</v>
      </c>
      <c r="BI11">
        <f>0.959*(0.9442 - 0.0007*$B11 - dis_BMI*($C11-21.75))*AE11</f>
        <v>1.9779098165046072E-2</v>
      </c>
      <c r="BJ11">
        <f>(0.943*(0.9442 - 0.0007*$B11 - dis_BMI*($C11-21.75)) - 0.19*0.5)*AF11</f>
        <v>1.6279050653923135E-3</v>
      </c>
      <c r="BK11">
        <f>(0.943*(0.9442 - 0.0007*$B11 - dis_BMI*($C11-21.75)))*AG11</f>
        <v>5.4576699222206931E-3</v>
      </c>
      <c r="BL11">
        <f>(0.955*(0.9442 - 0.0007*$B11 - dis_BMI*($C11-21.75)) - 0.15*0.5)*AH11</f>
        <v>1.1923975159807958E-3</v>
      </c>
      <c r="BM11">
        <f>(0.955*(0.9442 - 0.0007*$B11 - dis_BMI*($C11-21.75)))*AI11</f>
        <v>4.7887446037233614E-3</v>
      </c>
      <c r="BN11">
        <f>(0.955*0.943*(0.9442 - 0.0007*$B11 - dis_BMI*($C11-21.75)) - 0.19*0.5)*AJ11</f>
        <v>1.2345725165419286E-5</v>
      </c>
      <c r="BO11">
        <f>(0.955*0.943*(0.9442 - 0.0007*$B11 - dis_BMI*($C11-21.75)) - 0.15*0.5)*AK11</f>
        <v>1.0988069507887649E-5</v>
      </c>
      <c r="BP11">
        <f>(0.955*0.943*(0.9442 - 0.0007*$B11 - dis_BMI*($C11-21.75)))*AL11</f>
        <v>3.3966114569461536E-5</v>
      </c>
      <c r="BQ11">
        <f>(0.93*(0.9442 - 0.0007*$B11 - dis_BMI*($C11-21.75)))*AM11</f>
        <v>2.1640133080375038E-4</v>
      </c>
      <c r="BR11">
        <f>(0.93*(0.9442 - 0.0007*$B11 - dis_BMI*($C11-21.75)))*AN11</f>
        <v>9.4819214288792051E-4</v>
      </c>
      <c r="BS11">
        <f>(0.93*0.943*(0.9442 - 0.0007*$B11 - dis_BMI*($C11-21.75)))*AO11</f>
        <v>1.9461528974775815E-6</v>
      </c>
      <c r="BT11">
        <f>(0.93*0.943*(0.9442 - 0.0007*$B11 - dis_BMI*($C11-21.75))-0.19*0.5)*AP11</f>
        <v>2.1807216590811716E-6</v>
      </c>
      <c r="BU11">
        <f>(0.93*0.943*(0.9442 - 0.0007*$B11 - dis_BMI*($C11-21.75)))*AQ11</f>
        <v>6.4044765903462792E-6</v>
      </c>
      <c r="BV11">
        <f>0.962*(0.9442 - 0.0007*$B11 - dis_BMI*($C11-21.75))*AR11</f>
        <v>0.12598523468303627</v>
      </c>
      <c r="BW11">
        <f>0.962*0.959*(0.9442 - 0.0007*$B11 - dis_BMI*($C11-21.75))*AS11</f>
        <v>6.0602889109612522E-3</v>
      </c>
      <c r="BX11">
        <f>0.962*(0.943*(0.9442 - 0.0007*$B11 - dis_BMI*($C11-21.75)) - 0.19*0.5)*AT11</f>
        <v>5.5911068572854538E-4</v>
      </c>
      <c r="BY11">
        <f>0.962*(0.943*(0.9442 - 0.0007*$B11 - dis_BMI*($C11-21.75)))*AU11</f>
        <v>1.636212027166107E-3</v>
      </c>
      <c r="BZ11">
        <f>0.962*(0.955*(0.9442 - 0.0007*$B11 - dis_BMI*($C11-21.75)) - 0.15*0.5)*AV11</f>
        <v>4.2075832250579006E-4</v>
      </c>
      <c r="CA11">
        <f>0.962*(0.955*(0.9442 - 0.0007*$B11 - dis_BMI*($C11-21.75)))*AW11</f>
        <v>1.4438180024152064E-3</v>
      </c>
      <c r="CB11">
        <f>0.962*(0.955*0.943*(0.9442 - 0.0007*$B11 - dis_BMI*($C11-21.75)) - 0.19*0.5)*AX11</f>
        <v>6.4617155286889875E-6</v>
      </c>
      <c r="CC11">
        <f>0.962*(0.955*0.943*(0.9442 - 0.0007*$B11 - dis_BMI*($C11-21.75)) - 0.15*0.5)*AY11</f>
        <v>5.8618984188574224E-6</v>
      </c>
      <c r="CD11">
        <f>0.962*(0.955*0.943*(0.9442 - 0.0007*$B11 - dis_BMI*($C11-21.75)))*AZ11</f>
        <v>1.5565004800477989E-5</v>
      </c>
      <c r="CE11">
        <f>0.962*(0.93*(0.9442 - 0.0007*$B11 - dis_BMI*($C11-21.75)))*BA11</f>
        <v>7.3239980380710649E-5</v>
      </c>
      <c r="CF11">
        <f>0.962*(0.93*(0.9442 - 0.0007*$B11 - dis_BMI*($C11-21.75)))*BB11</f>
        <v>2.7508321973771904E-4</v>
      </c>
      <c r="CG11">
        <f>0.962*(0.93*0.943*(0.9442 - 0.0007*$B11 - dis_BMI*($C11-21.75)))*BC11</f>
        <v>1.0005244267319678E-6</v>
      </c>
      <c r="CH11">
        <f>0.962*(0.93*0.943*(0.9442 - 0.0007*$B11 - dis_BMI*($C11-21.75))-0.19*0.5)*BD11</f>
        <v>1.1009783161906341E-6</v>
      </c>
      <c r="CI11">
        <f>0.962*(0.93*0.943*(0.9442 - 0.0007*$B11 - dis_BMI*($C11-21.75)))*BE11</f>
        <v>2.8320556061861055E-6</v>
      </c>
      <c r="CJ11">
        <f t="shared" si="18"/>
        <v>0</v>
      </c>
      <c r="CK11">
        <f t="shared" si="19"/>
        <v>0.8024815250944346</v>
      </c>
      <c r="CL11">
        <f>CK11/(1+r_)^A11</f>
        <v>0.63348632627587709</v>
      </c>
      <c r="CM11">
        <f>AD11*c_SEM</f>
        <v>9883.8734400606263</v>
      </c>
      <c r="CN11">
        <f>AE11*(c_Other+c_SEM)</f>
        <v>660.84465618368858</v>
      </c>
      <c r="CO11">
        <f>AF11*(c_Stroke1+c_Stroke2+c_SEM)</f>
        <v>83.934837452793488</v>
      </c>
      <c r="CP11">
        <f>AG11*(c_Stroke2 + c_SEM)</f>
        <v>133.73170405535029</v>
      </c>
      <c r="CQ11">
        <f>AH11*(c_MI1+c_MI2 + c_SEM)</f>
        <v>67.414821169810466</v>
      </c>
      <c r="CR11">
        <f>AI11*(c_MI2+c_SEM)</f>
        <v>96.382463395252614</v>
      </c>
      <c r="CS11">
        <f>AJ11*(c_Stroke1+c_Stroke2+c_MI2+c_SEM)</f>
        <v>0.72652028839230232</v>
      </c>
      <c r="CT11">
        <f>AK11*(c_Stroke2+c_MI1+c_MI2+c_SEM)</f>
        <v>0.76348261112242788</v>
      </c>
      <c r="CU11">
        <f>AL11*(c_Stroke2+c_MI2+c_SEM)</f>
        <v>1.0065317620144654</v>
      </c>
      <c r="CV11">
        <f>AM11*(c_HF1+c_SEM)</f>
        <v>10.863509835752348</v>
      </c>
      <c r="CW11">
        <f>AN11*(c_HF2+c_SEM)</f>
        <v>34.220961139827146</v>
      </c>
      <c r="CX11">
        <f>AO11*(c_Stroke2+c_HF1+c_SEM)</f>
        <v>0.12017097700817078</v>
      </c>
      <c r="CY11">
        <f>AP11*(c_Stroke1+c_Stroke2+c_HF2+c_SEM)</f>
        <v>0.17300476459734079</v>
      </c>
      <c r="CZ11">
        <f>AQ11*(c_Stroke2+c_HF2+c_SEM)</f>
        <v>0.29963388560590976</v>
      </c>
      <c r="DA11">
        <f>AR11*(c_DM+c_SEM)</f>
        <v>3766.9072943878582</v>
      </c>
      <c r="DB11">
        <f>AS11*(c_Other+c_DM+c_SEM)</f>
        <v>296.68066901491113</v>
      </c>
      <c r="DC11">
        <f>AT11*(c_Stroke1+c_Stroke2+c_DM+c_SEM)</f>
        <v>39.112379460817593</v>
      </c>
      <c r="DD11">
        <f>AU11*(c_Stroke2+c_DM+c_SEM)</f>
        <v>65.344616454002548</v>
      </c>
      <c r="DE11">
        <f>AV11*(c_MI1+c_MI2+c_DM+c_SEM)</f>
        <v>31.3338729509864</v>
      </c>
      <c r="DF11">
        <f>AW11*(c_MI2+c_DM+c_SEM)</f>
        <v>50.830064494016057</v>
      </c>
      <c r="DG11">
        <f>AX11*(c_Stroke1+c_Stroke2+c_MI2+c_DM+c_SEM)</f>
        <v>0.50664666687009341</v>
      </c>
      <c r="DH11">
        <f>AY11*(c_Stroke2+c_MI1+c_MI2+c_DM+c_SEM)</f>
        <v>0.52157045356865495</v>
      </c>
      <c r="DI11">
        <f>AZ11*(c_Stroke2+c_MI2+c_DM+c_SEM)</f>
        <v>0.71522334640622742</v>
      </c>
      <c r="DJ11">
        <f>BA11*(c_HF1+c_DM+c_SEM)</f>
        <v>4.8961734972539128</v>
      </c>
      <c r="DK11">
        <f>BB11*(c_HF2+c_DM+c_SEM)</f>
        <v>14.354869926379697</v>
      </c>
      <c r="DL11">
        <f>BC11*(c_Stroke2+c_HF1+c_DM+c_SEM)</f>
        <v>7.9782832766201101E-2</v>
      </c>
      <c r="DM11">
        <f>BD11*(c_Stroke1+c_Stroke2+c_HF2+c_DM+c_SEM)</f>
        <v>0.11035282188445993</v>
      </c>
      <c r="DN11">
        <f>BE11*(c_Stroke2+c_HF2+c_DM+c_SEM)</f>
        <v>0.18178135617740976</v>
      </c>
      <c r="DO11">
        <f t="shared" si="20"/>
        <v>0</v>
      </c>
      <c r="DP11">
        <f t="shared" si="39"/>
        <v>15245.931035245738</v>
      </c>
      <c r="DQ11">
        <f>DP11/(1+r_)^A11</f>
        <v>12035.278744936408</v>
      </c>
    </row>
    <row r="12" spans="1:121" x14ac:dyDescent="0.3">
      <c r="A12">
        <v>9</v>
      </c>
      <c r="B12">
        <v>54</v>
      </c>
      <c r="C12">
        <f t="shared" si="40"/>
        <v>32.793999999999997</v>
      </c>
      <c r="D12">
        <f t="shared" si="1"/>
        <v>125</v>
      </c>
      <c r="E12">
        <f t="shared" si="41"/>
        <v>5.4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1"/>
        <v>1.9177515277734612E-2</v>
      </c>
      <c r="J12">
        <f t="shared" si="22"/>
        <v>0.12126209079660122</v>
      </c>
      <c r="K12">
        <f t="shared" si="23"/>
        <v>0.16559764595897219</v>
      </c>
      <c r="L12">
        <f t="shared" si="24"/>
        <v>5.936077059230116E-2</v>
      </c>
      <c r="M12">
        <f t="shared" si="25"/>
        <v>8.21340433478287E-2</v>
      </c>
      <c r="N12">
        <f t="shared" si="26"/>
        <v>0.25576635863616359</v>
      </c>
      <c r="O12">
        <f t="shared" si="27"/>
        <v>0.34124085312005259</v>
      </c>
      <c r="P12">
        <f t="shared" si="28"/>
        <v>0.13524102933516324</v>
      </c>
      <c r="Q12">
        <f t="shared" si="29"/>
        <v>0.18560810779015424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9.6419486142883433E-3</v>
      </c>
      <c r="U12">
        <f t="shared" si="30"/>
        <v>0.24521951174805223</v>
      </c>
      <c r="V12">
        <f t="shared" si="31"/>
        <v>0.32564451666355387</v>
      </c>
      <c r="W12">
        <f t="shared" si="32"/>
        <v>0.12469291490764978</v>
      </c>
      <c r="X12">
        <f t="shared" si="33"/>
        <v>0.17015649403238409</v>
      </c>
      <c r="Y12">
        <f t="shared" si="34"/>
        <v>0.39508581343255789</v>
      </c>
      <c r="Z12">
        <f t="shared" si="35"/>
        <v>0.50848620079972862</v>
      </c>
      <c r="AA12">
        <f t="shared" si="36"/>
        <v>0.21906060665305604</v>
      </c>
      <c r="AB12">
        <f t="shared" si="37"/>
        <v>0.29486953623781686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1.8176444159675627E-2</v>
      </c>
      <c r="AD12">
        <f t="shared" si="38"/>
        <v>0.70219949641162549</v>
      </c>
      <c r="AE12">
        <f t="shared" si="6"/>
        <v>2.6535689859139143E-2</v>
      </c>
      <c r="AF12">
        <f t="shared" si="7"/>
        <v>2.3897146930974473E-3</v>
      </c>
      <c r="AG12">
        <f t="shared" si="8"/>
        <v>7.5346334667264567E-3</v>
      </c>
      <c r="AH12">
        <f t="shared" si="9"/>
        <v>1.6550869796951725E-3</v>
      </c>
      <c r="AI12">
        <f t="shared" si="10"/>
        <v>6.5100224042402184E-3</v>
      </c>
      <c r="AJ12">
        <f t="shared" si="11"/>
        <v>2.2276800127427328E-5</v>
      </c>
      <c r="AK12">
        <f t="shared" si="12"/>
        <v>1.9018079626243993E-5</v>
      </c>
      <c r="AL12">
        <f t="shared" si="13"/>
        <v>5.8104980237167449E-5</v>
      </c>
      <c r="AM12">
        <f t="shared" si="14"/>
        <v>2.8682106793046441E-4</v>
      </c>
      <c r="AN12">
        <f t="shared" si="15"/>
        <v>1.3963837534436989E-3</v>
      </c>
      <c r="AO12">
        <f t="shared" si="16"/>
        <v>3.2068030162418265E-6</v>
      </c>
      <c r="AP12">
        <f>AM11*T11*p_Stroke*p_Stroke_rec*(1-I11) + AN11*T11*p_Stroke*p_Stroke_rec*(1-I11) + AO11*(p_recur_Stroke*p_Stroke_rec)*(1-I11) + AP11*(p_recur_Stroke*p_Stroke_rec)*(1-I11) + AQ11*(p_recur_Stroke*p_Stroke_rec)*(1-I11)</f>
        <v>4.2761453713944234E-6</v>
      </c>
      <c r="AQ12">
        <f>AO11*(1-p_recur_Stroke-H11*rr_Stroke*rr_HF)*(1-I11) + AP11*(1-p_recur_Stroke-H11*rr_Stroke*rr_HF)*(1-I11) + AQ11*(1-p_recur_Stroke-H11*rr_Stroke*rr_HF)*(1-I11)</f>
        <v>1.1904445105811529E-5</v>
      </c>
      <c r="AR12">
        <f>AR11*(1-AC11-H11*rr_DM) + AD11*(1-T11-H11)*I11</f>
        <v>0.16077305245482049</v>
      </c>
      <c r="AS12">
        <f>AR11*AC11*p_Other + AD11*T11*p_Other*I11 + AE11*(1-T11*p_Stroke-T11*p_MI-H11*rr_Other)*I11 + AS11*(1-AC11*p_Stroke-AC11*p_MI-H11*rr_Other*rr_DM)</f>
        <v>9.3675157298264474E-3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9.4379342981007041E-4</v>
      </c>
      <c r="AU12">
        <f>AF11*(1-p_recur_Stroke-T11*p_MI-H11*rr_Stroke)*I11 + AG11*(1-p_recur_Stroke-T11*p_MI-H11*rr_Stroke)*I11 + AT11*(1-p_recur_Stroke-AC11*p_MI-H11*rr_Stroke*rr_DM) + AU11*(1-p_recur_Stroke-AC11*p_MI-H11*rr_Stroke*rr_DM)</f>
        <v>2.618147883828993E-3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6.7210701120754631E-4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2.2766734307093457E-3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1.3489000366057049E-5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1.1739029316603053E-5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3.1100257788607312E-5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1.1169974977891565E-4</v>
      </c>
      <c r="BB12">
        <f>AM11*(1-T11*p_Stroke - H11*rr_HF)*I11 + AN11*(1-T11*p_Stroke - H11*rr_HF)*I11 + BA11*(1-AC11*p_Stroke - H11*rr_HF*rr_DM) + BB11*(1-AC11*p_Stroke - H11*rr_HF*rr_DM)</f>
        <v>4.6855902724325476E-4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1.9073360135570841E-6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2.4905106811109908E-6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6.1301704505992872E-6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3.2074959088775938E-2</v>
      </c>
      <c r="BG12">
        <f t="shared" si="17"/>
        <v>0.95799999999999985</v>
      </c>
      <c r="BH12">
        <f>(0.9442 - 0.0007*$B12 - dis_BMI*($C12-21.75))*AD12</f>
        <v>0.61088182246087652</v>
      </c>
      <c r="BI12">
        <f>0.959*(0.9442 - 0.0007*$B12 - dis_BMI*($C12-21.75))*AE12</f>
        <v>2.2138371882934375E-2</v>
      </c>
      <c r="BJ12">
        <f>(0.943*(0.9442 - 0.0007*$B12 - dis_BMI*($C12-21.75)) - 0.19*0.5)*AF12</f>
        <v>1.7334210772766269E-3</v>
      </c>
      <c r="BK12">
        <f>(0.943*(0.9442 - 0.0007*$B12 - dis_BMI*($C12-21.75)))*AG12</f>
        <v>6.1811674892340209E-3</v>
      </c>
      <c r="BL12">
        <f>(0.955*(0.9442 - 0.0007*$B12 - dis_BMI*($C12-21.75)) - 0.15*0.5)*AH12</f>
        <v>1.2509260501180309E-3</v>
      </c>
      <c r="BM12">
        <f>(0.955*(0.9442 - 0.0007*$B12 - dis_BMI*($C12-21.75)))*AI12</f>
        <v>5.4085711029358847E-3</v>
      </c>
      <c r="BN12">
        <f>(0.955*0.943*(0.9442 - 0.0007*$B12 - dis_BMI*($C12-21.75)) - 0.19*0.5)*AJ12</f>
        <v>1.5336481859638535E-5</v>
      </c>
      <c r="BO12">
        <f>(0.955*0.943*(0.9442 - 0.0007*$B12 - dis_BMI*($C12-21.75)) - 0.15*0.5)*AK12</f>
        <v>1.3473374571258116E-5</v>
      </c>
      <c r="BP12">
        <f>(0.955*0.943*(0.9442 - 0.0007*$B12 - dis_BMI*($C12-21.75)))*AL12</f>
        <v>4.5522395834256664E-5</v>
      </c>
      <c r="BQ12">
        <f>(0.93*(0.9442 - 0.0007*$B12 - dis_BMI*($C12-21.75)))*AM12</f>
        <v>2.3205486925212727E-4</v>
      </c>
      <c r="BR12">
        <f>(0.93*(0.9442 - 0.0007*$B12 - dis_BMI*($C12-21.75)))*AN12</f>
        <v>1.1297553965238373E-3</v>
      </c>
      <c r="BS12">
        <f>(0.93*0.943*(0.9442 - 0.0007*$B12 - dis_BMI*($C12-21.75)))*AO12</f>
        <v>2.4466036166713003E-6</v>
      </c>
      <c r="BT12">
        <f>(0.93*0.943*(0.9442 - 0.0007*$B12 - dis_BMI*($C12-21.75))-0.19*0.5)*AP12</f>
        <v>2.856215637992868E-6</v>
      </c>
      <c r="BU12">
        <f>(0.93*0.943*(0.9442 - 0.0007*$B12 - dis_BMI*($C12-21.75)))*AQ12</f>
        <v>9.0823971110257564E-6</v>
      </c>
      <c r="BV12">
        <f>0.962*(0.9442 - 0.0007*$B12 - dis_BMI*($C12-21.75))*AR12</f>
        <v>0.13455040772336141</v>
      </c>
      <c r="BW12">
        <f>0.962*0.959*(0.9442 - 0.0007*$B12 - dis_BMI*($C12-21.75))*AS12</f>
        <v>7.5182159998479232E-3</v>
      </c>
      <c r="BX12">
        <f>0.962*(0.943*(0.9442 - 0.0007*$B12 - dis_BMI*($C12-21.75)) - 0.19*0.5)*AT12</f>
        <v>6.5858227941118267E-4</v>
      </c>
      <c r="BY12">
        <f>0.962*(0.943*(0.9442 - 0.0007*$B12 - dis_BMI*($C12-21.75)))*AU12</f>
        <v>2.0662250722856112E-3</v>
      </c>
      <c r="BZ12">
        <f>0.962*(0.955*(0.9442 - 0.0007*$B12 - dis_BMI*($C12-21.75)) - 0.15*0.5)*AV12</f>
        <v>4.8867971550447902E-4</v>
      </c>
      <c r="CA12">
        <f>0.962*(0.955*(0.9442 - 0.0007*$B12 - dis_BMI*($C12-21.75)))*AW12</f>
        <v>1.8195997629088072E-3</v>
      </c>
      <c r="CB12">
        <f>0.962*(0.955*0.943*(0.9442 - 0.0007*$B12 - dis_BMI*($C12-21.75)) - 0.19*0.5)*AX12</f>
        <v>8.9336261726277149E-6</v>
      </c>
      <c r="CC12">
        <f>0.962*(0.955*0.943*(0.9442 - 0.0007*$B12 - dis_BMI*($C12-21.75)) - 0.15*0.5)*AY12</f>
        <v>8.0004972736761682E-6</v>
      </c>
      <c r="CD12">
        <f>0.962*(0.955*0.943*(0.9442 - 0.0007*$B12 - dis_BMI*($C12-21.75)))*AZ12</f>
        <v>2.343963334482642E-5</v>
      </c>
      <c r="CE12">
        <f>0.962*(0.93*(0.9442 - 0.0007*$B12 - dis_BMI*($C12-21.75)))*BA12</f>
        <v>8.6937452394292273E-5</v>
      </c>
      <c r="CF12">
        <f>0.962*(0.93*(0.9442 - 0.0007*$B12 - dis_BMI*($C12-21.75)))*BB12</f>
        <v>3.6468593891662886E-4</v>
      </c>
      <c r="CG12">
        <f>0.962*(0.93*0.943*(0.9442 - 0.0007*$B12 - dis_BMI*($C12-21.75)))*BC12</f>
        <v>1.3998890324907181E-6</v>
      </c>
      <c r="CH12">
        <f>0.962*(0.93*0.943*(0.9442 - 0.0007*$B12 - dis_BMI*($C12-21.75))-0.19*0.5)*BD12</f>
        <v>1.6003022368472094E-6</v>
      </c>
      <c r="CI12">
        <f>0.962*(0.93*0.943*(0.9442 - 0.0007*$B12 - dis_BMI*($C12-21.75)))*BE12</f>
        <v>4.4992378480226244E-6</v>
      </c>
      <c r="CJ12">
        <f t="shared" si="18"/>
        <v>0</v>
      </c>
      <c r="CK12">
        <f t="shared" si="19"/>
        <v>0.79664601492832099</v>
      </c>
      <c r="CL12">
        <f>CK12/(1+r_)^A12</f>
        <v>0.61056283559593605</v>
      </c>
      <c r="CM12">
        <f>AD12*c_SEM</f>
        <v>9562.5527421335155</v>
      </c>
      <c r="CN12">
        <f>AE12*(c_Other+c_SEM)</f>
        <v>740.26614000040468</v>
      </c>
      <c r="CO12">
        <f>AF12*(c_Stroke1+c_Stroke2+c_SEM)</f>
        <v>89.456579821409846</v>
      </c>
      <c r="CP12">
        <f>AG12*(c_Stroke2 + c_SEM)</f>
        <v>151.58175608360287</v>
      </c>
      <c r="CQ12">
        <f>AH12*(c_MI1+c_MI2 + c_SEM)</f>
        <v>70.786415034582831</v>
      </c>
      <c r="CR12">
        <f>AI12*(c_MI2+c_SEM)</f>
        <v>108.94522493496005</v>
      </c>
      <c r="CS12">
        <f>AJ12*(c_Stroke1+c_Stroke2+c_MI2+c_SEM)</f>
        <v>0.90334652196730558</v>
      </c>
      <c r="CT12">
        <f>AK12*(c_Stroke2+c_MI1+c_MI2+c_SEM)</f>
        <v>0.93700176510541533</v>
      </c>
      <c r="CU12">
        <f>AL12*(c_Stroke2+c_MI2+c_SEM)</f>
        <v>1.3500692158105856</v>
      </c>
      <c r="CV12">
        <f>AM12*(c_HF1+c_SEM)</f>
        <v>11.658702769237518</v>
      </c>
      <c r="CW12">
        <f>AN12*(c_HF2+c_SEM)</f>
        <v>40.806522426885209</v>
      </c>
      <c r="CX12">
        <f>AO12*(c_Stroke2+c_HF1+c_SEM)</f>
        <v>0.15119434860976963</v>
      </c>
      <c r="CY12">
        <f>AP12*(c_Stroke1+c_Stroke2+c_HF2+c_SEM)</f>
        <v>0.22680247435338882</v>
      </c>
      <c r="CZ12">
        <f>AQ12*(c_Stroke2+c_HF2+c_SEM)</f>
        <v>0.42526249251490528</v>
      </c>
      <c r="DA12">
        <f>AR12*(c_DM+c_SEM)</f>
        <v>4026.2395526260693</v>
      </c>
      <c r="DB12">
        <f>AS12*(c_Other+c_DM+c_SEM)</f>
        <v>368.34945352823559</v>
      </c>
      <c r="DC12">
        <f>AT12*(c_Stroke1+c_Stroke2+c_DM+c_SEM)</f>
        <v>46.112803187090229</v>
      </c>
      <c r="DD12">
        <f>AU12*(c_Stroke2+c_DM+c_SEM)</f>
        <v>82.584238699617927</v>
      </c>
      <c r="DE12">
        <f>AV12*(c_MI1+c_MI2+c_DM+c_SEM)</f>
        <v>36.424167365381763</v>
      </c>
      <c r="DF12">
        <f>AW12*(c_MI2+c_DM+c_SEM)</f>
        <v>64.111123808775176</v>
      </c>
      <c r="DG12">
        <f>AX12*(c_Stroke1+c_Stroke2+c_MI2+c_DM+c_SEM)</f>
        <v>0.70110428302618122</v>
      </c>
      <c r="DH12">
        <f>AY12*(c_Stroke2+c_MI1+c_MI2+c_DM+c_SEM)</f>
        <v>0.7124886453419057</v>
      </c>
      <c r="DI12">
        <f>AZ12*(c_Stroke2+c_MI2+c_DM+c_SEM)</f>
        <v>1.0779349349531293</v>
      </c>
      <c r="DJ12">
        <f>BA12*(c_HF1+c_DM+c_SEM)</f>
        <v>5.8165410702374745</v>
      </c>
      <c r="DK12">
        <f>BB12*(c_HF2+c_DM+c_SEM)</f>
        <v>19.045987339383821</v>
      </c>
      <c r="DL12">
        <f>BC12*(c_Stroke2+c_HF1+c_DM+c_SEM)</f>
        <v>0.11171839232207909</v>
      </c>
      <c r="DM12">
        <f>BD12*(c_Stroke1+c_Stroke2+c_HF2+c_DM+c_SEM)</f>
        <v>0.16054828054713891</v>
      </c>
      <c r="DN12">
        <f>BE12*(c_Stroke2+c_HF2+c_DM+c_SEM)</f>
        <v>0.2890252764048552</v>
      </c>
      <c r="DO12">
        <f t="shared" si="20"/>
        <v>0</v>
      </c>
      <c r="DP12">
        <f t="shared" si="39"/>
        <v>15431.784447460343</v>
      </c>
      <c r="DQ12">
        <f>DP12/(1+r_)^A12</f>
        <v>11827.177810453759</v>
      </c>
    </row>
    <row r="13" spans="1:121" x14ac:dyDescent="0.3">
      <c r="A13">
        <v>10</v>
      </c>
      <c r="B13">
        <v>55</v>
      </c>
      <c r="C13">
        <f t="shared" si="40"/>
        <v>32.793999999999997</v>
      </c>
      <c r="D13">
        <f t="shared" si="1"/>
        <v>125</v>
      </c>
      <c r="E13">
        <f t="shared" si="41"/>
        <v>5.4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1"/>
        <v>1.9177515277734612E-2</v>
      </c>
      <c r="J13">
        <f t="shared" si="22"/>
        <v>0.12705849401820135</v>
      </c>
      <c r="K13">
        <f t="shared" si="23"/>
        <v>0.17329569018497482</v>
      </c>
      <c r="L13">
        <f t="shared" si="24"/>
        <v>6.2303197449986913E-2</v>
      </c>
      <c r="M13">
        <f t="shared" si="25"/>
        <v>8.6152599117543138E-2</v>
      </c>
      <c r="N13">
        <f t="shared" si="26"/>
        <v>0.26857822509300544</v>
      </c>
      <c r="O13">
        <f t="shared" si="27"/>
        <v>0.35720760949912167</v>
      </c>
      <c r="P13">
        <f t="shared" si="28"/>
        <v>0.14259595086689958</v>
      </c>
      <c r="Q13">
        <f t="shared" si="29"/>
        <v>0.19537801594554238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1.0121727471595055E-2</v>
      </c>
      <c r="U13">
        <f t="shared" si="30"/>
        <v>0.25601277542419754</v>
      </c>
      <c r="V13">
        <f t="shared" si="31"/>
        <v>0.33911094711755385</v>
      </c>
      <c r="W13">
        <f t="shared" si="32"/>
        <v>0.13064081741492628</v>
      </c>
      <c r="X13">
        <f t="shared" si="33"/>
        <v>0.17804305892841066</v>
      </c>
      <c r="Y13">
        <f t="shared" si="34"/>
        <v>0.41269877709424152</v>
      </c>
      <c r="Z13">
        <f t="shared" si="35"/>
        <v>0.5285854100050329</v>
      </c>
      <c r="AA13">
        <f t="shared" si="36"/>
        <v>0.23032926835783896</v>
      </c>
      <c r="AB13">
        <f t="shared" si="37"/>
        <v>0.30920341040995869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1.9017726829694513E-2</v>
      </c>
      <c r="AD13">
        <f t="shared" si="38"/>
        <v>0.67872442147926026</v>
      </c>
      <c r="AE13">
        <f t="shared" si="6"/>
        <v>2.9324459962836502E-2</v>
      </c>
      <c r="AF13">
        <f t="shared" si="7"/>
        <v>2.5329152532260328E-3</v>
      </c>
      <c r="AG13">
        <f t="shared" si="8"/>
        <v>8.3963068237514499E-3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1.5931704198392871E-3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7.0871915843100123E-3</v>
      </c>
      <c r="AJ13">
        <f t="shared" si="11"/>
        <v>2.7102574680732593E-5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2.1049212100253791E-5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7.3190115581843381E-5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5.9592639816849707E-4</v>
      </c>
      <c r="AN13">
        <f t="shared" si="15"/>
        <v>1.6325710605549712E-3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7.615668347218572E-6</v>
      </c>
      <c r="AP13">
        <f>AM12*T12*p_Stroke*p_Stroke_rec*(1-I12) + AN12*T12*p_Stroke*p_Stroke_rec*(1-I12) + AO12*(p_recur_Stroke*p_Stroke_rec)*(1-I12) + AP12*(p_recur_Stroke*p_Stroke_rec)*(1-I12) + AQ12*(p_recur_Stroke*p_Stroke_rec)*(1-I12)</f>
        <v>5.467598730650037E-6</v>
      </c>
      <c r="AQ13">
        <f>AO12*(1-p_recur_Stroke-H12*rr_Stroke*rr_HF)*(1-I12) + AP12*(1-p_recur_Stroke-H12*rr_Stroke*rr_HF)*(1-I12) + AQ12*(1-p_recur_Stroke-H12*rr_Stroke*rr_HF)*(1-I12)</f>
        <v>1.6204015056007862E-5</v>
      </c>
      <c r="AR13">
        <f>AR12*(1-AC12-H12*rr_DM) + AD12*(1-T12-H12)*I12</f>
        <v>0.17021741071754753</v>
      </c>
      <c r="AS13">
        <f>AR12*AC12*p_Other + AD12*T12*p_Other*I12 + AE12*(1-T12*p_Stroke-T12*p_MI-H12*rr_Other)*I12 + AS12*(1-AC12*p_Stroke-AC12*p_MI-H12*rr_Other*rr_DM)</f>
        <v>1.1371427786053202E-2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1.0971467978879979E-3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3.2217377452049144E-3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7.0997385161121105E-4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2.7389078962802771E-3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1.8089974963961346E-5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1.4320445360400209E-5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4.3513323065014595E-5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2.5119711007572305E-4</v>
      </c>
      <c r="BB13">
        <f>AM12*(1-T12*p_Stroke - H12*rr_HF)*I12 + AN12*(1-T12*p_Stroke - H12*rr_HF)*I12 + BA12*(1-AC12*p_Stroke - H12*rr_HF*rr_DM) + BB12*(1-AC12*p_Stroke - H12*rr_HF*rr_DM)</f>
        <v>6.0381496084843851E-4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4.9302828648850289E-6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3.5009521561906799E-6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9.2442205814842898E-6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3.7657191769054993E-2</v>
      </c>
      <c r="BG13">
        <f t="shared" si="17"/>
        <v>0.95800000000000007</v>
      </c>
      <c r="BH13">
        <f>(0.9442 - 0.0007*$B13 - dis_BMI*($C13-21.75))*AD13</f>
        <v>0.58998446124807014</v>
      </c>
      <c r="BI13">
        <f>0.959*(0.9442 - 0.0007*$B13 - dis_BMI*($C13-21.75))*AE13</f>
        <v>2.4445320049319211E-2</v>
      </c>
      <c r="BJ13">
        <f>(0.943*(0.9442 - 0.0007*$B13 - dis_BMI*($C13-21.75)) - 0.19*0.5)*AF13</f>
        <v>1.8356221145174548E-3</v>
      </c>
      <c r="BK13">
        <f>(0.943*(0.9442 - 0.0007*$B13 - dis_BMI*($C13-21.75)))*AG13</f>
        <v>6.8825137983160364E-3</v>
      </c>
      <c r="BL13">
        <f>(0.955*(0.9442 - 0.0007*$B13 - dis_BMI*($C13-21.75)) - 0.15*0.5)*AH13</f>
        <v>1.20306405661552E-3</v>
      </c>
      <c r="BM13">
        <f>(0.955*(0.9442 - 0.0007*$B13 - dis_BMI*($C13-21.75)))*AI13</f>
        <v>5.8833494145379348E-3</v>
      </c>
      <c r="BN13">
        <f>(0.955*0.943*(0.9442 - 0.0007*$B13 - dis_BMI*($C13-21.75)) - 0.19*0.5)*AJ13</f>
        <v>1.8641705084927628E-5</v>
      </c>
      <c r="BO13">
        <f>(0.955*0.943*(0.9442 - 0.0007*$B13 - dis_BMI*($C13-21.75)) - 0.15*0.5)*AK13</f>
        <v>1.4899062759098004E-5</v>
      </c>
      <c r="BP13">
        <f>(0.955*0.943*(0.9442 - 0.0007*$B13 - dis_BMI*($C13-21.75)))*AL13</f>
        <v>5.7294719139359313E-5</v>
      </c>
      <c r="BQ13">
        <f>(0.93*(0.9442 - 0.0007*$B13 - dis_BMI*($C13-21.75)))*AM13</f>
        <v>4.8175105031084993E-4</v>
      </c>
      <c r="BR13">
        <f>(0.93*(0.9442 - 0.0007*$B13 - dis_BMI*($C13-21.75)))*AN13</f>
        <v>1.3197818145775045E-3</v>
      </c>
      <c r="BS13">
        <f>(0.93*0.943*(0.9442 - 0.0007*$B13 - dis_BMI*($C13-21.75)))*AO13</f>
        <v>5.8056354457437302E-6</v>
      </c>
      <c r="BT13">
        <f>(0.93*0.943*(0.9442 - 0.0007*$B13 - dis_BMI*($C13-21.75))-0.19*0.5)*AP13</f>
        <v>3.6486804520610394E-6</v>
      </c>
      <c r="BU13">
        <f>(0.93*0.943*(0.9442 - 0.0007*$B13 - dis_BMI*($C13-21.75)))*AQ13</f>
        <v>1.2352770614923464E-5</v>
      </c>
      <c r="BV13">
        <f>0.962*(0.9442 - 0.0007*$B13 - dis_BMI*($C13-21.75))*AR13</f>
        <v>0.14233973386002727</v>
      </c>
      <c r="BW13">
        <f>0.962*0.959*(0.9442 - 0.0007*$B13 - dis_BMI*($C13-21.75))*AS13</f>
        <v>9.1191797122291904E-3</v>
      </c>
      <c r="BX13">
        <f>0.962*(0.943*(0.9442 - 0.0007*$B13 - dis_BMI*($C13-21.75)) - 0.19*0.5)*AT13</f>
        <v>7.6489607753547331E-4</v>
      </c>
      <c r="BY13">
        <f>0.962*(0.943*(0.9442 - 0.0007*$B13 - dis_BMI*($C13-21.75)))*AU13</f>
        <v>2.5405283612459115E-3</v>
      </c>
      <c r="BZ13">
        <f>0.962*(0.955*(0.9442 - 0.0007*$B13 - dis_BMI*($C13-21.75)) - 0.15*0.5)*AV13</f>
        <v>5.1575558957266154E-4</v>
      </c>
      <c r="CA13">
        <f>0.962*(0.955*(0.9442 - 0.0007*$B13 - dis_BMI*($C13-21.75)))*AW13</f>
        <v>2.1872728853536468E-3</v>
      </c>
      <c r="CB13">
        <f>0.962*(0.955*0.943*(0.9442 - 0.0007*$B13 - dis_BMI*($C13-21.75)) - 0.19*0.5)*AX13</f>
        <v>1.196983382276915E-5</v>
      </c>
      <c r="CC13">
        <f>0.962*(0.955*0.943*(0.9442 - 0.0007*$B13 - dis_BMI*($C13-21.75)) - 0.15*0.5)*AY13</f>
        <v>9.7511245098895646E-6</v>
      </c>
      <c r="CD13">
        <f>0.962*(0.955*0.943*(0.9442 - 0.0007*$B13 - dis_BMI*($C13-21.75)))*AZ13</f>
        <v>3.2768720571875112E-5</v>
      </c>
      <c r="CE13">
        <f>0.962*(0.93*(0.9442 - 0.0007*$B13 - dis_BMI*($C13-21.75)))*BA13</f>
        <v>1.953528523832573E-4</v>
      </c>
      <c r="CF13">
        <f>0.962*(0.93*(0.9442 - 0.0007*$B13 - dis_BMI*($C13-21.75)))*BB13</f>
        <v>4.6957934698320901E-4</v>
      </c>
      <c r="CG13">
        <f>0.962*(0.93*0.943*(0.9442 - 0.0007*$B13 - dis_BMI*($C13-21.75)))*BC13</f>
        <v>3.6156688492842849E-6</v>
      </c>
      <c r="CH13">
        <f>0.962*(0.93*0.943*(0.9442 - 0.0007*$B13 - dis_BMI*($C13-21.75))-0.19*0.5)*BD13</f>
        <v>2.2475038467186404E-6</v>
      </c>
      <c r="CI13">
        <f>0.962*(0.93*0.943*(0.9442 - 0.0007*$B13 - dis_BMI*($C13-21.75)))*BE13</f>
        <v>6.7793352447263358E-6</v>
      </c>
      <c r="CJ13">
        <f t="shared" si="18"/>
        <v>0</v>
      </c>
      <c r="CK13">
        <f t="shared" si="19"/>
        <v>0.79034793699193695</v>
      </c>
      <c r="CL13">
        <f>CK13/(1+r_)^A13</f>
        <v>0.58809309056688064</v>
      </c>
      <c r="CM13">
        <f>AD13*c_SEM</f>
        <v>9242.8691717045658</v>
      </c>
      <c r="CN13">
        <f>AE13*(c_Other+c_SEM)</f>
        <v>818.06445958324991</v>
      </c>
      <c r="CO13">
        <f>AF13*(c_Stroke1+c_Stroke2+c_SEM)</f>
        <v>94.817149589263309</v>
      </c>
      <c r="CP13">
        <f>AG13*(c_Stroke2 + c_SEM)</f>
        <v>168.91690068023166</v>
      </c>
      <c r="CQ13">
        <f>AH13*(c_MI1+c_MI2 + c_SEM)</f>
        <v>68.138305686106477</v>
      </c>
      <c r="CR13">
        <f>AI13*(c_MI2+c_SEM)</f>
        <v>118.60415116342806</v>
      </c>
      <c r="CS13">
        <f>AJ13*(c_Stroke1+c_Stroke2+c_MI2+c_SEM)</f>
        <v>1.0990365058783873</v>
      </c>
      <c r="CT13">
        <f>AK13*(c_Stroke2+c_MI1+c_MI2+c_SEM)</f>
        <v>1.037073630967404</v>
      </c>
      <c r="CU13">
        <f>AL13*(c_Stroke2+c_MI2+c_SEM)</f>
        <v>1.7005723355441309</v>
      </c>
      <c r="CV13">
        <f>AM13*(c_HF1+c_SEM)</f>
        <v>24.223216232753067</v>
      </c>
      <c r="CW13">
        <f>AN13*(c_HF2+c_SEM)</f>
        <v>47.708624102597923</v>
      </c>
      <c r="CX13">
        <f>AO13*(c_Stroke2+c_HF1+c_SEM)</f>
        <v>0.35906353123466123</v>
      </c>
      <c r="CY13">
        <f>AP13*(c_Stroke1+c_Stroke2+c_HF2+c_SEM)</f>
        <v>0.28999596907494729</v>
      </c>
      <c r="CZ13">
        <f>AQ13*(c_Stroke2+c_HF2+c_SEM)</f>
        <v>0.57885602984576889</v>
      </c>
      <c r="DA13">
        <f>AR13*(c_DM+c_SEM)</f>
        <v>4262.7546165995427</v>
      </c>
      <c r="DB13">
        <f>AS13*(c_Other+c_DM+c_SEM)</f>
        <v>447.14728340318402</v>
      </c>
      <c r="DC13">
        <f>AT13*(c_Stroke1+c_Stroke2+c_DM+c_SEM)</f>
        <v>53.605495398009687</v>
      </c>
      <c r="DD13">
        <f>AU13*(c_Stroke2+c_DM+c_SEM)</f>
        <v>101.62327369699861</v>
      </c>
      <c r="DE13">
        <f>AV13*(c_MI1+c_MI2+c_DM+c_SEM)</f>
        <v>38.476322914217974</v>
      </c>
      <c r="DF13">
        <f>AW13*(c_MI2+c_DM+c_SEM)</f>
        <v>77.127646359252608</v>
      </c>
      <c r="DG13">
        <f>AX13*(c_Stroke1+c_Stroke2+c_MI2+c_DM+c_SEM)</f>
        <v>0.94024453872685498</v>
      </c>
      <c r="DH13">
        <f>AY13*(c_Stroke2+c_MI1+c_MI2+c_DM+c_SEM)</f>
        <v>0.86916511070413027</v>
      </c>
      <c r="DI13">
        <f>AZ13*(c_Stroke2+c_MI2+c_DM+c_SEM)</f>
        <v>1.5081717774334058</v>
      </c>
      <c r="DJ13">
        <f>BA13*(c_HF1+c_DM+c_SEM)</f>
        <v>13.080587112973125</v>
      </c>
      <c r="DK13">
        <f>BB13*(c_HF2+c_DM+c_SEM)</f>
        <v>24.543870528567329</v>
      </c>
      <c r="DL13">
        <f>BC13*(c_Stroke2+c_HF1+c_DM+c_SEM)</f>
        <v>0.2887814582449108</v>
      </c>
      <c r="DM13">
        <f>BD13*(c_Stroke1+c_Stroke2+c_HF2+c_DM+c_SEM)</f>
        <v>0.22568537979667599</v>
      </c>
      <c r="DN13">
        <f>BE13*(c_Stroke2+c_HF2+c_DM+c_SEM)</f>
        <v>0.4358465119758213</v>
      </c>
      <c r="DO13">
        <f t="shared" si="20"/>
        <v>0</v>
      </c>
      <c r="DP13">
        <f t="shared" si="39"/>
        <v>15611.033567534367</v>
      </c>
      <c r="DQ13">
        <f>DP13/(1+r_)^A13</f>
        <v>11616.075082850837</v>
      </c>
    </row>
    <row r="14" spans="1:121" x14ac:dyDescent="0.3">
      <c r="A14">
        <v>11</v>
      </c>
      <c r="B14">
        <v>56</v>
      </c>
      <c r="C14">
        <f t="shared" si="40"/>
        <v>32.793999999999997</v>
      </c>
      <c r="D14">
        <f t="shared" si="1"/>
        <v>125</v>
      </c>
      <c r="E14">
        <f t="shared" si="41"/>
        <v>5.4</v>
      </c>
      <c r="F14">
        <v>5.1799999999999997E-3</v>
      </c>
      <c r="G14">
        <v>8.4600000000000005E-3</v>
      </c>
      <c r="H14">
        <f t="shared" si="3"/>
        <v>5.836E-3</v>
      </c>
      <c r="I14">
        <f t="shared" si="21"/>
        <v>1.9177515277734612E-2</v>
      </c>
      <c r="J14">
        <f t="shared" si="22"/>
        <v>0.13299907425378832</v>
      </c>
      <c r="K14">
        <f t="shared" si="23"/>
        <v>0.18116399784160953</v>
      </c>
      <c r="L14">
        <f t="shared" si="24"/>
        <v>6.5329508309162065E-2</v>
      </c>
      <c r="M14">
        <f t="shared" si="25"/>
        <v>9.0280452667681255E-2</v>
      </c>
      <c r="N14">
        <f t="shared" si="26"/>
        <v>0.2816582477869336</v>
      </c>
      <c r="O14">
        <f t="shared" si="27"/>
        <v>0.37338981517858683</v>
      </c>
      <c r="P14">
        <f t="shared" si="28"/>
        <v>0.15017266169802401</v>
      </c>
      <c r="Q14">
        <f t="shared" si="29"/>
        <v>0.20540640681433386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1.0613983233184993E-2</v>
      </c>
      <c r="U14">
        <f t="shared" si="30"/>
        <v>0.26698737167107134</v>
      </c>
      <c r="V14">
        <f t="shared" si="31"/>
        <v>0.35272362369264654</v>
      </c>
      <c r="W14">
        <f t="shared" si="32"/>
        <v>0.13673542516752424</v>
      </c>
      <c r="X14">
        <f t="shared" si="33"/>
        <v>0.18610176041745718</v>
      </c>
      <c r="Y14">
        <f t="shared" si="34"/>
        <v>0.43045842229982512</v>
      </c>
      <c r="Z14">
        <f t="shared" si="35"/>
        <v>0.54860146372625895</v>
      </c>
      <c r="AA14">
        <f t="shared" si="36"/>
        <v>0.24186702638178637</v>
      </c>
      <c r="AB14">
        <f t="shared" si="37"/>
        <v>0.32379004125192012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1.9875227360632335E-2</v>
      </c>
      <c r="AD14">
        <f t="shared" si="38"/>
        <v>0.65543115215860193</v>
      </c>
      <c r="AE14">
        <f t="shared" si="6"/>
        <v>3.204654034763614E-2</v>
      </c>
      <c r="AF14">
        <f t="shared" si="7"/>
        <v>2.6708337112475718E-3</v>
      </c>
      <c r="AG14">
        <f t="shared" si="8"/>
        <v>9.2310365651327043E-3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1.6443060869376698E-3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7.527753041252994E-3</v>
      </c>
      <c r="AJ14">
        <f t="shared" si="11"/>
        <v>3.1373938326340421E-5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2.468692349940272E-5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8.9095749150512729E-5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6.2275175278858445E-4</v>
      </c>
      <c r="AN14">
        <f t="shared" si="15"/>
        <v>2.1595244759751524E-3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9.0766496659578601E-6</v>
      </c>
      <c r="AP14">
        <f>AM13*T13*p_Stroke*p_Stroke_rec*(1-I13) + AN13*T13*p_Stroke*p_Stroke_rec*(1-I13) + AO13*(p_recur_Stroke*p_Stroke_rec)*(1-I13) + AP13*(p_recur_Stroke*p_Stroke_rec)*(1-I13) + AQ13*(p_recur_Stroke*p_Stroke_rec)*(1-I13)</f>
        <v>7.8526778150109961E-6</v>
      </c>
      <c r="AQ14">
        <f>AO13*(1-p_recur_Stroke-H13*rr_Stroke*rr_HF)*(1-I13) + AP13*(1-p_recur_Stroke-H13*rr_Stroke*rr_HF)*(1-I13) + AQ13*(1-p_recur_Stroke-H13*rr_Stroke*rr_HF)*(1-I13)</f>
        <v>2.4408648148547814E-5</v>
      </c>
      <c r="AR14">
        <f>AR13*(1-AC13-H13*rr_DM) + AD13*(1-T13-H13)*I13</f>
        <v>0.17875496205372821</v>
      </c>
      <c r="AS14">
        <f>AR13*AC13*p_Other + AD13*T13*p_Other*I13 + AE13*(1-T13*p_Stroke-T13*p_MI-H13*rr_Other)*I13 + AS13*(1-AC13*p_Stroke-AC13*p_MI-H13*rr_Other*rr_DM)</f>
        <v>1.3549047969238035E-2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1.2597671906996112E-3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3.8803967005822384E-3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7.989136339114297E-4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3.185191525076226E-3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2.2874240601041872E-5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1.8377705959136381E-5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5.8279933548697109E-5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2.8641503921844537E-4</v>
      </c>
      <c r="BB14">
        <f>AM13*(1-T13*p_Stroke - H13*rr_HF)*I13 + AN13*(1-T13*p_Stroke - H13*rr_HF)*I13 + BA13*(1-AC13*p_Stroke - H13*rr_HF*rr_DM) + BB13*(1-AC13*p_Stroke - H13*rr_HF*rr_DM)</f>
        <v>8.8398305240551533E-4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6.4361633909824039E-6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5.5456073283567392E-6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1.5416092367816479E-5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4.3754000365765752E-2</v>
      </c>
      <c r="BG14">
        <f t="shared" si="17"/>
        <v>0.95799999999999985</v>
      </c>
      <c r="BH14">
        <f>(0.9442 - 0.0007*$B14 - dis_BMI*($C14-21.75))*AD14</f>
        <v>0.56927787327688406</v>
      </c>
      <c r="BI14">
        <f>0.959*(0.9442 - 0.0007*$B14 - dis_BMI*($C14-21.75))*AE14</f>
        <v>2.6692975208197387E-2</v>
      </c>
      <c r="BJ14">
        <f>(0.943*(0.9442 - 0.0007*$B14 - dis_BMI*($C14-21.75)) - 0.19*0.5)*AF14</f>
        <v>1.9338096072627374E-3</v>
      </c>
      <c r="BK14">
        <f>(0.943*(0.9442 - 0.0007*$B14 - dis_BMI*($C14-21.75)))*AG14</f>
        <v>7.5606544339170967E-3</v>
      </c>
      <c r="BL14">
        <f>(0.955*(0.9442 - 0.0007*$B14 - dis_BMI*($C14-21.75)) - 0.15*0.5)*AH14</f>
        <v>1.2405793404570535E-3</v>
      </c>
      <c r="BM14">
        <f>(0.955*(0.9442 - 0.0007*$B14 - dis_BMI*($C14-21.75)))*AI14</f>
        <v>6.244044065521117E-3</v>
      </c>
      <c r="BN14">
        <f>(0.955*0.943*(0.9442 - 0.0007*$B14 - dis_BMI*($C14-21.75)) - 0.19*0.5)*AJ14</f>
        <v>2.1559858355791367E-5</v>
      </c>
      <c r="BO14">
        <f>(0.955*0.943*(0.9442 - 0.0007*$B14 - dis_BMI*($C14-21.75)) - 0.15*0.5)*AK14</f>
        <v>1.7458346749354915E-5</v>
      </c>
      <c r="BP14">
        <f>(0.955*0.943*(0.9442 - 0.0007*$B14 - dis_BMI*($C14-21.75)))*AL14</f>
        <v>6.9689808791276495E-5</v>
      </c>
      <c r="BQ14">
        <f>(0.93*(0.9442 - 0.0007*$B14 - dis_BMI*($C14-21.75)))*AM14</f>
        <v>5.0303144240643281E-4</v>
      </c>
      <c r="BR14">
        <f>(0.93*(0.9442 - 0.0007*$B14 - dis_BMI*($C14-21.75)))*AN14</f>
        <v>1.7443687748729044E-3</v>
      </c>
      <c r="BS14">
        <f>(0.93*0.943*(0.9442 - 0.0007*$B14 - dis_BMI*($C14-21.75)))*AO14</f>
        <v>6.9138099804695544E-6</v>
      </c>
      <c r="BT14">
        <f>(0.93*0.943*(0.9442 - 0.0007*$B14 - dis_BMI*($C14-21.75))-0.19*0.5)*AP14</f>
        <v>5.235489247728177E-6</v>
      </c>
      <c r="BU14">
        <f>(0.93*0.943*(0.9442 - 0.0007*$B14 - dis_BMI*($C14-21.75)))*AQ14</f>
        <v>1.8592405941602535E-5</v>
      </c>
      <c r="BV14">
        <f>0.962*(0.9442 - 0.0007*$B14 - dis_BMI*($C14-21.75))*AR14</f>
        <v>0.14935865806359133</v>
      </c>
      <c r="BW14">
        <f>0.962*0.959*(0.9442 - 0.0007*$B14 - dis_BMI*($C14-21.75))*AS14</f>
        <v>1.085674617306342E-2</v>
      </c>
      <c r="BX14">
        <f>0.962*(0.943*(0.9442 - 0.0007*$B14 - dis_BMI*($C14-21.75)) - 0.19*0.5)*AT14</f>
        <v>8.7746990400821223E-4</v>
      </c>
      <c r="BY14">
        <f>0.962*(0.943*(0.9442 - 0.0007*$B14 - dis_BMI*($C14-21.75)))*AU14</f>
        <v>3.057455298408656E-3</v>
      </c>
      <c r="BZ14">
        <f>0.962*(0.955*(0.9442 - 0.0007*$B14 - dis_BMI*($C14-21.75)) - 0.15*0.5)*AV14</f>
        <v>5.7985149976070845E-4</v>
      </c>
      <c r="CA14">
        <f>0.962*(0.955*(0.9442 - 0.0007*$B14 - dis_BMI*($C14-21.75)))*AW14</f>
        <v>2.541623514711783E-3</v>
      </c>
      <c r="CB14">
        <f>0.962*(0.955*0.943*(0.9442 - 0.0007*$B14 - dis_BMI*($C14-21.75)) - 0.19*0.5)*AX14</f>
        <v>1.5121630497914377E-5</v>
      </c>
      <c r="CC14">
        <f>0.962*(0.955*0.943*(0.9442 - 0.0007*$B14 - dis_BMI*($C14-21.75)) - 0.15*0.5)*AY14</f>
        <v>1.2502662687080051E-5</v>
      </c>
      <c r="CD14">
        <f>0.962*(0.955*0.943*(0.9442 - 0.0007*$B14 - dis_BMI*($C14-21.75)))*AZ14</f>
        <v>4.3853716933364944E-5</v>
      </c>
      <c r="CE14">
        <f>0.962*(0.93*(0.9442 - 0.0007*$B14 - dis_BMI*($C14-21.75)))*BA14</f>
        <v>2.2256202477588944E-4</v>
      </c>
      <c r="CF14">
        <f>0.962*(0.93*(0.9442 - 0.0007*$B14 - dis_BMI*($C14-21.75)))*BB14</f>
        <v>6.8690896451457147E-4</v>
      </c>
      <c r="CG14">
        <f>0.962*(0.93*0.943*(0.9442 - 0.0007*$B14 - dis_BMI*($C14-21.75)))*BC14</f>
        <v>4.716219382454944E-6</v>
      </c>
      <c r="CH14">
        <f>0.962*(0.93*0.943*(0.9442 - 0.0007*$B14 - dis_BMI*($C14-21.75))-0.19*0.5)*BD14</f>
        <v>3.556834678717208E-6</v>
      </c>
      <c r="CI14">
        <f>0.962*(0.93*0.943*(0.9442 - 0.0007*$B14 - dis_BMI*($C14-21.75)))*BE14</f>
        <v>1.1296430685504109E-5</v>
      </c>
      <c r="CJ14">
        <f t="shared" si="18"/>
        <v>0</v>
      </c>
      <c r="CK14">
        <f t="shared" si="19"/>
        <v>0.78360910880628465</v>
      </c>
      <c r="CL14">
        <f>CK14/(1+r_)^A14</f>
        <v>0.56609589273825456</v>
      </c>
      <c r="CM14">
        <f>AD14*c_SEM</f>
        <v>8925.6614300958408</v>
      </c>
      <c r="CN14">
        <f>AE14*(c_Other+c_SEM)</f>
        <v>894.00233607800544</v>
      </c>
      <c r="CO14">
        <f>AF14*(c_Stroke1+c_Stroke2+c_SEM)</f>
        <v>99.979989146841604</v>
      </c>
      <c r="CP14">
        <f>AG14*(c_Stroke2 + c_SEM)</f>
        <v>185.70999361733973</v>
      </c>
      <c r="CQ14">
        <f>AH14*(c_MI1+c_MI2 + c_SEM)</f>
        <v>70.325327032237197</v>
      </c>
      <c r="CR14">
        <f>AI14*(c_MI2+c_SEM)</f>
        <v>125.97694714536885</v>
      </c>
      <c r="CS14">
        <f>AJ14*(c_Stroke1+c_Stroke2+c_MI2+c_SEM)</f>
        <v>1.2722445730714305</v>
      </c>
      <c r="CT14">
        <f>AK14*(c_Stroke2+c_MI1+c_MI2+c_SEM)</f>
        <v>1.2163000338920726</v>
      </c>
      <c r="CU14">
        <f>AL14*(c_Stroke2+c_MI2+c_SEM)</f>
        <v>2.0701397315121635</v>
      </c>
      <c r="CV14">
        <f>AM14*(c_HF1+c_SEM)</f>
        <v>25.313613247350382</v>
      </c>
      <c r="CW14">
        <f>AN14*(c_HF2+c_SEM)</f>
        <v>63.107783761421878</v>
      </c>
      <c r="CX14">
        <f>AO14*(c_Stroke2+c_HF1+c_SEM)</f>
        <v>0.42794587845058119</v>
      </c>
      <c r="CY14">
        <f>AP14*(c_Stroke1+c_Stroke2+c_HF2+c_SEM)</f>
        <v>0.4164981786303682</v>
      </c>
      <c r="CZ14">
        <f>AQ14*(c_Stroke2+c_HF2+c_SEM)</f>
        <v>0.87195013781057351</v>
      </c>
      <c r="DA14">
        <f>AR14*(c_DM+c_SEM)</f>
        <v>4476.5605147115157</v>
      </c>
      <c r="DB14">
        <f>AS14*(c_Other+c_DM+c_SEM)</f>
        <v>532.77566424637803</v>
      </c>
      <c r="DC14">
        <f>AT14*(c_Stroke1+c_Stroke2+c_DM+c_SEM)</f>
        <v>61.550965170392303</v>
      </c>
      <c r="DD14">
        <f>AU14*(c_Stroke2+c_DM+c_SEM)</f>
        <v>122.39935312646554</v>
      </c>
      <c r="DE14">
        <f>AV14*(c_MI1+c_MI2+c_DM+c_SEM)</f>
        <v>43.296325476196024</v>
      </c>
      <c r="DF14">
        <f>AW14*(c_MI2+c_DM+c_SEM)</f>
        <v>89.694993346146518</v>
      </c>
      <c r="DG14">
        <f>AX14*(c_Stroke1+c_Stroke2+c_MI2+c_DM+c_SEM)</f>
        <v>1.1889115294797523</v>
      </c>
      <c r="DH14">
        <f>AY14*(c_Stroke2+c_MI1+c_MI2+c_DM+c_SEM)</f>
        <v>1.1154164854838235</v>
      </c>
      <c r="DI14">
        <f>AZ14*(c_Stroke2+c_MI2+c_DM+c_SEM)</f>
        <v>2.0199824967978417</v>
      </c>
      <c r="DJ14">
        <f>BA14*(c_HF1+c_DM+c_SEM)</f>
        <v>14.914490337222105</v>
      </c>
      <c r="DK14">
        <f>BB14*(c_HF2+c_DM+c_SEM)</f>
        <v>35.932143114179389</v>
      </c>
      <c r="DL14">
        <f>BC14*(c_Stroke2+c_HF1+c_DM+c_SEM)</f>
        <v>0.37698539830001232</v>
      </c>
      <c r="DM14">
        <f>BD14*(c_Stroke1+c_Stroke2+c_HF2+c_DM+c_SEM)</f>
        <v>0.35749203081518882</v>
      </c>
      <c r="DN14">
        <f>BE14*(c_Stroke2+c_HF2+c_DM+c_SEM)</f>
        <v>0.72683792295781136</v>
      </c>
      <c r="DO14">
        <f t="shared" si="20"/>
        <v>0</v>
      </c>
      <c r="DP14">
        <f t="shared" si="39"/>
        <v>15779.262574050099</v>
      </c>
      <c r="DQ14">
        <f>DP14/(1+r_)^A14</f>
        <v>11399.275012532344</v>
      </c>
    </row>
    <row r="15" spans="1:121" x14ac:dyDescent="0.3">
      <c r="A15">
        <v>12</v>
      </c>
      <c r="B15">
        <v>57</v>
      </c>
      <c r="C15">
        <f t="shared" si="40"/>
        <v>32.793999999999997</v>
      </c>
      <c r="D15">
        <f t="shared" si="1"/>
        <v>125</v>
      </c>
      <c r="E15">
        <f t="shared" si="41"/>
        <v>5.4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1"/>
        <v>1.9177515277734612E-2</v>
      </c>
      <c r="J15">
        <f t="shared" si="22"/>
        <v>0.13908272816719747</v>
      </c>
      <c r="K15">
        <f t="shared" si="23"/>
        <v>0.1891994587690935</v>
      </c>
      <c r="L15">
        <f t="shared" si="24"/>
        <v>6.844004392456271E-2</v>
      </c>
      <c r="M15">
        <f t="shared" si="25"/>
        <v>9.4517613110526089E-2</v>
      </c>
      <c r="N15">
        <f t="shared" si="26"/>
        <v>0.29499371765224491</v>
      </c>
      <c r="O15">
        <f t="shared" si="27"/>
        <v>0.38976323034216043</v>
      </c>
      <c r="P15">
        <f t="shared" si="28"/>
        <v>0.15796986197250451</v>
      </c>
      <c r="Q15">
        <f t="shared" si="29"/>
        <v>0.21568814946616632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1.1118594359541606E-2</v>
      </c>
      <c r="U15">
        <f t="shared" si="30"/>
        <v>0.27813497503429307</v>
      </c>
      <c r="V15">
        <f t="shared" si="31"/>
        <v>0.3664675750555999</v>
      </c>
      <c r="W15">
        <f t="shared" si="32"/>
        <v>0.14297550653328961</v>
      </c>
      <c r="X15">
        <f t="shared" si="33"/>
        <v>0.19432924143938224</v>
      </c>
      <c r="Y15">
        <f t="shared" si="34"/>
        <v>0.44833278514727837</v>
      </c>
      <c r="Z15">
        <f t="shared" si="35"/>
        <v>0.5684881666151762</v>
      </c>
      <c r="AA15">
        <f t="shared" si="36"/>
        <v>0.25366541939115017</v>
      </c>
      <c r="AB15">
        <f t="shared" si="37"/>
        <v>0.33861165956313533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2.0748344575498456E-2</v>
      </c>
      <c r="AD15">
        <f t="shared" si="38"/>
        <v>0.63228654849867461</v>
      </c>
      <c r="AE15">
        <f t="shared" si="6"/>
        <v>3.4686136135106363E-2</v>
      </c>
      <c r="AF15">
        <f t="shared" si="7"/>
        <v>2.8031765262514297E-3</v>
      </c>
      <c r="AG15">
        <f t="shared" si="8"/>
        <v>1.0032290224795792E-2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1.6925108562629823E-3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7.9457511122985828E-3</v>
      </c>
      <c r="AJ15">
        <f t="shared" si="11"/>
        <v>3.5922614048552646E-5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2.8553075604395593E-5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1.0621566150219137E-4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6.4822130933427807E-4</v>
      </c>
      <c r="AN15">
        <f t="shared" si="15"/>
        <v>2.693271933929698E-3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1.0644420740799317E-5</v>
      </c>
      <c r="AP15">
        <f>AM14*T14*p_Stroke*p_Stroke_rec*(1-I14) + AN14*T14*p_Stroke*p_Stroke_rec*(1-I14) + AO14*(p_recur_Stroke*p_Stroke_rec)*(1-I14) + AP14*(p_recur_Stroke*p_Stroke_rec)*(1-I14) + AQ14*(p_recur_Stroke*p_Stroke_rec)*(1-I14)</f>
        <v>1.060512265957998E-5</v>
      </c>
      <c r="AQ15">
        <f>AO14*(1-p_recur_Stroke-H14*rr_Stroke*rr_HF)*(1-I14) + AP14*(1-p_recur_Stroke-H14*rr_Stroke*rr_HF)*(1-I14) + AQ14*(1-p_recur_Stroke-H14*rr_Stroke*rr_HF)*(1-I14)</f>
        <v>3.433184984998839E-5</v>
      </c>
      <c r="AR15">
        <f>AR14*(1-AC14-H14*rr_DM) + AD14*(1-T14-H14)*I14</f>
        <v>0.186365242685153</v>
      </c>
      <c r="AS15">
        <f>AR14*AC14*p_Other + AD14*T14*p_Other*I14 + AE14*(1-T14*p_Stroke-T14*p_MI-H14*rr_Other)*I14 + AS14*(1-AC14*p_Stroke-AC14*p_MI-H14*rr_Other*rr_DM)</f>
        <v>1.5887332062569287E-2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1.4310365368890125E-3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4.5890469996499074E-3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8.9106123325873997E-4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3.6602748249454694E-3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2.8446241000936603E-5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2.3101710430767465E-5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7.5900515250979525E-5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3.2340776073082892E-4</v>
      </c>
      <c r="BB15">
        <f>AM14*(1-T14*p_Stroke - H14*rr_HF)*I14 + AN14*(1-T14*p_Stroke - H14*rr_HF)*I14 + BA14*(1-AC14*p_Stroke - H14*rr_HF*rr_DM) + BB14*(1-AC14*p_Stroke - H14*rr_HF*rr_DM)</f>
        <v>1.2034118849741907E-3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8.2130474015299947E-6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8.1543045702951218E-6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2.3733912919240283E-5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5.0467456939196624E-2</v>
      </c>
      <c r="BG15">
        <f t="shared" si="17"/>
        <v>0.95799999999999985</v>
      </c>
      <c r="BH15">
        <f>(0.9442 - 0.0007*$B15 - dis_BMI*($C15-21.75))*AD15</f>
        <v>0.54873291609000763</v>
      </c>
      <c r="BI15">
        <f>0.959*(0.9442 - 0.0007*$B15 - dis_BMI*($C15-21.75))*AE15</f>
        <v>2.8868326019034982E-2</v>
      </c>
      <c r="BJ15">
        <f>(0.943*(0.9442 - 0.0007*$B15 - dis_BMI*($C15-21.75)) - 0.19*0.5)*AF15</f>
        <v>2.0277816719581295E-3</v>
      </c>
      <c r="BK15">
        <f>(0.943*(0.9442 - 0.0007*$B15 - dis_BMI*($C15-21.75)))*AG15</f>
        <v>8.2102966666669271E-3</v>
      </c>
      <c r="BL15">
        <f>(0.955*(0.9442 - 0.0007*$B15 - dis_BMI*($C15-21.75)) - 0.15*0.5)*AH15</f>
        <v>1.2758169412605185E-3</v>
      </c>
      <c r="BM15">
        <f>(0.955*(0.9442 - 0.0007*$B15 - dis_BMI*($C15-21.75)))*AI15</f>
        <v>6.5854491215050492E-3</v>
      </c>
      <c r="BN15">
        <f>(0.955*0.943*(0.9442 - 0.0007*$B15 - dis_BMI*($C15-21.75)) - 0.19*0.5)*AJ15</f>
        <v>2.466301761427524E-5</v>
      </c>
      <c r="BO15">
        <f>(0.955*0.943*(0.9442 - 0.0007*$B15 - dis_BMI*($C15-21.75)) - 0.15*0.5)*AK15</f>
        <v>2.0174451332804877E-5</v>
      </c>
      <c r="BP15">
        <f>(0.955*0.943*(0.9442 - 0.0007*$B15 - dis_BMI*($C15-21.75)))*AL15</f>
        <v>8.3013876073860266E-5</v>
      </c>
      <c r="BQ15">
        <f>(0.93*(0.9442 - 0.0007*$B15 - dis_BMI*($C15-21.75)))*AM15</f>
        <v>5.2318263653427545E-4</v>
      </c>
      <c r="BR15">
        <f>(0.93*(0.9442 - 0.0007*$B15 - dis_BMI*($C15-21.75)))*AN15</f>
        <v>2.1737531472765395E-3</v>
      </c>
      <c r="BS15">
        <f>(0.93*0.943*(0.9442 - 0.0007*$B15 - dis_BMI*($C15-21.75)))*AO15</f>
        <v>8.1014684241318763E-6</v>
      </c>
      <c r="BT15">
        <f>(0.93*0.943*(0.9442 - 0.0007*$B15 - dis_BMI*($C15-21.75))-0.19*0.5)*AP15</f>
        <v>7.0640720026003614E-6</v>
      </c>
      <c r="BU15">
        <f>(0.93*0.943*(0.9442 - 0.0007*$B15 - dis_BMI*($C15-21.75)))*AQ15</f>
        <v>2.6129970270306276E-5</v>
      </c>
      <c r="BV15">
        <f>0.962*(0.9442 - 0.0007*$B15 - dis_BMI*($C15-21.75))*AR15</f>
        <v>0.15559192754161089</v>
      </c>
      <c r="BW15">
        <f>0.962*0.959*(0.9442 - 0.0007*$B15 - dis_BMI*($C15-21.75))*AS15</f>
        <v>1.2720135040041922E-2</v>
      </c>
      <c r="BX15">
        <f>0.962*(0.943*(0.9442 - 0.0007*$B15 - dis_BMI*($C15-21.75)) - 0.19*0.5)*AT15</f>
        <v>9.9585598984933805E-4</v>
      </c>
      <c r="BY15">
        <f>0.962*(0.943*(0.9442 - 0.0007*$B15 - dis_BMI*($C15-21.75)))*AU15</f>
        <v>3.6129033207204634E-3</v>
      </c>
      <c r="BZ15">
        <f>0.962*(0.955*(0.9442 - 0.0007*$B15 - dis_BMI*($C15-21.75)) - 0.15*0.5)*AV15</f>
        <v>6.4615918674649066E-4</v>
      </c>
      <c r="CA15">
        <f>0.962*(0.955*(0.9442 - 0.0007*$B15 - dis_BMI*($C15-21.75)))*AW15</f>
        <v>2.9183623127280074E-3</v>
      </c>
      <c r="CB15">
        <f>0.962*(0.955*0.943*(0.9442 - 0.0007*$B15 - dis_BMI*($C15-21.75)) - 0.19*0.5)*AX15</f>
        <v>1.8787899915215163E-5</v>
      </c>
      <c r="CC15">
        <f>0.962*(0.955*0.943*(0.9442 - 0.0007*$B15 - dis_BMI*($C15-21.75)) - 0.15*0.5)*AY15</f>
        <v>1.5702472628728817E-5</v>
      </c>
      <c r="CD15">
        <f>0.962*(0.955*0.943*(0.9442 - 0.0007*$B15 - dis_BMI*($C15-21.75)))*AZ15</f>
        <v>5.7066591070624708E-5</v>
      </c>
      <c r="CE15">
        <f>0.962*(0.93*(0.9442 - 0.0007*$B15 - dis_BMI*($C15-21.75)))*BA15</f>
        <v>2.511050967368612E-4</v>
      </c>
      <c r="CF15">
        <f>0.962*(0.93*(0.9442 - 0.0007*$B15 - dis_BMI*($C15-21.75)))*BB15</f>
        <v>9.343710772674943E-4</v>
      </c>
      <c r="CG15">
        <f>0.962*(0.93*0.943*(0.9442 - 0.0007*$B15 - dis_BMI*($C15-21.75)))*BC15</f>
        <v>6.013414113259678E-6</v>
      </c>
      <c r="CH15">
        <f>0.962*(0.93*0.943*(0.9442 - 0.0007*$B15 - dis_BMI*($C15-21.75))-0.19*0.5)*BD15</f>
        <v>5.2251819992147169E-6</v>
      </c>
      <c r="CI15">
        <f>0.962*(0.93*0.943*(0.9442 - 0.0007*$B15 - dis_BMI*($C15-21.75)))*BE15</f>
        <v>1.7377453207544901E-5</v>
      </c>
      <c r="CJ15">
        <f t="shared" si="18"/>
        <v>0</v>
      </c>
      <c r="CK15">
        <f t="shared" si="19"/>
        <v>0.77635766172859799</v>
      </c>
      <c r="CL15">
        <f>CK15/(1+r_)^A15</f>
        <v>0.54452164377010093</v>
      </c>
      <c r="CM15">
        <f>AD15*c_SEM</f>
        <v>8610.4782174549509</v>
      </c>
      <c r="CN15">
        <f>AE15*(c_Other+c_SEM)</f>
        <v>967.63913976106221</v>
      </c>
      <c r="CO15">
        <f>AF15*(c_Stroke1+c_Stroke2+c_SEM)</f>
        <v>104.93411008369601</v>
      </c>
      <c r="CP15">
        <f>AG15*(c_Stroke2 + c_SEM)</f>
        <v>201.82961474244175</v>
      </c>
      <c r="CQ15">
        <f>AH15*(c_MI1+c_MI2 + c_SEM)</f>
        <v>72.386996811511494</v>
      </c>
      <c r="CR15">
        <f>AI15*(c_MI2+c_SEM)</f>
        <v>132.97214486431679</v>
      </c>
      <c r="CS15">
        <f>AJ15*(c_Stroke1+c_Stroke2+c_MI2+c_SEM)</f>
        <v>1.4566979222828584</v>
      </c>
      <c r="CT15">
        <f>AK15*(c_Stroke2+c_MI1+c_MI2+c_SEM)</f>
        <v>1.4067814819529665</v>
      </c>
      <c r="CU15">
        <f>AL15*(c_Stroke2+c_MI2+c_SEM)</f>
        <v>2.4679208950034166</v>
      </c>
      <c r="CV15">
        <f>AM15*(c_HF1+c_SEM)</f>
        <v>26.348899781819735</v>
      </c>
      <c r="CW15">
        <f>AN15*(c_HF2+c_SEM)</f>
        <v>78.705485725227561</v>
      </c>
      <c r="CX15">
        <f>AO15*(c_Stroke2+c_HF1+c_SEM)</f>
        <v>0.5018631490872062</v>
      </c>
      <c r="CY15">
        <f>AP15*(c_Stroke1+c_Stroke2+c_HF2+c_SEM)</f>
        <v>0.56248510074146252</v>
      </c>
      <c r="CZ15">
        <f>AQ15*(c_Stroke2+c_HF2+c_SEM)</f>
        <v>1.2264366721911353</v>
      </c>
      <c r="DA15">
        <f>AR15*(c_DM+c_SEM)</f>
        <v>4667.1447725642865</v>
      </c>
      <c r="DB15">
        <f>AS15*(c_Other+c_DM+c_SEM)</f>
        <v>624.7216713643495</v>
      </c>
      <c r="DC15">
        <f>AT15*(c_Stroke1+c_Stroke2+c_DM+c_SEM)</f>
        <v>69.919014155860268</v>
      </c>
      <c r="DD15">
        <f>AU15*(c_Stroke2+c_DM+c_SEM)</f>
        <v>144.75230950995703</v>
      </c>
      <c r="DE15">
        <f>AV15*(c_MI1+c_MI2+c_DM+c_SEM)</f>
        <v>48.290172475224153</v>
      </c>
      <c r="DF15">
        <f>AW15*(c_MI2+c_DM+c_SEM)</f>
        <v>103.07333907046441</v>
      </c>
      <c r="DG15">
        <f>AX15*(c_Stroke1+c_Stroke2+c_MI2+c_DM+c_SEM)</f>
        <v>1.4785218222646808</v>
      </c>
      <c r="DH15">
        <f>AY15*(c_Stroke2+c_MI1+c_MI2+c_DM+c_SEM)</f>
        <v>1.4021352128850006</v>
      </c>
      <c r="DI15">
        <f>AZ15*(c_Stroke2+c_MI2+c_DM+c_SEM)</f>
        <v>2.6307118585989504</v>
      </c>
      <c r="DJ15">
        <f>BA15*(c_HF1+c_DM+c_SEM)</f>
        <v>16.840812324536454</v>
      </c>
      <c r="DK15">
        <f>BB15*(c_HF2+c_DM+c_SEM)</f>
        <v>48.916286300430905</v>
      </c>
      <c r="DL15">
        <f>BC15*(c_Stroke2+c_HF1+c_DM+c_SEM)</f>
        <v>0.48106282544981638</v>
      </c>
      <c r="DM15">
        <f>BD15*(c_Stroke1+c_Stroke2+c_HF2+c_DM+c_SEM)</f>
        <v>0.52565908981950471</v>
      </c>
      <c r="DN15">
        <f>BE15*(c_Stroke2+c_HF2+c_DM+c_SEM)</f>
        <v>1.1190065263163409</v>
      </c>
      <c r="DO15">
        <f t="shared" si="20"/>
        <v>0</v>
      </c>
      <c r="DP15">
        <f t="shared" si="39"/>
        <v>15934.212269546737</v>
      </c>
      <c r="DQ15">
        <f>DP15/(1+r_)^A15</f>
        <v>11175.935892584093</v>
      </c>
    </row>
    <row r="16" spans="1:121" x14ac:dyDescent="0.3">
      <c r="A16">
        <v>13</v>
      </c>
      <c r="B16">
        <v>58</v>
      </c>
      <c r="C16">
        <f t="shared" si="40"/>
        <v>32.793999999999997</v>
      </c>
      <c r="D16">
        <f t="shared" si="1"/>
        <v>125</v>
      </c>
      <c r="E16">
        <f t="shared" si="41"/>
        <v>5.4</v>
      </c>
      <c r="F16">
        <v>5.94E-3</v>
      </c>
      <c r="G16">
        <v>9.8399999999999998E-3</v>
      </c>
      <c r="H16">
        <f t="shared" si="3"/>
        <v>6.7200000000000003E-3</v>
      </c>
      <c r="I16">
        <f t="shared" si="21"/>
        <v>1.9177515277734612E-2</v>
      </c>
      <c r="J16">
        <f t="shared" si="22"/>
        <v>0.14530820777254094</v>
      </c>
      <c r="K16">
        <f t="shared" si="23"/>
        <v>0.19739873713132461</v>
      </c>
      <c r="L16">
        <f t="shared" si="24"/>
        <v>7.163510050723787E-2</v>
      </c>
      <c r="M16">
        <f t="shared" si="25"/>
        <v>9.8864012291854708E-2</v>
      </c>
      <c r="N16">
        <f t="shared" si="26"/>
        <v>0.30857110923339193</v>
      </c>
      <c r="O16">
        <f t="shared" si="27"/>
        <v>0.40630276793212472</v>
      </c>
      <c r="P16">
        <f t="shared" si="28"/>
        <v>0.16598589471699776</v>
      </c>
      <c r="Q16">
        <f t="shared" si="29"/>
        <v>0.22621753924524057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1.1635423719684936E-2</v>
      </c>
      <c r="U16">
        <f t="shared" si="30"/>
        <v>0.28944692766227897</v>
      </c>
      <c r="V16">
        <f t="shared" si="31"/>
        <v>0.38032752386279012</v>
      </c>
      <c r="W16">
        <f t="shared" si="32"/>
        <v>0.14935967894847835</v>
      </c>
      <c r="X16">
        <f t="shared" si="33"/>
        <v>0.20272191126751971</v>
      </c>
      <c r="Y16">
        <f t="shared" si="34"/>
        <v>0.46628927968883649</v>
      </c>
      <c r="Z16">
        <f t="shared" si="35"/>
        <v>0.58820004505733259</v>
      </c>
      <c r="AA16">
        <f t="shared" si="36"/>
        <v>0.26571528155651924</v>
      </c>
      <c r="AB16">
        <f t="shared" si="37"/>
        <v>0.35364961726457389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2.163645007241069E-2</v>
      </c>
      <c r="AD16">
        <f t="shared" si="38"/>
        <v>0.60936349432191717</v>
      </c>
      <c r="AE16">
        <f t="shared" si="6"/>
        <v>3.7236433787656453E-2</v>
      </c>
      <c r="AF16">
        <f t="shared" si="7"/>
        <v>2.9289502887614159E-3</v>
      </c>
      <c r="AG16">
        <f t="shared" si="8"/>
        <v>1.0799868604725949E-2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1.7374786654569515E-3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8.3417142716729446E-3</v>
      </c>
      <c r="AJ16">
        <f t="shared" si="11"/>
        <v>4.0723957236452358E-5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3.2624846252242223E-5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1.2452269013329674E-4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6.7220932897650359E-4</v>
      </c>
      <c r="AN16">
        <f t="shared" si="15"/>
        <v>3.2314993734398178E-3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1.230936037841234E-5</v>
      </c>
      <c r="AP16">
        <f>AM15*T15*p_Stroke*p_Stroke_rec*(1-I15) + AN15*T15*p_Stroke*p_Stroke_rec*(1-I15) + AO15*(p_recur_Stroke*p_Stroke_rec)*(1-I15) + AP15*(p_recur_Stroke*p_Stroke_rec)*(1-I15) + AQ15*(p_recur_Stroke*p_Stroke_rec)*(1-I15)</f>
        <v>1.3729257729370074E-5</v>
      </c>
      <c r="AQ16">
        <f>AO15*(1-p_recur_Stroke-H15*rr_Stroke*rr_HF)*(1-I15) + AP15*(1-p_recur_Stroke-H15*rr_Stroke*rr_HF)*(1-I15) + AQ15*(1-p_recur_Stroke-H15*rr_Stroke*rr_HF)*(1-I15)</f>
        <v>4.6019623853820424E-5</v>
      </c>
      <c r="AR16">
        <f>AR15*(1-AC15-H15*rr_DM) + AD15*(1-T15-H15)*I15</f>
        <v>0.19306454035185622</v>
      </c>
      <c r="AS16">
        <f>AR15*AC15*p_Other + AD15*T15*p_Other*I15 + AE15*(1-T15*p_Stroke-T15*p_MI-H15*rr_Other)*I15 + AS15*(1-AC15*p_Stroke-AC15*p_MI-H15*rr_Other*rr_DM)</f>
        <v>1.8375364976019486E-2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1.6098450074463159E-3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5.3450150970752296E-3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9.8587394197591021E-4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4.1623389084910313E-3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3.4848522169730058E-5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2.8522463735786271E-5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9.6633938240958282E-5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3.6195913901761005E-4</v>
      </c>
      <c r="BB16">
        <f>AM15*(1-T15*p_Stroke - H15*rr_HF)*I15 + AN15*(1-T15*p_Stroke - H15*rr_HF)*I15 + BA15*(1-AC15*p_Stroke - H15*rr_HF*rr_DM) + BB15*(1-AC15*p_Stroke - H15*rr_HF*rr_DM)</f>
        <v>1.5626103917960135E-3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1.0276560688049447E-5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1.1398892918862491E-5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3.4535958617029236E-5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5.7734657471761035E-2</v>
      </c>
      <c r="BG16">
        <f t="shared" si="17"/>
        <v>0.95799999999999985</v>
      </c>
      <c r="BH16">
        <f>(0.9442 - 0.0007*$B16 - dis_BMI*($C16-21.75))*AD16</f>
        <v>0.52841247904602329</v>
      </c>
      <c r="BI16">
        <f>0.959*(0.9442 - 0.0007*$B16 - dis_BMI*($C16-21.75))*AE16</f>
        <v>3.0965872449800692E-2</v>
      </c>
      <c r="BJ16">
        <f>(0.943*(0.9442 - 0.0007*$B16 - dis_BMI*($C16-21.75)) - 0.19*0.5)*AF16</f>
        <v>2.1168313862224451E-3</v>
      </c>
      <c r="BK16">
        <f>(0.943*(0.9442 - 0.0007*$B16 - dis_BMI*($C16-21.75)))*AG16</f>
        <v>8.8313438996598364E-3</v>
      </c>
      <c r="BL16">
        <f>(0.955*(0.9442 - 0.0007*$B16 - dis_BMI*($C16-21.75)) - 0.15*0.5)*AH16</f>
        <v>1.3085522313301319E-3</v>
      </c>
      <c r="BM16">
        <f>(0.955*(0.9442 - 0.0007*$B16 - dis_BMI*($C16-21.75)))*AI16</f>
        <v>6.908047480218762E-3</v>
      </c>
      <c r="BN16">
        <f>(0.955*0.943*(0.9442 - 0.0007*$B16 - dis_BMI*($C16-21.75)) - 0.19*0.5)*AJ16</f>
        <v>2.7933753951733794E-5</v>
      </c>
      <c r="BO16">
        <f>(0.955*0.943*(0.9442 - 0.0007*$B16 - dis_BMI*($C16-21.75)) - 0.15*0.5)*AK16</f>
        <v>2.3030833652781499E-5</v>
      </c>
      <c r="BP16">
        <f>(0.955*0.943*(0.9442 - 0.0007*$B16 - dis_BMI*($C16-21.75)))*AL16</f>
        <v>9.724341256557959E-5</v>
      </c>
      <c r="BQ16">
        <f>(0.93*(0.9442 - 0.0007*$B16 - dis_BMI*($C16-21.75)))*AM16</f>
        <v>5.4210587799088147E-4</v>
      </c>
      <c r="BR16">
        <f>(0.93*(0.9442 - 0.0007*$B16 - dis_BMI*($C16-21.75)))*AN16</f>
        <v>2.6060554793740577E-3</v>
      </c>
      <c r="BS16">
        <f>(0.93*0.943*(0.9442 - 0.0007*$B16 - dis_BMI*($C16-21.75)))*AO16</f>
        <v>9.3610973206010889E-6</v>
      </c>
      <c r="BT16">
        <f>(0.93*0.943*(0.9442 - 0.0007*$B16 - dis_BMI*($C16-21.75))-0.19*0.5)*AP16</f>
        <v>9.1366300181761771E-6</v>
      </c>
      <c r="BU16">
        <f>(0.93*0.943*(0.9442 - 0.0007*$B16 - dis_BMI*($C16-21.75)))*AQ16</f>
        <v>3.4997283718216405E-5</v>
      </c>
      <c r="BV16">
        <f>0.962*(0.9442 - 0.0007*$B16 - dis_BMI*($C16-21.75))*AR16</f>
        <v>0.16105500284662141</v>
      </c>
      <c r="BW16">
        <f>0.962*0.959*(0.9442 - 0.0007*$B16 - dis_BMI*($C16-21.75))*AS16</f>
        <v>1.4700302968886936E-2</v>
      </c>
      <c r="BX16">
        <f>0.962*(0.943*(0.9442 - 0.0007*$B16 - dis_BMI*($C16-21.75)) - 0.19*0.5)*AT16</f>
        <v>1.1192662349455477E-3</v>
      </c>
      <c r="BY16">
        <f>0.962*(0.943*(0.9442 - 0.0007*$B16 - dis_BMI*($C16-21.75)))*AU16</f>
        <v>4.2046740388462199E-3</v>
      </c>
      <c r="BZ16">
        <f>0.962*(0.955*(0.9442 - 0.0007*$B16 - dis_BMI*($C16-21.75)) - 0.15*0.5)*AV16</f>
        <v>7.1427926252336021E-4</v>
      </c>
      <c r="CA16">
        <f>0.962*(0.955*(0.9442 - 0.0007*$B16 - dis_BMI*($C16-21.75)))*AW16</f>
        <v>3.3159846747355731E-3</v>
      </c>
      <c r="CB16">
        <f>0.962*(0.955*0.943*(0.9442 - 0.0007*$B16 - dis_BMI*($C16-21.75)) - 0.19*0.5)*AX16</f>
        <v>2.29952835076022E-5</v>
      </c>
      <c r="CC16">
        <f>0.962*(0.955*0.943*(0.9442 - 0.0007*$B16 - dis_BMI*($C16-21.75)) - 0.15*0.5)*AY16</f>
        <v>1.9369717800635842E-5</v>
      </c>
      <c r="CD16">
        <f>0.962*(0.955*0.943*(0.9442 - 0.0007*$B16 - dis_BMI*($C16-21.75)))*AZ16</f>
        <v>7.2596627854776234E-5</v>
      </c>
      <c r="CE16">
        <f>0.962*(0.93*(0.9442 - 0.0007*$B16 - dis_BMI*($C16-21.75)))*BA16</f>
        <v>2.8081105393304114E-4</v>
      </c>
      <c r="CF16">
        <f>0.962*(0.93*(0.9442 - 0.0007*$B16 - dis_BMI*($C16-21.75)))*BB16</f>
        <v>1.2122867575547318E-3</v>
      </c>
      <c r="CG16">
        <f>0.962*(0.93*0.943*(0.9442 - 0.0007*$B16 - dis_BMI*($C16-21.75)))*BC16</f>
        <v>7.5182045417049141E-6</v>
      </c>
      <c r="CH16">
        <f>0.962*(0.93*0.943*(0.9442 - 0.0007*$B16 - dis_BMI*($C16-21.75))-0.19*0.5)*BD16</f>
        <v>7.2975440797429423E-6</v>
      </c>
      <c r="CI16">
        <f>0.962*(0.93*0.943*(0.9442 - 0.0007*$B16 - dis_BMI*($C16-21.75)))*BE16</f>
        <v>2.5266079655290297E-5</v>
      </c>
      <c r="CJ16">
        <f t="shared" si="18"/>
        <v>0</v>
      </c>
      <c r="CK16">
        <f t="shared" si="19"/>
        <v>0.76865064215733347</v>
      </c>
      <c r="CL16">
        <f>CK16/(1+r_)^A16</f>
        <v>0.52341368476365291</v>
      </c>
      <c r="CM16">
        <f>AD16*c_SEM</f>
        <v>8298.3120656758674</v>
      </c>
      <c r="CN16">
        <f>AE16*(c_Other+c_SEM)</f>
        <v>1038.7847933742521</v>
      </c>
      <c r="CO16">
        <f>AF16*(c_Stroke1+c_Stroke2+c_SEM)</f>
        <v>109.64232510949485</v>
      </c>
      <c r="CP16">
        <f>AG16*(c_Stroke2 + c_SEM)</f>
        <v>217.27175658987665</v>
      </c>
      <c r="CQ16">
        <f>AH16*(c_MI1+c_MI2 + c_SEM)</f>
        <v>74.310225042928352</v>
      </c>
      <c r="CR16">
        <f>AI16*(c_MI2+c_SEM)</f>
        <v>139.59858833644674</v>
      </c>
      <c r="CS16">
        <f>AJ16*(c_Stroke1+c_Stroke2+c_MI2+c_SEM)</f>
        <v>1.6513971898953796</v>
      </c>
      <c r="CT16">
        <f>AK16*(c_Stroke2+c_MI1+c_MI2+c_SEM)</f>
        <v>1.607393550001722</v>
      </c>
      <c r="CU16">
        <f>AL16*(c_Stroke2+c_MI2+c_SEM)</f>
        <v>2.89328470524715</v>
      </c>
      <c r="CV16">
        <f>AM16*(c_HF1+c_SEM)</f>
        <v>27.323964804236919</v>
      </c>
      <c r="CW16">
        <f>AN16*(c_HF2+c_SEM)</f>
        <v>94.434106190031798</v>
      </c>
      <c r="CX16">
        <f>AO16*(c_Stroke2+c_HF1+c_SEM)</f>
        <v>0.58036172312138501</v>
      </c>
      <c r="CY16">
        <f>AP16*(c_Stroke1+c_Stroke2+c_HF2+c_SEM)</f>
        <v>0.72818610070805934</v>
      </c>
      <c r="CZ16">
        <f>AQ16*(c_Stroke2+c_HF2+c_SEM)</f>
        <v>1.6439590229300269</v>
      </c>
      <c r="DA16">
        <f>AR16*(c_DM+c_SEM)</f>
        <v>4834.9152840315355</v>
      </c>
      <c r="DB16">
        <f>AS16*(c_Other+c_DM+c_SEM)</f>
        <v>722.55610158703826</v>
      </c>
      <c r="DC16">
        <f>AT16*(c_Stroke1+c_Stroke2+c_DM+c_SEM)</f>
        <v>78.655417218819551</v>
      </c>
      <c r="DD16">
        <f>AU16*(c_Stroke2+c_DM+c_SEM)</f>
        <v>168.59781120704397</v>
      </c>
      <c r="DE16">
        <f>AV16*(c_MI1+c_MI2+c_DM+c_SEM)</f>
        <v>53.428452411442478</v>
      </c>
      <c r="DF16">
        <f>AW16*(c_MI2+c_DM+c_SEM)</f>
        <v>117.21146366310744</v>
      </c>
      <c r="DG16">
        <f>AX16*(c_Stroke1+c_Stroke2+c_MI2+c_DM+c_SEM)</f>
        <v>1.8112867882938894</v>
      </c>
      <c r="DH16">
        <f>AY16*(c_Stroke2+c_MI1+c_MI2+c_DM+c_SEM)</f>
        <v>1.7311424139798119</v>
      </c>
      <c r="DI16">
        <f>AZ16*(c_Stroke2+c_MI2+c_DM+c_SEM)</f>
        <v>3.3493322994316141</v>
      </c>
      <c r="DJ16">
        <f>BA16*(c_HF1+c_DM+c_SEM)</f>
        <v>18.848298246064008</v>
      </c>
      <c r="DK16">
        <f>BB16*(c_HF2+c_DM+c_SEM)</f>
        <v>63.516987205724355</v>
      </c>
      <c r="DL16">
        <f>BC16*(c_Stroke2+c_HF1+c_DM+c_SEM)</f>
        <v>0.60192898918112026</v>
      </c>
      <c r="DM16">
        <f>BD16*(c_Stroke1+c_Stroke2+c_HF2+c_DM+c_SEM)</f>
        <v>0.7348182331215517</v>
      </c>
      <c r="DN16">
        <f>BE16*(c_Stroke2+c_HF2+c_DM+c_SEM)</f>
        <v>1.6283013768756944</v>
      </c>
      <c r="DO16">
        <f t="shared" si="20"/>
        <v>0</v>
      </c>
      <c r="DP16">
        <f t="shared" si="39"/>
        <v>16076.369033086698</v>
      </c>
      <c r="DQ16">
        <f>DP16/(1+r_)^A16</f>
        <v>10947.225035305217</v>
      </c>
    </row>
    <row r="17" spans="1:121" x14ac:dyDescent="0.3">
      <c r="A17">
        <v>14</v>
      </c>
      <c r="B17">
        <v>59</v>
      </c>
      <c r="C17">
        <f t="shared" si="40"/>
        <v>32.793999999999997</v>
      </c>
      <c r="D17">
        <f t="shared" si="1"/>
        <v>125</v>
      </c>
      <c r="E17">
        <f t="shared" si="41"/>
        <v>5.4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1"/>
        <v>1.9177515277734612E-2</v>
      </c>
      <c r="J17">
        <f t="shared" si="22"/>
        <v>0.15167412077658649</v>
      </c>
      <c r="K17">
        <f t="shared" si="23"/>
        <v>0.20575827478501807</v>
      </c>
      <c r="L17">
        <f t="shared" si="24"/>
        <v>7.4914929312311362E-2</v>
      </c>
      <c r="M17">
        <f t="shared" si="25"/>
        <v>0.10331950433789272</v>
      </c>
      <c r="N17">
        <f t="shared" si="26"/>
        <v>0.32237611124277998</v>
      </c>
      <c r="O17">
        <f t="shared" si="27"/>
        <v>0.4229825902965566</v>
      </c>
      <c r="P17">
        <f t="shared" si="28"/>
        <v>0.17421874188820519</v>
      </c>
      <c r="Q17">
        <f t="shared" si="29"/>
        <v>0.23698830089985468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1.2164318793716381E-2</v>
      </c>
      <c r="U17">
        <f t="shared" si="30"/>
        <v>0.3009142562013315</v>
      </c>
      <c r="V17">
        <f t="shared" si="31"/>
        <v>0.39428792947617097</v>
      </c>
      <c r="W17">
        <f t="shared" si="32"/>
        <v>0.15588640940256104</v>
      </c>
      <c r="X17">
        <f t="shared" si="33"/>
        <v>0.21127594935127614</v>
      </c>
      <c r="Y17">
        <f t="shared" si="34"/>
        <v>0.48429485298678787</v>
      </c>
      <c r="Z17">
        <f t="shared" si="35"/>
        <v>0.60769263868767409</v>
      </c>
      <c r="AA17">
        <f t="shared" si="36"/>
        <v>0.27800675590160118</v>
      </c>
      <c r="AB17">
        <f t="shared" si="37"/>
        <v>0.36888444369354256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2.253888990589982E-2</v>
      </c>
      <c r="AD17">
        <f t="shared" si="38"/>
        <v>0.58670679437048767</v>
      </c>
      <c r="AE17">
        <f t="shared" si="6"/>
        <v>3.9689612114436147E-2</v>
      </c>
      <c r="AF17">
        <f t="shared" si="7"/>
        <v>3.0480300610630194E-3</v>
      </c>
      <c r="AG17">
        <f t="shared" si="8"/>
        <v>1.1531972503605572E-2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1.7792250207412318E-3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8.7154704238404206E-3</v>
      </c>
      <c r="AJ17">
        <f t="shared" si="11"/>
        <v>4.5765713554589113E-5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3.6891576565739708E-5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1.4394034838578106E-4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6.9472595803159371E-4</v>
      </c>
      <c r="AN17">
        <f t="shared" si="15"/>
        <v>3.7717704054316603E-3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1.4066873454725743E-5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1.7229498532013086E-5</v>
      </c>
      <c r="AQ17">
        <f>AO16*(1-p_recur_Stroke-H16*rr_Stroke*rr_HF)*(1-I16) + AP16*(1-p_recur_Stroke-H16*rr_Stroke*rr_HF)*(1-I16) + AQ16*(1-p_recur_Stroke-H16*rr_Stroke*rr_HF)*(1-I16)</f>
        <v>5.9489610789821551E-5</v>
      </c>
      <c r="AR17">
        <f>AR16*(1-AC16-H16*rr_DM) + AD16*(1-T16-H16)*I16</f>
        <v>0.19886688110978409</v>
      </c>
      <c r="AS17">
        <f>AR16*AC16*p_Other + AD16*T16*p_Other*I16 + AE16*(1-T16*p_Stroke-T16*p_MI-H16*rr_Other)*I16 + AS16*(1-AC16*p_Stroke-AC16*p_MI-H16*rr_Other*rr_DM)</f>
        <v>2.1000153554415753E-2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1.7954426873491997E-3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6.144421718395683E-3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1.0829609651003195E-3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4.6890643739736677E-3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4.2129300020672073E-5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3.4676345840479584E-5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1.2068713059949004E-4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4.0191081744678919E-4</v>
      </c>
      <c r="BB17">
        <f>AM16*(1-T16*p_Stroke - H16*rr_HF)*I16 + AN16*(1-T16*p_Stroke - H16*rr_HF)*I16 + BA16*(1-AC16*p_Stroke - H16*rr_HF*rr_DM) + BB16*(1-AC16*p_Stroke - H16*rr_HF*rr_DM)</f>
        <v>1.9616706192152511E-3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1.2644871783894555E-5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1.5353823794888354E-5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4.8154599122271021E-5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6.5528863604237625E-2</v>
      </c>
      <c r="BG17">
        <f t="shared" si="17"/>
        <v>0.95800000000000018</v>
      </c>
      <c r="BH17">
        <f>(0.9442 - 0.0007*$B17 - dis_BMI*($C17-21.75))*AD17</f>
        <v>0.50835491817492207</v>
      </c>
      <c r="BI17">
        <f>0.959*(0.9442 - 0.0007*$B17 - dis_BMI*($C17-21.75))*AE17</f>
        <v>3.297929547469701E-2</v>
      </c>
      <c r="BJ17">
        <f>(0.943*(0.9442 - 0.0007*$B17 - dis_BMI*($C17-21.75)) - 0.19*0.5)*AF17</f>
        <v>2.200881545365076E-3</v>
      </c>
      <c r="BK17">
        <f>(0.943*(0.9442 - 0.0007*$B17 - dis_BMI*($C17-21.75)))*AG17</f>
        <v>9.4223927522516931E-3</v>
      </c>
      <c r="BL17">
        <f>(0.955*(0.9442 - 0.0007*$B17 - dis_BMI*($C17-21.75)) - 0.15*0.5)*AH17</f>
        <v>1.3388033702681874E-3</v>
      </c>
      <c r="BM17">
        <f>(0.955*(0.9442 - 0.0007*$B17 - dis_BMI*($C17-21.75)))*AI17</f>
        <v>7.211740929759812E-3</v>
      </c>
      <c r="BN17">
        <f>(0.955*0.943*(0.9442 - 0.0007*$B17 - dis_BMI*($C17-21.75)) - 0.19*0.5)*AJ17</f>
        <v>3.1363191644667364E-5</v>
      </c>
      <c r="BO17">
        <f>(0.955*0.943*(0.9442 - 0.0007*$B17 - dis_BMI*($C17-21.75)) - 0.15*0.5)*AK17</f>
        <v>2.6019587152258091E-5</v>
      </c>
      <c r="BP17">
        <f>(0.955*0.943*(0.9442 - 0.0007*$B17 - dis_BMI*($C17-21.75)))*AL17</f>
        <v>1.1231649075554051E-4</v>
      </c>
      <c r="BQ17">
        <f>(0.93*(0.9442 - 0.0007*$B17 - dis_BMI*($C17-21.75)))*AM17</f>
        <v>5.5981223614959784E-4</v>
      </c>
      <c r="BR17">
        <f>(0.93*(0.9442 - 0.0007*$B17 - dis_BMI*($C17-21.75)))*AN17</f>
        <v>3.0393037722243137E-3</v>
      </c>
      <c r="BS17">
        <f>(0.93*0.943*(0.9442 - 0.0007*$B17 - dis_BMI*($C17-21.75)))*AO17</f>
        <v>1.0689026009561162E-5</v>
      </c>
      <c r="BT17">
        <f>(0.93*0.943*(0.9442 - 0.0007*$B17 - dis_BMI*($C17-21.75))-0.19*0.5)*AP17</f>
        <v>1.1455414508624754E-5</v>
      </c>
      <c r="BU17">
        <f>(0.93*0.943*(0.9442 - 0.0007*$B17 - dis_BMI*($C17-21.75)))*AQ17</f>
        <v>4.5204501133650849E-5</v>
      </c>
      <c r="BV17">
        <f>0.962*(0.9442 - 0.0007*$B17 - dis_BMI*($C17-21.75))*AR17</f>
        <v>0.1657614154780549</v>
      </c>
      <c r="BW17">
        <f>0.962*0.959*(0.9442 - 0.0007*$B17 - dis_BMI*($C17-21.75))*AS17</f>
        <v>1.6786573699406827E-2</v>
      </c>
      <c r="BX17">
        <f>0.962*(0.943*(0.9442 - 0.0007*$B17 - dis_BMI*($C17-21.75)) - 0.19*0.5)*AT17</f>
        <v>1.2471653646750991E-3</v>
      </c>
      <c r="BY17">
        <f>0.962*(0.943*(0.9442 - 0.0007*$B17 - dis_BMI*($C17-21.75)))*AU17</f>
        <v>4.8296281292259944E-3</v>
      </c>
      <c r="BZ17">
        <f>0.962*(0.955*(0.9442 - 0.0007*$B17 - dis_BMI*($C17-21.75)) - 0.15*0.5)*AV17</f>
        <v>7.8392370030082542E-4</v>
      </c>
      <c r="CA17">
        <f>0.962*(0.955*(0.9442 - 0.0007*$B17 - dis_BMI*($C17-21.75)))*AW17</f>
        <v>3.7325922551801048E-3</v>
      </c>
      <c r="CB17">
        <f>0.962*(0.955*0.943*(0.9442 - 0.0007*$B17 - dis_BMI*($C17-21.75)) - 0.19*0.5)*AX17</f>
        <v>2.7774057430406126E-5</v>
      </c>
      <c r="CC17">
        <f>0.962*(0.955*0.943*(0.9442 - 0.0007*$B17 - dis_BMI*($C17-21.75)) - 0.15*0.5)*AY17</f>
        <v>2.3527814309269151E-5</v>
      </c>
      <c r="CD17">
        <f>0.962*(0.955*0.943*(0.9442 - 0.0007*$B17 - dis_BMI*($C17-21.75)))*AZ17</f>
        <v>9.0593494075657264E-5</v>
      </c>
      <c r="CE17">
        <f>0.962*(0.93*(0.9442 - 0.0007*$B17 - dis_BMI*($C17-21.75)))*BA17</f>
        <v>3.1155421269971881E-4</v>
      </c>
      <c r="CF17">
        <f>0.962*(0.93*(0.9442 - 0.0007*$B17 - dis_BMI*($C17-21.75)))*BB17</f>
        <v>1.5206526393798608E-3</v>
      </c>
      <c r="CG17">
        <f>0.962*(0.93*0.943*(0.9442 - 0.0007*$B17 - dis_BMI*($C17-21.75)))*BC17</f>
        <v>9.2433639923930514E-6</v>
      </c>
      <c r="CH17">
        <f>0.962*(0.93*0.943*(0.9442 - 0.0007*$B17 - dis_BMI*($C17-21.75))-0.19*0.5)*BD17</f>
        <v>9.8204139688489861E-6</v>
      </c>
      <c r="CI17">
        <f>0.962*(0.93*0.943*(0.9442 - 0.0007*$B17 - dis_BMI*($C17-21.75)))*BE17</f>
        <v>3.5200869981287404E-5</v>
      </c>
      <c r="CJ17">
        <f t="shared" si="18"/>
        <v>0</v>
      </c>
      <c r="CK17">
        <f t="shared" si="19"/>
        <v>0.76051386195952309</v>
      </c>
      <c r="CL17">
        <f>CK17/(1+r_)^A17</f>
        <v>0.50278925571332422</v>
      </c>
      <c r="CM17">
        <f>AD17*c_SEM</f>
        <v>7989.7731257373007</v>
      </c>
      <c r="CN17">
        <f>AE17*(c_Other+c_SEM)</f>
        <v>1107.2211091564252</v>
      </c>
      <c r="CO17">
        <f>AF17*(c_Stroke1+c_Stroke2+c_SEM)</f>
        <v>114.09995730583307</v>
      </c>
      <c r="CP17">
        <f>AG17*(c_Stroke2 + c_SEM)</f>
        <v>232.0002228275369</v>
      </c>
      <c r="CQ17">
        <f>AH17*(c_MI1+c_MI2 + c_SEM)</f>
        <v>76.095674912081748</v>
      </c>
      <c r="CR17">
        <f>AI17*(c_MI2+c_SEM)</f>
        <v>145.85339754296945</v>
      </c>
      <c r="CS17">
        <f>AJ17*(c_Stroke1+c_Stroke2+c_MI2+c_SEM)</f>
        <v>1.8558454503521431</v>
      </c>
      <c r="CT17">
        <f>AK17*(c_Stroke2+c_MI1+c_MI2+c_SEM)</f>
        <v>1.8176110858174297</v>
      </c>
      <c r="CU17">
        <f>AL17*(c_Stroke2+c_MI2+c_SEM)</f>
        <v>3.3444539947436231</v>
      </c>
      <c r="CV17">
        <f>AM17*(c_HF1+c_SEM)</f>
        <v>28.23922074206822</v>
      </c>
      <c r="CW17">
        <f>AN17*(c_HF2+c_SEM)</f>
        <v>110.2224465579294</v>
      </c>
      <c r="CX17">
        <f>AO17*(c_Stroke2+c_HF1+c_SEM)</f>
        <v>0.66322494964340939</v>
      </c>
      <c r="CY17">
        <f>AP17*(c_Stroke1+c_Stroke2+c_HF2+c_SEM)</f>
        <v>0.91383537263944203</v>
      </c>
      <c r="CZ17">
        <f>AQ17*(c_Stroke2+c_HF2+c_SEM)</f>
        <v>2.1251473662447955</v>
      </c>
      <c r="DA17">
        <f>AR17*(c_DM+c_SEM)</f>
        <v>4980.2233036323232</v>
      </c>
      <c r="DB17">
        <f>AS17*(c_Other+c_DM+c_SEM)</f>
        <v>825.76803806673627</v>
      </c>
      <c r="DC17">
        <f>AT17*(c_Stroke1+c_Stroke2+c_DM+c_SEM)</f>
        <v>87.723534261194544</v>
      </c>
      <c r="DD17">
        <f>AU17*(c_Stroke2+c_DM+c_SEM)</f>
        <v>193.81349426335504</v>
      </c>
      <c r="DE17">
        <f>AV17*(c_MI1+c_MI2+c_DM+c_SEM)</f>
        <v>58.689986542646714</v>
      </c>
      <c r="DF17">
        <f>AW17*(c_MI2+c_DM+c_SEM)</f>
        <v>132.04405277109848</v>
      </c>
      <c r="DG17">
        <f>AX17*(c_Stroke1+c_Stroke2+c_MI2+c_DM+c_SEM)</f>
        <v>2.1897124978744515</v>
      </c>
      <c r="DH17">
        <f>AY17*(c_Stroke2+c_MI1+c_MI2+c_DM+c_SEM)</f>
        <v>2.1046461344420679</v>
      </c>
      <c r="DI17">
        <f>AZ17*(c_Stroke2+c_MI2+c_DM+c_SEM)</f>
        <v>4.1830159465783243</v>
      </c>
      <c r="DJ17">
        <f>BA17*(c_HF1+c_DM+c_SEM)</f>
        <v>20.928701996906653</v>
      </c>
      <c r="DK17">
        <f>BB17*(c_HF2+c_DM+c_SEM)</f>
        <v>79.737987329861525</v>
      </c>
      <c r="DL17">
        <f>BC17*(c_Stroke2+c_HF1+c_DM+c_SEM)</f>
        <v>0.74064807499805574</v>
      </c>
      <c r="DM17">
        <f>BD17*(c_Stroke1+c_Stroke2+c_HF2+c_DM+c_SEM)</f>
        <v>0.98976889711368288</v>
      </c>
      <c r="DN17">
        <f>BE17*(c_Stroke2+c_HF2+c_DM+c_SEM)</f>
        <v>2.2703930394168341</v>
      </c>
      <c r="DO17">
        <f t="shared" si="20"/>
        <v>0</v>
      </c>
      <c r="DP17">
        <f t="shared" si="39"/>
        <v>16205.632556456132</v>
      </c>
      <c r="DQ17">
        <f>DP17/(1+r_)^A17</f>
        <v>10713.832237627059</v>
      </c>
    </row>
    <row r="18" spans="1:121" x14ac:dyDescent="0.3">
      <c r="A18">
        <v>15</v>
      </c>
      <c r="B18">
        <v>60</v>
      </c>
      <c r="C18">
        <f t="shared" si="40"/>
        <v>32.793999999999997</v>
      </c>
      <c r="D18">
        <f t="shared" si="1"/>
        <v>125</v>
      </c>
      <c r="E18">
        <f t="shared" si="41"/>
        <v>5.4</v>
      </c>
      <c r="F18">
        <v>6.8700000000000002E-3</v>
      </c>
      <c r="G18">
        <v>1.142E-2</v>
      </c>
      <c r="H18">
        <f t="shared" si="3"/>
        <v>7.7800000000000005E-3</v>
      </c>
      <c r="I18">
        <f t="shared" si="21"/>
        <v>1.9177515277734612E-2</v>
      </c>
      <c r="J18">
        <f t="shared" si="22"/>
        <v>0.15817893110916414</v>
      </c>
      <c r="K18">
        <f t="shared" si="23"/>
        <v>0.21427429508061069</v>
      </c>
      <c r="L18">
        <f t="shared" si="24"/>
        <v>7.8279736245352116E-2</v>
      </c>
      <c r="M18">
        <f t="shared" si="25"/>
        <v>0.10788386526002969</v>
      </c>
      <c r="N18">
        <f t="shared" si="26"/>
        <v>0.33639366116897285</v>
      </c>
      <c r="O18">
        <f t="shared" si="27"/>
        <v>0.43977621185818594</v>
      </c>
      <c r="P18">
        <f t="shared" si="28"/>
        <v>0.18266602119159703</v>
      </c>
      <c r="Q18">
        <f t="shared" si="29"/>
        <v>0.24799359361149265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1.2705111915337266E-2</v>
      </c>
      <c r="U18">
        <f t="shared" si="30"/>
        <v>0.3125276896766912</v>
      </c>
      <c r="V18">
        <f t="shared" si="31"/>
        <v>0.40833303184340475</v>
      </c>
      <c r="W18">
        <f t="shared" si="32"/>
        <v>0.16255401512644829</v>
      </c>
      <c r="X18">
        <f t="shared" si="33"/>
        <v>0.21998730962034818</v>
      </c>
      <c r="Y18">
        <f t="shared" si="34"/>
        <v>0.50231614559387439</v>
      </c>
      <c r="Z18">
        <f t="shared" si="35"/>
        <v>0.62692278520180911</v>
      </c>
      <c r="AA18">
        <f t="shared" si="36"/>
        <v>0.29052931053332176</v>
      </c>
      <c r="AB18">
        <f t="shared" si="37"/>
        <v>0.38429590709778794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2.3454986351392992E-2</v>
      </c>
      <c r="AD18">
        <f t="shared" si="38"/>
        <v>0.56429120121874687</v>
      </c>
      <c r="AE18">
        <f t="shared" si="6"/>
        <v>4.2030179050480447E-2</v>
      </c>
      <c r="AF18">
        <f t="shared" si="7"/>
        <v>3.1601686077988482E-3</v>
      </c>
      <c r="AG18">
        <f t="shared" si="8"/>
        <v>1.2222191964019203E-2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1.8177107963033244E-3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9.0651109403600515E-3</v>
      </c>
      <c r="AJ18">
        <f t="shared" si="11"/>
        <v>5.1031614234807676E-5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4.1338802028607017E-5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1.6426984948821283E-4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7.1575789727556128E-4</v>
      </c>
      <c r="AN18">
        <f t="shared" si="15"/>
        <v>4.3108898153415712E-3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1.5910781215620421E-5</v>
      </c>
      <c r="AP18">
        <f>AM17*T17*p_Stroke*p_Stroke_rec*(1-I17) + AN17*T17*p_Stroke*p_Stroke_rec*(1-I17) + AO17*(p_recur_Stroke*p_Stroke_rec)*(1-I17) + AP17*(p_recur_Stroke*p_Stroke_rec)*(1-I17) + AQ17*(p_recur_Stroke*p_Stroke_rec)*(1-I17)</f>
        <v>2.110671089062831E-5</v>
      </c>
      <c r="AQ18">
        <f>AO17*(1-p_recur_Stroke-H17*rr_Stroke*rr_HF)*(1-I17) + AP17*(1-p_recur_Stroke-H17*rr_Stroke*rr_HF)*(1-I17) + AQ17*(1-p_recur_Stroke-H17*rr_Stroke*rr_HF)*(1-I17)</f>
        <v>7.4689055860319343E-5</v>
      </c>
      <c r="AR18">
        <f>AR17*(1-AC17-H17*rr_DM) + AD17*(1-T17-H17)*I17</f>
        <v>0.20376308580856797</v>
      </c>
      <c r="AS18">
        <f>AR17*AC17*p_Other + AD17*T17*p_Other*I17 + AE17*(1-T17*p_Stroke-T17*p_MI-H17*rr_Other)*I17 + AS17*(1-AC17*p_Stroke-AC17*p_MI-H17*rr_Other*rr_DM)</f>
        <v>2.3742158881226483E-2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1.9869464351538707E-3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6.9798830557017133E-3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1.1818815209844492E-3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5.2368195423846192E-3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5.0329108544297857E-5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4.1592455962531645E-5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1.4812168455703795E-4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4.4308249930725659E-4</v>
      </c>
      <c r="BB18">
        <f>AM17*(1-T17*p_Stroke - H17*rr_HF)*I17 + AN17*(1-T17*p_Stroke - H17*rr_HF)*I17 + BA17*(1-AC17*p_Stroke - H17*rr_HF*rr_DM) + BB17*(1-AC17*p_Stroke - H17*rr_HF*rr_DM)</f>
        <v>2.3998210445317939E-3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1.5333308879465998E-5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2.0092473725351623E-5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6.4865308891923822E-5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7.3944429767537206E-2</v>
      </c>
      <c r="BG18">
        <f t="shared" si="17"/>
        <v>0.95800000000000007</v>
      </c>
      <c r="BH18">
        <f>(0.9442 - 0.0007*$B18 - dis_BMI*($C18-21.75))*AD18</f>
        <v>0.48853781605289598</v>
      </c>
      <c r="BI18">
        <f>0.959*(0.9442 - 0.0007*$B18 - dis_BMI*($C18-21.75))*AE18</f>
        <v>3.4895928258242559E-2</v>
      </c>
      <c r="BJ18">
        <f>(0.943*(0.9442 - 0.0007*$B18 - dis_BMI*($C18-21.75)) - 0.19*0.5)*AF18</f>
        <v>2.2797670482326434E-3</v>
      </c>
      <c r="BK18">
        <f>(0.943*(0.9442 - 0.0007*$B18 - dis_BMI*($C18-21.75)))*AG18</f>
        <v>9.9782803418869033E-3</v>
      </c>
      <c r="BL18">
        <f>(0.955*(0.9442 - 0.0007*$B18 - dis_BMI*($C18-21.75)) - 0.15*0.5)*AH18</f>
        <v>1.366547404077662E-3</v>
      </c>
      <c r="BM18">
        <f>(0.955*(0.9442 - 0.0007*$B18 - dis_BMI*($C18-21.75)))*AI18</f>
        <v>7.4949959602375127E-3</v>
      </c>
      <c r="BN18">
        <f>(0.955*0.943*(0.9442 - 0.0007*$B18 - dis_BMI*($C18-21.75)) - 0.19*0.5)*AJ18</f>
        <v>3.4939737314384215E-5</v>
      </c>
      <c r="BO18">
        <f>(0.955*0.943*(0.9442 - 0.0007*$B18 - dis_BMI*($C18-21.75)) - 0.15*0.5)*AK18</f>
        <v>2.9130150437568734E-5</v>
      </c>
      <c r="BP18">
        <f>(0.955*0.943*(0.9442 - 0.0007*$B18 - dis_BMI*($C18-21.75)))*AL18</f>
        <v>1.2807602245776771E-4</v>
      </c>
      <c r="BQ18">
        <f>(0.93*(0.9442 - 0.0007*$B18 - dis_BMI*($C18-21.75)))*AM18</f>
        <v>5.7629387673992845E-4</v>
      </c>
      <c r="BR18">
        <f>(0.93*(0.9442 - 0.0007*$B18 - dis_BMI*($C18-21.75)))*AN18</f>
        <v>3.4709214014098638E-3</v>
      </c>
      <c r="BS18">
        <f>(0.93*0.943*(0.9442 - 0.0007*$B18 - dis_BMI*($C18-21.75)))*AO18</f>
        <v>1.2080392730092819E-5</v>
      </c>
      <c r="BT18">
        <f>(0.93*0.943*(0.9442 - 0.0007*$B18 - dis_BMI*($C18-21.75))-0.19*0.5)*AP18</f>
        <v>1.402030793811122E-5</v>
      </c>
      <c r="BU18">
        <f>(0.93*0.943*(0.9442 - 0.0007*$B18 - dis_BMI*($C18-21.75)))*AQ18</f>
        <v>5.6708285734373052E-5</v>
      </c>
      <c r="BV18">
        <f>0.962*(0.9442 - 0.0007*$B18 - dis_BMI*($C18-21.75))*AR18</f>
        <v>0.16970533255671957</v>
      </c>
      <c r="BW18">
        <f>0.962*0.959*(0.9442 - 0.0007*$B18 - dis_BMI*($C18-21.75))*AS18</f>
        <v>1.8963076376220959E-2</v>
      </c>
      <c r="BX18">
        <f>0.962*(0.943*(0.9442 - 0.0007*$B18 - dis_BMI*($C18-21.75)) - 0.19*0.5)*AT18</f>
        <v>1.3789275510026002E-3</v>
      </c>
      <c r="BY18">
        <f>0.962*(0.943*(0.9442 - 0.0007*$B18 - dis_BMI*($C18-21.75)))*AU18</f>
        <v>5.4818837197985497E-3</v>
      </c>
      <c r="BZ18">
        <f>0.962*(0.955*(0.9442 - 0.0007*$B18 - dis_BMI*($C18-21.75)) - 0.15*0.5)*AV18</f>
        <v>8.5476932681490024E-4</v>
      </c>
      <c r="CA18">
        <f>0.962*(0.955*(0.9442 - 0.0007*$B18 - dis_BMI*($C18-21.75)))*AW18</f>
        <v>4.1652489189733608E-3</v>
      </c>
      <c r="CB18">
        <f>0.962*(0.955*0.943*(0.9442 - 0.0007*$B18 - dis_BMI*($C18-21.75)) - 0.19*0.5)*AX18</f>
        <v>3.314932117202086E-5</v>
      </c>
      <c r="CC18">
        <f>0.962*(0.955*0.943*(0.9442 - 0.0007*$B18 - dis_BMI*($C18-21.75)) - 0.15*0.5)*AY18</f>
        <v>2.819515445750395E-5</v>
      </c>
      <c r="CD18">
        <f>0.962*(0.955*0.943*(0.9442 - 0.0007*$B18 - dis_BMI*($C18-21.75)))*AZ18</f>
        <v>1.1109734670818175E-4</v>
      </c>
      <c r="CE18">
        <f>0.962*(0.93*(0.9442 - 0.0007*$B18 - dis_BMI*($C18-21.75)))*BA18</f>
        <v>3.4319229223907818E-4</v>
      </c>
      <c r="CF18">
        <f>0.962*(0.93*(0.9442 - 0.0007*$B18 - dis_BMI*($C18-21.75)))*BB18</f>
        <v>1.8587962434176799E-3</v>
      </c>
      <c r="CG18">
        <f>0.962*(0.93*0.943*(0.9442 - 0.0007*$B18 - dis_BMI*($C18-21.75)))*BC18</f>
        <v>1.1199548266205045E-5</v>
      </c>
      <c r="CH18">
        <f>0.962*(0.93*0.943*(0.9442 - 0.0007*$B18 - dis_BMI*($C18-21.75))-0.19*0.5)*BD18</f>
        <v>1.2839421966555088E-5</v>
      </c>
      <c r="CI18">
        <f>0.962*(0.93*0.943*(0.9442 - 0.0007*$B18 - dis_BMI*($C18-21.75)))*BE18</f>
        <v>4.7378042368288883E-5</v>
      </c>
      <c r="CJ18">
        <f t="shared" si="18"/>
        <v>0</v>
      </c>
      <c r="CK18">
        <f t="shared" si="19"/>
        <v>0.75187059106046084</v>
      </c>
      <c r="CL18">
        <f>CK18/(1+r_)^A18</f>
        <v>0.48259712176838854</v>
      </c>
      <c r="CM18">
        <f>AD18*c_SEM</f>
        <v>7684.5175781968946</v>
      </c>
      <c r="CN18">
        <f>AE18*(c_Other+c_SEM)</f>
        <v>1172.5159049712531</v>
      </c>
      <c r="CO18">
        <f>AF18*(c_Stroke1+c_Stroke2+c_SEM)</f>
        <v>118.29775166434209</v>
      </c>
      <c r="CP18">
        <f>AG18*(c_Stroke2 + c_SEM)</f>
        <v>245.88605793213833</v>
      </c>
      <c r="CQ18">
        <f>AH18*(c_MI1+c_MI2 + c_SEM)</f>
        <v>77.741673047096882</v>
      </c>
      <c r="CR18">
        <f>AI18*(c_MI2+c_SEM)</f>
        <v>151.70463158692547</v>
      </c>
      <c r="CS18">
        <f>AJ18*(c_Stroke1+c_Stroke2+c_MI2+c_SEM)</f>
        <v>2.0693829888356863</v>
      </c>
      <c r="CT18">
        <f>AK18*(c_Stroke2+c_MI1+c_MI2+c_SEM)</f>
        <v>2.0367214371474391</v>
      </c>
      <c r="CU18">
        <f>AL18*(c_Stroke2+c_MI2+c_SEM)</f>
        <v>3.816809952858625</v>
      </c>
      <c r="CV18">
        <f>AM18*(c_HF1+c_SEM)</f>
        <v>29.094127008457015</v>
      </c>
      <c r="CW18">
        <f>AN18*(c_HF2+c_SEM)</f>
        <v>125.97713307372673</v>
      </c>
      <c r="CX18">
        <f>AO18*(c_Stroke2+c_HF1+c_SEM)</f>
        <v>0.75016151275407161</v>
      </c>
      <c r="CY18">
        <f>AP18*(c_Stroke1+c_Stroke2+c_HF2+c_SEM)</f>
        <v>1.119478838928035</v>
      </c>
      <c r="CZ18">
        <f>AQ18*(c_Stroke2+c_HF2+c_SEM)</f>
        <v>2.668117142498188</v>
      </c>
      <c r="DA18">
        <f>AR18*(c_DM+c_SEM)</f>
        <v>5102.8389579039676</v>
      </c>
      <c r="DB18">
        <f>AS18*(c_Other+c_DM+c_SEM)</f>
        <v>933.58917152758784</v>
      </c>
      <c r="DC18">
        <f>AT18*(c_Stroke1+c_Stroke2+c_DM+c_SEM)</f>
        <v>97.080215875182972</v>
      </c>
      <c r="DD18">
        <f>AU18*(c_Stroke2+c_DM+c_SEM)</f>
        <v>220.16645122599914</v>
      </c>
      <c r="DE18">
        <f>AV18*(c_MI1+c_MI2+c_DM+c_SEM)</f>
        <v>64.05088714823124</v>
      </c>
      <c r="DF18">
        <f>AW18*(c_MI2+c_DM+c_SEM)</f>
        <v>147.46883831355089</v>
      </c>
      <c r="DG18">
        <f>AX18*(c_Stroke1+c_Stroke2+c_MI2+c_DM+c_SEM)</f>
        <v>2.6159057456984254</v>
      </c>
      <c r="DH18">
        <f>AY18*(c_Stroke2+c_MI1+c_MI2+c_DM+c_SEM)</f>
        <v>2.5244125221898956</v>
      </c>
      <c r="DI18">
        <f>AZ18*(c_Stroke2+c_MI2+c_DM+c_SEM)</f>
        <v>5.1338975867469356</v>
      </c>
      <c r="DJ18">
        <f>BA18*(c_HF1+c_DM+c_SEM)</f>
        <v>23.072634986426774</v>
      </c>
      <c r="DK18">
        <f>BB18*(c_HF2+c_DM+c_SEM)</f>
        <v>97.547925818128363</v>
      </c>
      <c r="DL18">
        <f>BC18*(c_Stroke2+c_HF1+c_DM+c_SEM)</f>
        <v>0.89811790099696187</v>
      </c>
      <c r="DM18">
        <f>BD18*(c_Stroke1+c_Stroke2+c_HF2+c_DM+c_SEM)</f>
        <v>1.2952412262310671</v>
      </c>
      <c r="DN18">
        <f>BE18*(c_Stroke2+c_HF2+c_DM+c_SEM)</f>
        <v>3.0582695836364242</v>
      </c>
      <c r="DO18">
        <f t="shared" si="20"/>
        <v>0</v>
      </c>
      <c r="DP18">
        <f t="shared" si="39"/>
        <v>16319.536456718437</v>
      </c>
      <c r="DQ18">
        <f>DP18/(1+r_)^A18</f>
        <v>10474.889450721026</v>
      </c>
    </row>
    <row r="19" spans="1:121" x14ac:dyDescent="0.3">
      <c r="A19">
        <v>16</v>
      </c>
      <c r="B19">
        <v>61</v>
      </c>
      <c r="C19">
        <f t="shared" si="40"/>
        <v>32.793999999999997</v>
      </c>
      <c r="D19">
        <f t="shared" si="1"/>
        <v>125</v>
      </c>
      <c r="E19">
        <f t="shared" si="41"/>
        <v>5.4</v>
      </c>
      <c r="F19">
        <v>7.45E-3</v>
      </c>
      <c r="G19">
        <v>1.244E-2</v>
      </c>
      <c r="H19">
        <f t="shared" si="3"/>
        <v>8.4479999999999989E-3</v>
      </c>
      <c r="I19">
        <f t="shared" si="21"/>
        <v>1.9177515277734612E-2</v>
      </c>
      <c r="J19">
        <f t="shared" si="22"/>
        <v>0.16482095964543297</v>
      </c>
      <c r="K19">
        <f t="shared" si="23"/>
        <v>0.22294280709546199</v>
      </c>
      <c r="L19">
        <f t="shared" si="24"/>
        <v>8.1729681488661665E-2</v>
      </c>
      <c r="M19">
        <f t="shared" si="25"/>
        <v>0.11255679261972318</v>
      </c>
      <c r="N19">
        <f t="shared" si="26"/>
        <v>0.35060798387562742</v>
      </c>
      <c r="O19">
        <f t="shared" si="27"/>
        <v>0.45665660724875523</v>
      </c>
      <c r="P19">
        <f t="shared" si="28"/>
        <v>0.19132498370824547</v>
      </c>
      <c r="Q19">
        <f t="shared" si="29"/>
        <v>0.25922601796679889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1.3257620553894739E-2</v>
      </c>
      <c r="U19">
        <f t="shared" si="30"/>
        <v>0.32427767831692722</v>
      </c>
      <c r="V19">
        <f t="shared" si="31"/>
        <v>0.42244689636448574</v>
      </c>
      <c r="W19">
        <f t="shared" si="32"/>
        <v>0.16936066448797704</v>
      </c>
      <c r="X19">
        <f t="shared" si="33"/>
        <v>0.22885172525017727</v>
      </c>
      <c r="Y19">
        <f t="shared" si="34"/>
        <v>0.52031965629269883</v>
      </c>
      <c r="Z19">
        <f t="shared" si="35"/>
        <v>0.64584889539272949</v>
      </c>
      <c r="AA19">
        <f t="shared" si="36"/>
        <v>0.30327175777093762</v>
      </c>
      <c r="AB19">
        <f t="shared" si="37"/>
        <v>0.39986308110619129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2.4384039744165052E-2</v>
      </c>
      <c r="AD19">
        <f t="shared" si="38"/>
        <v>0.54213161347626015</v>
      </c>
      <c r="AE19">
        <f t="shared" si="6"/>
        <v>4.4246619079480493E-2</v>
      </c>
      <c r="AF19">
        <f t="shared" si="7"/>
        <v>3.2644204978915649E-3</v>
      </c>
      <c r="AG19">
        <f t="shared" si="8"/>
        <v>1.2867311774292269E-2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1.8526527564562741E-3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9.3898644877325327E-3</v>
      </c>
      <c r="AJ19">
        <f t="shared" si="11"/>
        <v>5.6486039252353444E-5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4.5933839047946162E-5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1.8537177476334119E-4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7.3518411648462495E-4</v>
      </c>
      <c r="AN19">
        <f t="shared" si="15"/>
        <v>4.8460316898532307E-3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1.7826972764998817E-5</v>
      </c>
      <c r="AP19">
        <f>AM18*T18*p_Stroke*p_Stroke_rec*(1-I18) + AN18*T18*p_Stroke*p_Stroke_rec*(1-I18) + AO18*(p_recur_Stroke*p_Stroke_rec)*(1-I18) + AP18*(p_recur_Stroke*p_Stroke_rec)*(1-I18) + AQ18*(p_recur_Stroke*p_Stroke_rec)*(1-I18)</f>
        <v>2.5350388018317041E-5</v>
      </c>
      <c r="AQ19">
        <f>AO18*(1-p_recur_Stroke-H18*rr_Stroke*rr_HF)*(1-I18) + AP18*(1-p_recur_Stroke-H18*rr_Stroke*rr_HF)*(1-I18) + AQ18*(1-p_recur_Stroke-H18*rr_Stroke*rr_HF)*(1-I18)</f>
        <v>9.1560738679761602E-5</v>
      </c>
      <c r="AR19">
        <f>AR18*(1-AC18-H18*rr_DM) + AD18*(1-T18-H18)*I18</f>
        <v>0.20776077641596169</v>
      </c>
      <c r="AS19">
        <f>AR18*AC18*p_Other + AD18*T18*p_Other*I18 + AE18*(1-T18*p_Stroke-T18*p_MI-H18*rr_Other)*I18 + AS18*(1-AC18*p_Stroke-AC18*p_MI-H18*rr_Other*rr_DM)</f>
        <v>2.6581690893991278E-2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2.1828911209017545E-3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7.8450200615185293E-3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1.2819829105913236E-3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5.8023276977972656E-3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5.9461712535936502E-5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4.9273902593495483E-5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1.790129201032194E-4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4.8520434816786936E-4</v>
      </c>
      <c r="BB19">
        <f>AM18*(1-T18*p_Stroke - H18*rr_HF)*I18 + AN18*(1-T18*p_Stroke - H18*rr_HF)*I18 + BA18*(1-AC18*p_Stroke - H18*rr_HF*rr_DM) + BB18*(1-AC18*p_Stroke - H18*rr_HF*rr_DM)</f>
        <v>2.8760265033987587E-3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1.8346481849087645E-5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2.567734336437704E-5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8.4934816113335599E-5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8.3011145240134337E-2</v>
      </c>
      <c r="BG19">
        <f t="shared" si="17"/>
        <v>0.95800000000000007</v>
      </c>
      <c r="BH19">
        <f>(0.9442 - 0.0007*$B19 - dis_BMI*($C19-21.75))*AD19</f>
        <v>0.4689735544693836</v>
      </c>
      <c r="BI19">
        <f>0.959*(0.9442 - 0.0007*$B19 - dis_BMI*($C19-21.75))*AE19</f>
        <v>3.6706444459518664E-2</v>
      </c>
      <c r="BJ19">
        <f>(0.943*(0.9442 - 0.0007*$B19 - dis_BMI*($C19-21.75)) - 0.19*0.5)*AF19</f>
        <v>2.3528202242273791E-3</v>
      </c>
      <c r="BK19">
        <f>(0.943*(0.9442 - 0.0007*$B19 - dis_BMI*($C19-21.75)))*AG19</f>
        <v>1.0496466814081507E-2</v>
      </c>
      <c r="BL19">
        <f>(0.955*(0.9442 - 0.0007*$B19 - dis_BMI*($C19-21.75)) - 0.15*0.5)*AH19</f>
        <v>1.3915781257847527E-3</v>
      </c>
      <c r="BM19">
        <f>(0.955*(0.9442 - 0.0007*$B19 - dis_BMI*($C19-21.75)))*AI19</f>
        <v>7.7572237158717531E-3</v>
      </c>
      <c r="BN19">
        <f>(0.955*0.943*(0.9442 - 0.0007*$B19 - dis_BMI*($C19-21.75)) - 0.19*0.5)*AJ19</f>
        <v>3.8638601608893865E-5</v>
      </c>
      <c r="BO19">
        <f>(0.955*0.943*(0.9442 - 0.0007*$B19 - dis_BMI*($C19-21.75)) - 0.15*0.5)*AK19</f>
        <v>3.2339171664864205E-5</v>
      </c>
      <c r="BP19">
        <f>(0.955*0.943*(0.9442 - 0.0007*$B19 - dis_BMI*($C19-21.75)))*AL19</f>
        <v>1.4441167074929456E-4</v>
      </c>
      <c r="BQ19">
        <f>(0.93*(0.9442 - 0.0007*$B19 - dis_BMI*($C19-21.75)))*AM19</f>
        <v>5.9145633042936917E-4</v>
      </c>
      <c r="BR19">
        <f>(0.93*(0.9442 - 0.0007*$B19 - dis_BMI*($C19-21.75)))*AN19</f>
        <v>3.898637166061474E-3</v>
      </c>
      <c r="BS19">
        <f>(0.93*0.943*(0.9442 - 0.0007*$B19 - dis_BMI*($C19-21.75)))*AO19</f>
        <v>1.3524333218488629E-5</v>
      </c>
      <c r="BT19">
        <f>(0.93*0.943*(0.9442 - 0.0007*$B19 - dis_BMI*($C19-21.75))-0.19*0.5)*AP19</f>
        <v>1.682364327565492E-5</v>
      </c>
      <c r="BU19">
        <f>(0.93*0.943*(0.9442 - 0.0007*$B19 - dis_BMI*($C19-21.75)))*AQ19</f>
        <v>6.9462042488072353E-5</v>
      </c>
      <c r="BV19">
        <f>0.962*(0.9442 - 0.0007*$B19 - dis_BMI*($C19-21.75))*AR19</f>
        <v>0.17289492752852101</v>
      </c>
      <c r="BW19">
        <f>0.962*0.959*(0.9442 - 0.0007*$B19 - dis_BMI*($C19-21.75))*AS19</f>
        <v>2.1213869992135675E-2</v>
      </c>
      <c r="BX19">
        <f>0.962*(0.943*(0.9442 - 0.0007*$B19 - dis_BMI*($C19-21.75)) - 0.19*0.5)*AT19</f>
        <v>1.513525682560356E-3</v>
      </c>
      <c r="BY19">
        <f>0.962*(0.943*(0.9442 - 0.0007*$B19 - dis_BMI*($C19-21.75)))*AU19</f>
        <v>6.1563661778990123E-3</v>
      </c>
      <c r="BZ19">
        <f>0.962*(0.955*(0.9442 - 0.0007*$B19 - dis_BMI*($C19-21.75)) - 0.15*0.5)*AV19</f>
        <v>9.2634097444311246E-4</v>
      </c>
      <c r="CA19">
        <f>0.962*(0.955*(0.9442 - 0.0007*$B19 - dis_BMI*($C19-21.75)))*AW19</f>
        <v>4.6113099745205399E-3</v>
      </c>
      <c r="CB19">
        <f>0.962*(0.955*0.943*(0.9442 - 0.0007*$B19 - dis_BMI*($C19-21.75)) - 0.19*0.5)*AX19</f>
        <v>3.9128460569901013E-5</v>
      </c>
      <c r="CC19">
        <f>0.962*(0.955*0.943*(0.9442 - 0.0007*$B19 - dis_BMI*($C19-21.75)) - 0.15*0.5)*AY19</f>
        <v>3.3372456841135151E-5</v>
      </c>
      <c r="CD19">
        <f>0.962*(0.955*0.943*(0.9442 - 0.0007*$B19 - dis_BMI*($C19-21.75)))*AZ19</f>
        <v>1.3415848137726834E-4</v>
      </c>
      <c r="CE19">
        <f>0.962*(0.93*(0.9442 - 0.0007*$B19 - dis_BMI*($C19-21.75)))*BA19</f>
        <v>3.7551416593619699E-4</v>
      </c>
      <c r="CF19">
        <f>0.962*(0.93*(0.9442 - 0.0007*$B19 - dis_BMI*($C19-21.75)))*BB19</f>
        <v>2.2258429828838446E-3</v>
      </c>
      <c r="CG19">
        <f>0.962*(0.93*0.943*(0.9442 - 0.0007*$B19 - dis_BMI*($C19-21.75)))*BC19</f>
        <v>1.3389554557122137E-5</v>
      </c>
      <c r="CH19">
        <f>0.962*(0.93*0.943*(0.9442 - 0.0007*$B19 - dis_BMI*($C19-21.75))-0.19*0.5)*BD19</f>
        <v>1.6393081599280359E-5</v>
      </c>
      <c r="CI19">
        <f>0.962*(0.93*0.943*(0.9442 - 0.0007*$B19 - dis_BMI*($C19-21.75)))*BE19</f>
        <v>6.1986781089868592E-5</v>
      </c>
      <c r="CJ19">
        <f t="shared" si="18"/>
        <v>0</v>
      </c>
      <c r="CK19">
        <f t="shared" si="19"/>
        <v>0.74269950706329779</v>
      </c>
      <c r="CL19">
        <f>CK19/(1+r_)^A19</f>
        <v>0.46282577857692297</v>
      </c>
      <c r="CM19">
        <f>AD19*c_SEM</f>
        <v>7382.7483123197107</v>
      </c>
      <c r="CN19">
        <f>AE19*(c_Other+c_SEM)</f>
        <v>1234.3479324602672</v>
      </c>
      <c r="CO19">
        <f>AF19*(c_Stroke1+c_Stroke2+c_SEM)</f>
        <v>122.20031691807284</v>
      </c>
      <c r="CP19">
        <f>AG19*(c_Stroke2 + c_SEM)</f>
        <v>258.86457827521184</v>
      </c>
      <c r="CQ19">
        <f>AH19*(c_MI1+c_MI2 + c_SEM)</f>
        <v>79.236105740878386</v>
      </c>
      <c r="CR19">
        <f>AI19*(c_MI2+c_SEM)</f>
        <v>157.13938220220393</v>
      </c>
      <c r="CS19">
        <f>AJ19*(c_Stroke1+c_Stroke2+c_MI2+c_SEM)</f>
        <v>2.2905653777221846</v>
      </c>
      <c r="CT19">
        <f>AK19*(c_Stroke2+c_MI1+c_MI2+c_SEM)</f>
        <v>2.2631143160532594</v>
      </c>
      <c r="CU19">
        <f>AL19*(c_Stroke2+c_MI2+c_SEM)</f>
        <v>4.3071131866262329</v>
      </c>
      <c r="CV19">
        <f>AM19*(c_HF1+c_SEM)</f>
        <v>29.883763966867036</v>
      </c>
      <c r="CW19">
        <f>AN19*(c_HF2+c_SEM)</f>
        <v>141.61558407258096</v>
      </c>
      <c r="CX19">
        <f>AO19*(c_Stroke2+c_HF1+c_SEM)</f>
        <v>0.84050611192416425</v>
      </c>
      <c r="CY19">
        <f>AP19*(c_Stroke1+c_Stroke2+c_HF2+c_SEM)</f>
        <v>1.3445592301035176</v>
      </c>
      <c r="CZ19">
        <f>AQ19*(c_Stroke2+c_HF2+c_SEM)</f>
        <v>3.2708242678571238</v>
      </c>
      <c r="DA19">
        <f>AR19*(c_DM+c_SEM)</f>
        <v>5202.9531237849287</v>
      </c>
      <c r="DB19">
        <f>AS19*(c_Other+c_DM+c_SEM)</f>
        <v>1045.245249333525</v>
      </c>
      <c r="DC19">
        <f>AT19*(c_Stroke1+c_Stroke2+c_DM+c_SEM)</f>
        <v>106.65387727613883</v>
      </c>
      <c r="DD19">
        <f>AU19*(c_Stroke2+c_DM+c_SEM)</f>
        <v>247.45546780047897</v>
      </c>
      <c r="DE19">
        <f>AV19*(c_MI1+c_MI2+c_DM+c_SEM)</f>
        <v>69.475781856586195</v>
      </c>
      <c r="DF19">
        <f>AW19*(c_MI2+c_DM+c_SEM)</f>
        <v>163.393547969971</v>
      </c>
      <c r="DG19">
        <f>AX19*(c_Stroke1+c_Stroke2+c_MI2+c_DM+c_SEM)</f>
        <v>3.0905819707678357</v>
      </c>
      <c r="DH19">
        <f>AY19*(c_Stroke2+c_MI1+c_MI2+c_DM+c_SEM)</f>
        <v>2.9906302440096146</v>
      </c>
      <c r="DI19">
        <f>AZ19*(c_Stroke2+c_MI2+c_DM+c_SEM)</f>
        <v>6.2045878107775847</v>
      </c>
      <c r="DJ19">
        <f>BA19*(c_HF1+c_DM+c_SEM)</f>
        <v>25.26604602214546</v>
      </c>
      <c r="DK19">
        <f>BB19*(c_HF2+c_DM+c_SEM)</f>
        <v>116.90472531015274</v>
      </c>
      <c r="DL19">
        <f>BC19*(c_Stroke2+c_HF1+c_DM+c_SEM)</f>
        <v>1.0746084813466106</v>
      </c>
      <c r="DM19">
        <f>BD19*(c_Stroke1+c_Stroke2+c_HF2+c_DM+c_SEM)</f>
        <v>1.6552642626412015</v>
      </c>
      <c r="DN19">
        <f>BE19*(c_Stroke2+c_HF2+c_DM+c_SEM)</f>
        <v>4.0045067101115466</v>
      </c>
      <c r="DO19">
        <f t="shared" si="20"/>
        <v>0</v>
      </c>
      <c r="DP19">
        <f t="shared" si="39"/>
        <v>16416.72065727966</v>
      </c>
      <c r="DQ19">
        <f>DP19/(1+r_)^A19</f>
        <v>10230.357564028591</v>
      </c>
    </row>
    <row r="20" spans="1:121" x14ac:dyDescent="0.3">
      <c r="A20">
        <v>17</v>
      </c>
      <c r="B20">
        <v>62</v>
      </c>
      <c r="C20">
        <f t="shared" si="40"/>
        <v>32.793999999999997</v>
      </c>
      <c r="D20">
        <f t="shared" si="1"/>
        <v>125</v>
      </c>
      <c r="E20">
        <f t="shared" si="41"/>
        <v>5.4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1"/>
        <v>1.9177515277734612E-2</v>
      </c>
      <c r="J20">
        <f t="shared" si="22"/>
        <v>0.1715983851233841</v>
      </c>
      <c r="K20">
        <f t="shared" si="23"/>
        <v>0.23175961029846504</v>
      </c>
      <c r="L20">
        <f t="shared" si="24"/>
        <v>8.5264879148737038E-2</v>
      </c>
      <c r="M20">
        <f t="shared" si="25"/>
        <v>0.11733790525589805</v>
      </c>
      <c r="N20">
        <f t="shared" si="26"/>
        <v>0.36500263410267964</v>
      </c>
      <c r="O20">
        <f t="shared" si="27"/>
        <v>0.47359632428745368</v>
      </c>
      <c r="P20">
        <f t="shared" si="28"/>
        <v>0.20019251236469082</v>
      </c>
      <c r="Q20">
        <f t="shared" si="29"/>
        <v>0.27067762490749325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1.382164763529862E-2</v>
      </c>
      <c r="U20">
        <f t="shared" si="30"/>
        <v>0.33615441327412687</v>
      </c>
      <c r="V20">
        <f t="shared" si="31"/>
        <v>0.4366134595588913</v>
      </c>
      <c r="W20">
        <f t="shared" si="32"/>
        <v>0.17630437809798916</v>
      </c>
      <c r="X20">
        <f t="shared" si="33"/>
        <v>0.23786471388671004</v>
      </c>
      <c r="Y20">
        <f t="shared" si="34"/>
        <v>0.53827190985212447</v>
      </c>
      <c r="Z20">
        <f t="shared" si="35"/>
        <v>0.66443121540696448</v>
      </c>
      <c r="AA20">
        <f t="shared" si="36"/>
        <v>0.31622227617555343</v>
      </c>
      <c r="AB20">
        <f t="shared" si="37"/>
        <v>0.41556441590797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2.5325330383597734E-2</v>
      </c>
      <c r="AD20">
        <f t="shared" si="38"/>
        <v>0.52019324071872175</v>
      </c>
      <c r="AE20">
        <f t="shared" si="6"/>
        <v>4.6319824327521061E-2</v>
      </c>
      <c r="AF20">
        <f t="shared" si="7"/>
        <v>3.360216849836479E-3</v>
      </c>
      <c r="AG20">
        <f t="shared" si="8"/>
        <v>1.345915432782074E-2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1.8839000886318922E-3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9.6871757419179361E-3</v>
      </c>
      <c r="AJ20">
        <f t="shared" si="11"/>
        <v>6.2096825610971526E-5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5.0647576125307039E-5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2.0693998886018011E-4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7.5293964058877462E-4</v>
      </c>
      <c r="AN20">
        <f t="shared" si="15"/>
        <v>5.3733222724243468E-3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1.9802779482180836E-5</v>
      </c>
      <c r="AP20">
        <f>AM19*T19*p_Stroke*p_Stroke_rec*(1-I19) + AN19*T19*p_Stroke*p_Stroke_rec*(1-I19) + AO19*(p_recur_Stroke*p_Stroke_rec)*(1-I19) + AP19*(p_recur_Stroke*p_Stroke_rec)*(1-I19) + AQ19*(p_recur_Stroke*p_Stroke_rec)*(1-I19)</f>
        <v>2.994661010409774E-5</v>
      </c>
      <c r="AQ20">
        <f>AO19*(1-p_recur_Stroke-H19*rr_Stroke*rr_HF)*(1-I19) + AP19*(1-p_recur_Stroke-H19*rr_Stroke*rr_HF)*(1-I19) + AQ19*(1-p_recur_Stroke-H19*rr_Stroke*rr_HF)*(1-I19)</f>
        <v>1.0993575605347773E-4</v>
      </c>
      <c r="AR20">
        <f>AR19*(1-AC19-H19*rr_DM) + AD19*(1-T19-H19)*I19</f>
        <v>0.21084736155667186</v>
      </c>
      <c r="AS20">
        <f>AR19*AC19*p_Other + AD19*T19*p_Other*I19 + AE19*(1-T19*p_Stroke-T19*p_MI-H19*rr_Other)*I19 + AS19*(1-AC19*p_Stroke-AC19*p_MI-H19*rr_Other*rr_DM)</f>
        <v>2.9491340057303684E-2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2.3819100918166863E-3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8.7289926151259377E-3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1.3826579228846823E-3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6.3806824787934922E-3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6.9534239416642085E-5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5.771848050126175E-5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2.1319749397336702E-4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5.280214194220721E-4</v>
      </c>
      <c r="BB20">
        <f>AM19*(1-T19*p_Stroke - H19*rr_HF)*I19 + AN19*(1-T19*p_Stroke - H19*rr_HF)*I19 + BA19*(1-AC19*p_Stroke - H19*rr_HF*rr_DM) + BB19*(1-AC19*p_Stroke - H19*rr_HF*rr_DM)</f>
        <v>3.3880096022215079E-3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2.1686643966310552E-5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3.2165382417392432E-5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1.0849608486961814E-4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9.2859082426916359E-2</v>
      </c>
      <c r="BG20">
        <f t="shared" si="17"/>
        <v>0.95800000000000018</v>
      </c>
      <c r="BH20">
        <f>(0.9442 - 0.0007*$B20 - dis_BMI*($C20-21.75))*AD20</f>
        <v>0.44963152454278266</v>
      </c>
      <c r="BI20">
        <f>0.959*(0.9442 - 0.0007*$B20 - dis_BMI*($C20-21.75))*AE20</f>
        <v>3.8395255230450974E-2</v>
      </c>
      <c r="BJ20">
        <f>(0.943*(0.9442 - 0.0007*$B20 - dis_BMI*($C20-21.75)) - 0.19*0.5)*AF20</f>
        <v>2.4196470473603431E-3</v>
      </c>
      <c r="BK20">
        <f>(0.943*(0.9442 - 0.0007*$B20 - dis_BMI*($C20-21.75)))*AG20</f>
        <v>1.0970376022302651E-2</v>
      </c>
      <c r="BL20">
        <f>(0.955*(0.9442 - 0.0007*$B20 - dis_BMI*($C20-21.75)) - 0.15*0.5)*AH20</f>
        <v>1.4137894638871866E-3</v>
      </c>
      <c r="BM20">
        <f>(0.955*(0.9442 - 0.0007*$B20 - dis_BMI*($C20-21.75)))*AI20</f>
        <v>7.9963647926766645E-3</v>
      </c>
      <c r="BN20">
        <f>(0.955*0.943*(0.9442 - 0.0007*$B20 - dis_BMI*($C20-21.75)) - 0.19*0.5)*AJ20</f>
        <v>4.243744755484737E-5</v>
      </c>
      <c r="BO20">
        <f>(0.955*0.943*(0.9442 - 0.0007*$B20 - dis_BMI*($C20-21.75)) - 0.15*0.5)*AK20</f>
        <v>3.5625894043324798E-5</v>
      </c>
      <c r="BP20">
        <f>(0.955*0.943*(0.9442 - 0.0007*$B20 - dis_BMI*($C20-21.75)))*AL20</f>
        <v>1.6108367672348494E-4</v>
      </c>
      <c r="BQ20">
        <f>(0.93*(0.9442 - 0.0007*$B20 - dis_BMI*($C20-21.75)))*AM20</f>
        <v>6.0525050298145943E-4</v>
      </c>
      <c r="BR20">
        <f>(0.93*(0.9442 - 0.0007*$B20 - dis_BMI*($C20-21.75)))*AN20</f>
        <v>4.3193449152487094E-3</v>
      </c>
      <c r="BS20">
        <f>(0.93*0.943*(0.9442 - 0.0007*$B20 - dis_BMI*($C20-21.75)))*AO20</f>
        <v>1.5011111150141499E-5</v>
      </c>
      <c r="BT20">
        <f>(0.93*0.943*(0.9442 - 0.0007*$B20 - dis_BMI*($C20-21.75))-0.19*0.5)*AP20</f>
        <v>1.9855516351327966E-5</v>
      </c>
      <c r="BU20">
        <f>(0.93*0.943*(0.9442 - 0.0007*$B20 - dis_BMI*($C20-21.75)))*AQ20</f>
        <v>8.333465789378452E-5</v>
      </c>
      <c r="BV20">
        <f>0.962*(0.9442 - 0.0007*$B20 - dis_BMI*($C20-21.75))*AR20</f>
        <v>0.17532154572574871</v>
      </c>
      <c r="BW20">
        <f>0.962*0.959*(0.9442 - 0.0007*$B20 - dis_BMI*($C20-21.75))*AS20</f>
        <v>2.3516908760265645E-2</v>
      </c>
      <c r="BX20">
        <f>0.962*(0.943*(0.9442 - 0.0007*$B20 - dis_BMI*($C20-21.75)) - 0.19*0.5)*AT20</f>
        <v>1.6500045869431497E-3</v>
      </c>
      <c r="BY20">
        <f>0.962*(0.943*(0.9442 - 0.0007*$B20 - dis_BMI*($C20-21.75)))*AU20</f>
        <v>6.8445190872526958E-3</v>
      </c>
      <c r="BZ20">
        <f>0.962*(0.955*(0.9442 - 0.0007*$B20 - dis_BMI*($C20-21.75)) - 0.15*0.5)*AV20</f>
        <v>9.9819799422900244E-4</v>
      </c>
      <c r="CA20">
        <f>0.962*(0.955*(0.9442 - 0.0007*$B20 - dis_BMI*($C20-21.75)))*AW20</f>
        <v>5.0668450717444797E-3</v>
      </c>
      <c r="CB20">
        <f>0.962*(0.955*0.943*(0.9442 - 0.0007*$B20 - dis_BMI*($C20-21.75)) - 0.19*0.5)*AX20</f>
        <v>4.5714464408064904E-5</v>
      </c>
      <c r="CC20">
        <f>0.962*(0.955*0.943*(0.9442 - 0.0007*$B20 - dis_BMI*($C20-21.75)) - 0.15*0.5)*AY20</f>
        <v>3.9056836834594723E-5</v>
      </c>
      <c r="CD20">
        <f>0.962*(0.955*0.943*(0.9442 - 0.0007*$B20 - dis_BMI*($C20-21.75)))*AZ20</f>
        <v>1.5964829322708329E-4</v>
      </c>
      <c r="CE20">
        <f>0.962*(0.93*(0.9442 - 0.0007*$B20 - dis_BMI*($C20-21.75)))*BA20</f>
        <v>4.0832089903190247E-4</v>
      </c>
      <c r="CF20">
        <f>0.962*(0.93*(0.9442 - 0.0007*$B20 - dis_BMI*($C20-21.75)))*BB20</f>
        <v>2.6199602436998721E-3</v>
      </c>
      <c r="CG20">
        <f>0.962*(0.93*0.943*(0.9442 - 0.0007*$B20 - dis_BMI*($C20-21.75)))*BC20</f>
        <v>1.5814450676364085E-5</v>
      </c>
      <c r="CH20">
        <f>0.962*(0.93*0.943*(0.9442 - 0.0007*$B20 - dis_BMI*($C20-21.75))-0.19*0.5)*BD20</f>
        <v>2.051621815929152E-5</v>
      </c>
      <c r="CI20">
        <f>0.962*(0.93*0.943*(0.9442 - 0.0007*$B20 - dis_BMI*($C20-21.75)))*BE20</f>
        <v>7.9118096161611386E-5</v>
      </c>
      <c r="CJ20">
        <f t="shared" si="18"/>
        <v>0</v>
      </c>
      <c r="CK20">
        <f t="shared" si="19"/>
        <v>0.73289507154978983</v>
      </c>
      <c r="CL20">
        <f>CK20/(1+r_)^A20</f>
        <v>0.44341357136620313</v>
      </c>
      <c r="CM20">
        <f>AD20*c_SEM</f>
        <v>7083.9915521075527</v>
      </c>
      <c r="CN20">
        <f>AE20*(c_Other+c_SEM)</f>
        <v>1292.184139264855</v>
      </c>
      <c r="CO20">
        <f>AF20*(c_Stroke1+c_Stroke2+c_SEM)</f>
        <v>125.78635755677875</v>
      </c>
      <c r="CP20">
        <f>AG20*(c_Stroke2 + c_SEM)</f>
        <v>270.77126676709764</v>
      </c>
      <c r="CQ20">
        <f>AH20*(c_MI1+c_MI2 + c_SEM)</f>
        <v>80.5725228906974</v>
      </c>
      <c r="CR20">
        <f>AI20*(c_MI2+c_SEM)</f>
        <v>162.11488604099665</v>
      </c>
      <c r="CS20">
        <f>AJ20*(c_Stroke1+c_Stroke2+c_MI2+c_SEM)</f>
        <v>2.5180883753505063</v>
      </c>
      <c r="CT20">
        <f>AK20*(c_Stroke2+c_MI1+c_MI2+c_SEM)</f>
        <v>2.4953554281177523</v>
      </c>
      <c r="CU20">
        <f>AL20*(c_Stroke2+c_MI2+c_SEM)</f>
        <v>4.8082506411662846</v>
      </c>
      <c r="CV20">
        <f>AM20*(c_HF1+c_SEM)</f>
        <v>30.605490510652512</v>
      </c>
      <c r="CW20">
        <f>AN20*(c_HF2+c_SEM)</f>
        <v>157.02459676705669</v>
      </c>
      <c r="CX20">
        <f>AO20*(c_Stroke2+c_HF1+c_SEM)</f>
        <v>0.93366144702586207</v>
      </c>
      <c r="CY20">
        <f>AP20*(c_Stroke1+c_Stroke2+c_HF2+c_SEM)</f>
        <v>1.58833825331124</v>
      </c>
      <c r="CZ20">
        <f>AQ20*(c_Stroke2+c_HF2+c_SEM)</f>
        <v>3.9272350134983851</v>
      </c>
      <c r="DA20">
        <f>AR20*(c_DM+c_SEM)</f>
        <v>5280.250475463733</v>
      </c>
      <c r="DB20">
        <f>AS20*(c_Other+c_DM+c_SEM)</f>
        <v>1159.6584737332955</v>
      </c>
      <c r="DC20">
        <f>AT20*(c_Stroke1+c_Stroke2+c_DM+c_SEM)</f>
        <v>116.37774517607147</v>
      </c>
      <c r="DD20">
        <f>AU20*(c_Stroke2+c_DM+c_SEM)</f>
        <v>275.33861405891747</v>
      </c>
      <c r="DE20">
        <f>AV20*(c_MI1+c_MI2+c_DM+c_SEM)</f>
        <v>74.931763472812477</v>
      </c>
      <c r="DF20">
        <f>AW20*(c_MI2+c_DM+c_SEM)</f>
        <v>179.68001860282473</v>
      </c>
      <c r="DG20">
        <f>AX20*(c_Stroke1+c_Stroke2+c_MI2+c_DM+c_SEM)</f>
        <v>3.6141116279193892</v>
      </c>
      <c r="DH20">
        <f>AY20*(c_Stroke2+c_MI1+c_MI2+c_DM+c_SEM)</f>
        <v>3.5031654555435807</v>
      </c>
      <c r="DI20">
        <f>AZ20*(c_Stroke2+c_MI2+c_DM+c_SEM)</f>
        <v>7.3894251411169014</v>
      </c>
      <c r="DJ20">
        <f>BA20*(c_HF1+c_DM+c_SEM)</f>
        <v>27.495659373565559</v>
      </c>
      <c r="DK20">
        <f>BB20*(c_HF2+c_DM+c_SEM)</f>
        <v>137.71581431109985</v>
      </c>
      <c r="DL20">
        <f>BC20*(c_Stroke2+c_HF1+c_DM+c_SEM)</f>
        <v>1.2702517970387079</v>
      </c>
      <c r="DM20">
        <f>BD20*(c_Stroke1+c_Stroke2+c_HF2+c_DM+c_SEM)</f>
        <v>2.0735092121547858</v>
      </c>
      <c r="DN20">
        <f>BE20*(c_Stroke2+c_HF2+c_DM+c_SEM)</f>
        <v>5.1153734094327561</v>
      </c>
      <c r="DO20">
        <f t="shared" si="20"/>
        <v>0</v>
      </c>
      <c r="DP20">
        <f t="shared" si="39"/>
        <v>16493.736141899688</v>
      </c>
      <c r="DQ20">
        <f>DP20/(1+r_)^A20</f>
        <v>9978.981619273598</v>
      </c>
    </row>
    <row r="21" spans="1:121" x14ac:dyDescent="0.3">
      <c r="A21">
        <v>18</v>
      </c>
      <c r="B21">
        <v>63</v>
      </c>
      <c r="C21">
        <f t="shared" si="40"/>
        <v>32.793999999999997</v>
      </c>
      <c r="D21">
        <f t="shared" si="1"/>
        <v>125</v>
      </c>
      <c r="E21">
        <f t="shared" si="41"/>
        <v>5.4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1"/>
        <v>1.9177515277734612E-2</v>
      </c>
      <c r="J21">
        <f t="shared" si="22"/>
        <v>0.1785092452595276</v>
      </c>
      <c r="K21">
        <f t="shared" si="23"/>
        <v>0.24072029964381036</v>
      </c>
      <c r="L21">
        <f t="shared" si="24"/>
        <v>8.8885396926145277E-2</v>
      </c>
      <c r="M21">
        <f t="shared" si="25"/>
        <v>0.12222674307706582</v>
      </c>
      <c r="N21">
        <f t="shared" si="26"/>
        <v>0.37956054275206541</v>
      </c>
      <c r="O21">
        <f t="shared" si="27"/>
        <v>0.4905676011206459</v>
      </c>
      <c r="P21">
        <f t="shared" si="28"/>
        <v>0.20926512127874353</v>
      </c>
      <c r="Q21">
        <f t="shared" si="29"/>
        <v>0.28233992668449137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1.4396981900947927E-2</v>
      </c>
      <c r="U21">
        <f t="shared" si="30"/>
        <v>0.34814784718763669</v>
      </c>
      <c r="V21">
        <f t="shared" si="31"/>
        <v>0.45081657534015085</v>
      </c>
      <c r="W21">
        <f t="shared" si="32"/>
        <v>0.18338303012985524</v>
      </c>
      <c r="X21">
        <f t="shared" si="33"/>
        <v>0.24702158332703539</v>
      </c>
      <c r="Y21">
        <f t="shared" si="34"/>
        <v>0.55613962649427151</v>
      </c>
      <c r="Z21">
        <f t="shared" si="35"/>
        <v>0.68263207332579023</v>
      </c>
      <c r="AA21">
        <f t="shared" si="36"/>
        <v>0.32936843546448558</v>
      </c>
      <c r="AB21">
        <f t="shared" si="37"/>
        <v>0.43137781382756002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2.6278120493225268E-2</v>
      </c>
      <c r="AD21">
        <f t="shared" si="38"/>
        <v>0.49859873998909593</v>
      </c>
      <c r="AE21">
        <f t="shared" si="6"/>
        <v>4.8255013263469655E-2</v>
      </c>
      <c r="AF21">
        <f t="shared" si="7"/>
        <v>3.4463326789507401E-3</v>
      </c>
      <c r="AG21">
        <f t="shared" si="8"/>
        <v>1.400490283979351E-2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1.9110860668308757E-3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9.9598060295568829E-3</v>
      </c>
      <c r="AJ21">
        <f t="shared" si="11"/>
        <v>6.7808796400681227E-5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5.5429586642537276E-5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2.2909441326975208E-4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7.6886216108753766E-4</v>
      </c>
      <c r="AN21">
        <f t="shared" si="15"/>
        <v>5.8917967179268494E-3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2.1816025974488865E-5</v>
      </c>
      <c r="AP21">
        <f>AM20*T20*p_Stroke*p_Stroke_rec*(1-I20) + AN20*T20*p_Stroke*p_Stroke_rec*(1-I20) + AO20*(p_recur_Stroke*p_Stroke_rec)*(1-I20) + AP20*(p_recur_Stroke*p_Stroke_rec)*(1-I20) + AQ20*(p_recur_Stroke*p_Stroke_rec)*(1-I20)</f>
        <v>3.4864784054801908E-5</v>
      </c>
      <c r="AQ21">
        <f>AO20*(1-p_recur_Stroke-H20*rr_Stroke*rr_HF)*(1-I20) + AP20*(1-p_recur_Stroke-H20*rr_Stroke*rr_HF)*(1-I20) + AQ20*(1-p_recur_Stroke-H20*rr_Stroke*rr_HF)*(1-I20)</f>
        <v>1.2984270240348289E-4</v>
      </c>
      <c r="AR21">
        <f>AR20*(1-AC20-H20*rr_DM) + AD20*(1-T20-H20)*I20</f>
        <v>0.21308627954563222</v>
      </c>
      <c r="AS21">
        <f>AR20*AC20*p_Other + AD20*T20*p_Other*I20 + AE20*(1-T20*p_Stroke-T20*p_MI-H20*rr_Other)*I20 + AS20*(1-AC20*p_Stroke-AC20*p_MI-H20*rr_Other*rr_DM)</f>
        <v>3.2458903558060366E-2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2.5819646470124193E-3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9.6315762454097682E-3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1.4830670359214679E-3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6.9706835537388795E-3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8.0514032347517075E-5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6.6886297548196093E-5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2.5096513928429684E-4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5.7117798275452074E-4</v>
      </c>
      <c r="BB21">
        <f>AM20*(1-T20*p_Stroke - H20*rr_HF)*I20 + AN20*(1-T20*p_Stroke - H20*rr_HF)*I20 + BA20*(1-AC20*p_Stroke - H20*rr_HF*rr_DM) + BB20*(1-AC20*p_Stroke - H20*rr_HF*rr_DM)</f>
        <v>3.9350636157537821E-3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2.5339960475744175E-5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3.9590307915571301E-5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1.3588624923764777E-4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0.10330670577344994</v>
      </c>
      <c r="BG21">
        <f t="shared" si="17"/>
        <v>0.95799999999999996</v>
      </c>
      <c r="BH21">
        <f>(0.9442 - 0.0007*$B21 - dis_BMI*($C21-21.75))*AD21</f>
        <v>0.4306171950655347</v>
      </c>
      <c r="BI21">
        <f>0.959*(0.9442 - 0.0007*$B21 - dis_BMI*($C21-21.75))*AE21</f>
        <v>3.9966971202067804E-2</v>
      </c>
      <c r="BJ21">
        <f>(0.943*(0.9442 - 0.0007*$B21 - dis_BMI*($C21-21.75)) - 0.19*0.5)*AF21</f>
        <v>2.4793829757197034E-3</v>
      </c>
      <c r="BK21">
        <f>(0.943*(0.9442 - 0.0007*$B21 - dis_BMI*($C21-21.75)))*AG21</f>
        <v>1.1405963672137382E-2</v>
      </c>
      <c r="BL21">
        <f>(0.955*(0.9442 - 0.0007*$B21 - dis_BMI*($C21-21.75)) - 0.15*0.5)*AH21</f>
        <v>1.4329138603518688E-3</v>
      </c>
      <c r="BM21">
        <f>(0.955*(0.9442 - 0.0007*$B21 - dis_BMI*($C21-21.75)))*AI21</f>
        <v>8.2147517416934351E-3</v>
      </c>
      <c r="BN21">
        <f>(0.955*0.943*(0.9442 - 0.0007*$B21 - dis_BMI*($C21-21.75)) - 0.19*0.5)*AJ21</f>
        <v>4.6298305902998173E-5</v>
      </c>
      <c r="BO21">
        <f>(0.955*0.943*(0.9442 - 0.0007*$B21 - dis_BMI*($C21-21.75)) - 0.15*0.5)*AK21</f>
        <v>3.8954654407208293E-5</v>
      </c>
      <c r="BP21">
        <f>(0.955*0.943*(0.9442 - 0.0007*$B21 - dis_BMI*($C21-21.75)))*AL21</f>
        <v>1.7818443075291016E-4</v>
      </c>
      <c r="BQ21">
        <f>(0.93*(0.9442 - 0.0007*$B21 - dis_BMI*($C21-21.75)))*AM21</f>
        <v>6.1754929124431144E-4</v>
      </c>
      <c r="BR21">
        <f>(0.93*(0.9442 - 0.0007*$B21 - dis_BMI*($C21-21.75)))*AN21</f>
        <v>4.7322850199374468E-3</v>
      </c>
      <c r="BS21">
        <f>(0.93*0.943*(0.9442 - 0.0007*$B21 - dis_BMI*($C21-21.75)))*AO21</f>
        <v>1.6523820722012074E-5</v>
      </c>
      <c r="BT21">
        <f>(0.93*0.943*(0.9442 - 0.0007*$B21 - dis_BMI*($C21-21.75))-0.19*0.5)*AP21</f>
        <v>2.30950125170191E-5</v>
      </c>
      <c r="BU21">
        <f>(0.93*0.943*(0.9442 - 0.0007*$B21 - dis_BMI*($C21-21.75)))*AQ21</f>
        <v>9.8345021182391827E-5</v>
      </c>
      <c r="BV21">
        <f>0.962*(0.9442 - 0.0007*$B21 - dis_BMI*($C21-21.75))*AR21</f>
        <v>0.17703973459426545</v>
      </c>
      <c r="BW21">
        <f>0.962*0.959*(0.9442 - 0.0007*$B21 - dis_BMI*($C21-21.75))*AS21</f>
        <v>2.5862333982150997E-2</v>
      </c>
      <c r="BX21">
        <f>0.962*(0.943*(0.9442 - 0.0007*$B21 - dis_BMI*($C21-21.75)) - 0.19*0.5)*AT21</f>
        <v>1.7869474465183131E-3</v>
      </c>
      <c r="BY21">
        <f>0.962*(0.943*(0.9442 - 0.0007*$B21 - dis_BMI*($C21-21.75)))*AU21</f>
        <v>7.546130696985392E-3</v>
      </c>
      <c r="BZ21">
        <f>0.962*(0.955*(0.9442 - 0.0007*$B21 - dis_BMI*($C21-21.75)) - 0.15*0.5)*AV21</f>
        <v>1.0697337337360455E-3</v>
      </c>
      <c r="CA21">
        <f>0.962*(0.955*(0.9442 - 0.0007*$B21 - dis_BMI*($C21-21.75)))*AW21</f>
        <v>5.5308770246697272E-3</v>
      </c>
      <c r="CB21">
        <f>0.962*(0.955*0.943*(0.9442 - 0.0007*$B21 - dis_BMI*($C21-21.75)) - 0.19*0.5)*AX21</f>
        <v>5.2884172616092302E-5</v>
      </c>
      <c r="CC21">
        <f>0.962*(0.955*0.943*(0.9442 - 0.0007*$B21 - dis_BMI*($C21-21.75)) - 0.15*0.5)*AY21</f>
        <v>4.5219936109582627E-5</v>
      </c>
      <c r="CD21">
        <f>0.962*(0.955*0.943*(0.9442 - 0.0007*$B21 - dis_BMI*($C21-21.75)))*AZ21</f>
        <v>1.8777757523584984E-4</v>
      </c>
      <c r="CE21">
        <f>0.962*(0.93*(0.9442 - 0.0007*$B21 - dis_BMI*($C21-21.75)))*BA21</f>
        <v>4.4133632057573541E-4</v>
      </c>
      <c r="CF21">
        <f>0.962*(0.93*(0.9442 - 0.0007*$B21 - dis_BMI*($C21-21.75)))*BB21</f>
        <v>3.0405347367085259E-3</v>
      </c>
      <c r="CG21">
        <f>0.962*(0.93*0.943*(0.9442 - 0.0007*$B21 - dis_BMI*($C21-21.75)))*BC21</f>
        <v>1.8463576814720553E-5</v>
      </c>
      <c r="CH21">
        <f>0.962*(0.93*0.943*(0.9442 - 0.0007*$B21 - dis_BMI*($C21-21.75))-0.19*0.5)*BD21</f>
        <v>2.5228717508170787E-5</v>
      </c>
      <c r="CI21">
        <f>0.962*(0.93*0.943*(0.9442 - 0.0007*$B21 - dis_BMI*($C21-21.75)))*BE21</f>
        <v>9.9011448864143884E-5</v>
      </c>
      <c r="CJ21">
        <f t="shared" si="18"/>
        <v>0</v>
      </c>
      <c r="CK21">
        <f t="shared" si="19"/>
        <v>0.72261462803693</v>
      </c>
      <c r="CL21">
        <f>CK21/(1+r_)^A21</f>
        <v>0.42445993589353859</v>
      </c>
      <c r="CM21">
        <f>AD21*c_SEM</f>
        <v>6789.917641171508</v>
      </c>
      <c r="CN21">
        <f>AE21*(c_Other+c_SEM)</f>
        <v>1346.170105011013</v>
      </c>
      <c r="CO21">
        <f>AF21*(c_Stroke1+c_Stroke2+c_SEM)</f>
        <v>129.01001750384199</v>
      </c>
      <c r="CP21">
        <f>AG21*(c_Stroke2 + c_SEM)</f>
        <v>281.75063533096585</v>
      </c>
      <c r="CQ21">
        <f>AH21*(c_MI1+c_MI2 + c_SEM)</f>
        <v>81.735239992289721</v>
      </c>
      <c r="CR21">
        <f>AI21*(c_MI2+c_SEM)</f>
        <v>166.67735390463443</v>
      </c>
      <c r="CS21">
        <f>AJ21*(c_Stroke1+c_Stroke2+c_MI2+c_SEM)</f>
        <v>2.7497145028440246</v>
      </c>
      <c r="CT21">
        <f>AK21*(c_Stroke2+c_MI1+c_MI2+c_SEM)</f>
        <v>2.7309603042911692</v>
      </c>
      <c r="CU21">
        <f>AL21*(c_Stroke2+c_MI2+c_SEM)</f>
        <v>5.3230086923226896</v>
      </c>
      <c r="CV21">
        <f>AM21*(c_HF1+c_SEM)</f>
        <v>31.25270912388623</v>
      </c>
      <c r="CW21">
        <f>AN21*(c_HF2+c_SEM)</f>
        <v>172.17597548797633</v>
      </c>
      <c r="CX21">
        <f>AO21*(c_Stroke2+c_HF1+c_SEM)</f>
        <v>1.0285819926452011</v>
      </c>
      <c r="CY21">
        <f>AP21*(c_Stroke1+c_Stroke2+c_HF2+c_SEM)</f>
        <v>1.8491932814826384</v>
      </c>
      <c r="CZ21">
        <f>AQ21*(c_Stroke2+c_HF2+c_SEM)</f>
        <v>4.638370857959619</v>
      </c>
      <c r="DA21">
        <f>AR21*(c_DM+c_SEM)</f>
        <v>5336.3196986612675</v>
      </c>
      <c r="DB21">
        <f>AS21*(c_Other+c_DM+c_SEM)</f>
        <v>1276.3490057100498</v>
      </c>
      <c r="DC21">
        <f>AT21*(c_Stroke1+c_Stroke2+c_DM+c_SEM)</f>
        <v>126.1522106883798</v>
      </c>
      <c r="DD21">
        <f>AU21*(c_Stroke2+c_DM+c_SEM)</f>
        <v>303.80880950896034</v>
      </c>
      <c r="DE21">
        <f>AV21*(c_MI1+c_MI2+c_DM+c_SEM)</f>
        <v>80.373334944728029</v>
      </c>
      <c r="DF21">
        <f>AW21*(c_MI2+c_DM+c_SEM)</f>
        <v>196.29444887328685</v>
      </c>
      <c r="DG21">
        <f>AX21*(c_Stroke1+c_Stroke2+c_MI2+c_DM+c_SEM)</f>
        <v>4.1847973452945473</v>
      </c>
      <c r="DH21">
        <f>AY21*(c_Stroke2+c_MI1+c_MI2+c_DM+c_SEM)</f>
        <v>4.0595969433902139</v>
      </c>
      <c r="DI21">
        <f>AZ21*(c_Stroke2+c_MI2+c_DM+c_SEM)</f>
        <v>8.6984517275937279</v>
      </c>
      <c r="DJ21">
        <f>BA21*(c_HF1+c_DM+c_SEM)</f>
        <v>29.74295109597616</v>
      </c>
      <c r="DK21">
        <f>BB21*(c_HF2+c_DM+c_SEM)</f>
        <v>159.95246585315974</v>
      </c>
      <c r="DL21">
        <f>BC21*(c_Stroke2+c_HF1+c_DM+c_SEM)</f>
        <v>1.4842375049457635</v>
      </c>
      <c r="DM21">
        <f>BD21*(c_Stroke1+c_Stroke2+c_HF2+c_DM+c_SEM)</f>
        <v>2.5521496094693883</v>
      </c>
      <c r="DN21">
        <f>BE21*(c_Stroke2+c_HF2+c_DM+c_SEM)</f>
        <v>6.4067648790566167</v>
      </c>
      <c r="DO21">
        <f t="shared" si="20"/>
        <v>0</v>
      </c>
      <c r="DP21">
        <f t="shared" si="39"/>
        <v>16553.388430503219</v>
      </c>
      <c r="DQ21">
        <f>DP21/(1+r_)^A21</f>
        <v>9723.3711018553531</v>
      </c>
    </row>
    <row r="22" spans="1:121" x14ac:dyDescent="0.3">
      <c r="A22">
        <v>19</v>
      </c>
      <c r="B22">
        <v>64</v>
      </c>
      <c r="C22">
        <f t="shared" si="40"/>
        <v>32.793999999999997</v>
      </c>
      <c r="D22">
        <f t="shared" si="1"/>
        <v>125</v>
      </c>
      <c r="E22">
        <f t="shared" si="41"/>
        <v>5.4</v>
      </c>
      <c r="F22">
        <v>8.9599999999999992E-3</v>
      </c>
      <c r="G22">
        <v>1.523E-2</v>
      </c>
      <c r="H22">
        <f t="shared" si="3"/>
        <v>1.0213999999999999E-2</v>
      </c>
      <c r="I22">
        <f t="shared" si="21"/>
        <v>1.9177515277734612E-2</v>
      </c>
      <c r="J22">
        <f t="shared" si="22"/>
        <v>0.18555143806522023</v>
      </c>
      <c r="K22">
        <f t="shared" si="23"/>
        <v>0.24982027109020488</v>
      </c>
      <c r="L22">
        <f t="shared" si="24"/>
        <v>9.2591255808995854E-2</v>
      </c>
      <c r="M22">
        <f t="shared" si="25"/>
        <v>0.12722276692025214</v>
      </c>
      <c r="N22">
        <f t="shared" si="26"/>
        <v>0.39426406681070714</v>
      </c>
      <c r="O22">
        <f t="shared" si="27"/>
        <v>0.50754248678345437</v>
      </c>
      <c r="P22">
        <f t="shared" si="28"/>
        <v>0.21853895601182582</v>
      </c>
      <c r="Q22">
        <f t="shared" si="29"/>
        <v>0.29420390983312084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1.4983398303602829E-2</v>
      </c>
      <c r="U22">
        <f t="shared" si="30"/>
        <v>0.3602477155345013</v>
      </c>
      <c r="V22">
        <f t="shared" si="31"/>
        <v>0.46504006169864243</v>
      </c>
      <c r="W22">
        <f t="shared" si="32"/>
        <v>0.19059434985475676</v>
      </c>
      <c r="X22">
        <f t="shared" si="33"/>
        <v>0.25631743765087411</v>
      </c>
      <c r="Y22">
        <f t="shared" si="34"/>
        <v>0.57388989171451676</v>
      </c>
      <c r="Z22">
        <f t="shared" si="35"/>
        <v>0.70041610733559279</v>
      </c>
      <c r="AA22">
        <f t="shared" si="36"/>
        <v>0.34269722427731353</v>
      </c>
      <c r="AB22">
        <f t="shared" si="37"/>
        <v>0.44728070893861993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2.7241656226757227E-2</v>
      </c>
      <c r="AD22">
        <f t="shared" si="38"/>
        <v>0.47726819197017006</v>
      </c>
      <c r="AE22">
        <f t="shared" si="6"/>
        <v>5.0025923656536173E-2</v>
      </c>
      <c r="AF22">
        <f t="shared" si="7"/>
        <v>3.5236561954922899E-3</v>
      </c>
      <c r="AG22">
        <f t="shared" si="8"/>
        <v>1.4490400960676782E-2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1.9345329510237069E-3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1.0203123677234423E-2</v>
      </c>
      <c r="AJ22">
        <f t="shared" si="11"/>
        <v>7.3621558368964677E-5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6.028088457275509E-5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2.5126406691033064E-4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7.8309481068359243E-4</v>
      </c>
      <c r="AN22">
        <f t="shared" si="15"/>
        <v>6.3963397196003394E-3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2.3867368856258556E-5</v>
      </c>
      <c r="AP22">
        <f>AM21*T21*p_Stroke*p_Stroke_rec*(1-I21) + AN21*T21*p_Stroke*p_Stroke_rec*(1-I21) + AO21*(p_recur_Stroke*p_Stroke_rec)*(1-I21) + AP21*(p_recur_Stroke*p_Stroke_rec)*(1-I21) + AQ21*(p_recur_Stroke*p_Stroke_rec)*(1-I21)</f>
        <v>4.0099197223242339E-5</v>
      </c>
      <c r="AQ22">
        <f>AO21*(1-p_recur_Stroke-H21*rr_Stroke*rr_HF)*(1-I21) + AP21*(1-p_recur_Stroke-H21*rr_Stroke*rr_HF)*(1-I21) + AQ21*(1-p_recur_Stroke-H21*rr_Stroke*rr_HF)*(1-I21)</f>
        <v>1.5091715394279518E-4</v>
      </c>
      <c r="AR22">
        <f>AR21*(1-AC21-H21*rr_DM) + AD21*(1-T21-H21)*I21</f>
        <v>0.21444941510828755</v>
      </c>
      <c r="AS22">
        <f>AR21*AC21*p_Other + AD21*T21*p_Other*I21 + AE21*(1-T21*p_Stroke-T21*p_MI-H21*rr_Other)*I21 + AS21*(1-AC21*p_Stroke-AC21*p_MI-H21*rr_Other*rr_DM)</f>
        <v>3.5447251161964025E-2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2.7826129296905913E-3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1.0535599742869585E-2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1.5829380073052921E-3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7.5651586387386087E-3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9.2425692061559207E-5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7.679503403472259E-5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2.9170253298893198E-4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6.1455281747348992E-4</v>
      </c>
      <c r="BB22">
        <f>AM21*(1-T21*p_Stroke - H21*rr_HF)*I21 + AN21*(1-T21*p_Stroke - H21*rr_HF)*I21 + BA21*(1-AC21*p_Stroke - H21*rr_HF*rr_DM) + BB21*(1-AC21*p_Stroke - H21*rr_HF*rr_DM)</f>
        <v>4.5128859879694193E-3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2.931703079896071E-5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4.801091486323234E-5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1.6695043811545295E-4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0.11457906979154689</v>
      </c>
      <c r="BG22">
        <f t="shared" si="17"/>
        <v>0.95800000000000007</v>
      </c>
      <c r="BH22">
        <f>(0.9442 - 0.0007*$B22 - dis_BMI*($C22-21.75))*AD22</f>
        <v>0.41186087714797975</v>
      </c>
      <c r="BI22">
        <f>0.959*(0.9442 - 0.0007*$B22 - dis_BMI*($C22-21.75))*AE22</f>
        <v>4.1400136395143949E-2</v>
      </c>
      <c r="BJ22">
        <f>(0.943*(0.9442 - 0.0007*$B22 - dis_BMI*($C22-21.75)) - 0.19*0.5)*AF22</f>
        <v>2.5326855953134034E-3</v>
      </c>
      <c r="BK22">
        <f>(0.943*(0.9442 - 0.0007*$B22 - dis_BMI*($C22-21.75)))*AG22</f>
        <v>1.1791801082353025E-2</v>
      </c>
      <c r="BL22">
        <f>(0.955*(0.9442 - 0.0007*$B22 - dis_BMI*($C22-21.75)) - 0.15*0.5)*AH22</f>
        <v>1.4492008722043117E-3</v>
      </c>
      <c r="BM22">
        <f>(0.955*(0.9442 - 0.0007*$B22 - dis_BMI*($C22-21.75)))*AI22</f>
        <v>8.4086169974112567E-3</v>
      </c>
      <c r="BN22">
        <f>(0.955*0.943*(0.9442 - 0.0007*$B22 - dis_BMI*($C22-21.75)) - 0.19*0.5)*AJ22</f>
        <v>5.0220717038734334E-5</v>
      </c>
      <c r="BO22">
        <f>(0.955*0.943*(0.9442 - 0.0007*$B22 - dis_BMI*($C22-21.75)) - 0.15*0.5)*AK22</f>
        <v>4.2326035596777852E-5</v>
      </c>
      <c r="BP22">
        <f>(0.955*0.943*(0.9442 - 0.0007*$B22 - dis_BMI*($C22-21.75)))*AL22</f>
        <v>1.952690880329353E-4</v>
      </c>
      <c r="BQ22">
        <f>(0.93*(0.9442 - 0.0007*$B22 - dis_BMI*($C22-21.75)))*AM22</f>
        <v>6.284711459330827E-4</v>
      </c>
      <c r="BR22">
        <f>(0.93*(0.9442 - 0.0007*$B22 - dis_BMI*($C22-21.75)))*AN22</f>
        <v>5.1333694190175841E-3</v>
      </c>
      <c r="BS22">
        <f>(0.93*0.943*(0.9442 - 0.0007*$B22 - dis_BMI*($C22-21.75)))*AO22</f>
        <v>1.8062889909574559E-5</v>
      </c>
      <c r="BT22">
        <f>(0.93*0.943*(0.9442 - 0.0007*$B22 - dis_BMI*($C22-21.75))-0.19*0.5)*AP22</f>
        <v>2.6537758195235365E-5</v>
      </c>
      <c r="BU22">
        <f>(0.93*0.943*(0.9442 - 0.0007*$B22 - dis_BMI*($C22-21.75)))*AQ22</f>
        <v>1.1421451411558536E-4</v>
      </c>
      <c r="BV22">
        <f>0.962*(0.9442 - 0.0007*$B22 - dis_BMI*($C22-21.75))*AR22</f>
        <v>0.1780278663441435</v>
      </c>
      <c r="BW22">
        <f>0.962*0.959*(0.9442 - 0.0007*$B22 - dis_BMI*($C22-21.75))*AS22</f>
        <v>2.8220473116684342E-2</v>
      </c>
      <c r="BX22">
        <f>0.962*(0.943*(0.9442 - 0.0007*$B22 - dis_BMI*($C22-21.75)) - 0.19*0.5)*AT22</f>
        <v>1.9240467651263895E-3</v>
      </c>
      <c r="BY22">
        <f>0.962*(0.943*(0.9442 - 0.0007*$B22 - dis_BMI*($C22-21.75)))*AU22</f>
        <v>8.2477231865694355E-3</v>
      </c>
      <c r="BZ22">
        <f>0.962*(0.955*(0.9442 - 0.0007*$B22 - dis_BMI*($C22-21.75)) - 0.15*0.5)*AV22</f>
        <v>1.1407525130614938E-3</v>
      </c>
      <c r="CA22">
        <f>0.962*(0.955*(0.9442 - 0.0007*$B22 - dis_BMI*($C22-21.75)))*AW22</f>
        <v>5.9976971402075944E-3</v>
      </c>
      <c r="CB22">
        <f>0.962*(0.955*0.943*(0.9442 - 0.0007*$B22 - dis_BMI*($C22-21.75)) - 0.19*0.5)*AX22</f>
        <v>6.0652078209010999E-5</v>
      </c>
      <c r="CC22">
        <f>0.962*(0.955*0.943*(0.9442 - 0.0007*$B22 - dis_BMI*($C22-21.75)) - 0.15*0.5)*AY22</f>
        <v>5.187238129121176E-5</v>
      </c>
      <c r="CD22">
        <f>0.962*(0.955*0.943*(0.9442 - 0.0007*$B22 - dis_BMI*($C22-21.75)))*AZ22</f>
        <v>2.180812789464346E-4</v>
      </c>
      <c r="CE22">
        <f>0.962*(0.93*(0.9442 - 0.0007*$B22 - dis_BMI*($C22-21.75)))*BA22</f>
        <v>4.7446620416132814E-4</v>
      </c>
      <c r="CF22">
        <f>0.962*(0.93*(0.9442 - 0.0007*$B22 - dis_BMI*($C22-21.75)))*BB22</f>
        <v>3.4841787778754451E-3</v>
      </c>
      <c r="CG22">
        <f>0.962*(0.93*0.943*(0.9442 - 0.0007*$B22 - dis_BMI*($C22-21.75)))*BC22</f>
        <v>2.1344095005736498E-5</v>
      </c>
      <c r="CH22">
        <f>0.962*(0.93*0.943*(0.9442 - 0.0007*$B22 - dis_BMI*($C22-21.75))-0.19*0.5)*BD22</f>
        <v>3.0566351856687624E-5</v>
      </c>
      <c r="CI22">
        <f>0.962*(0.93*0.943*(0.9442 - 0.0007*$B22 - dis_BMI*($C22-21.75)))*BE22</f>
        <v>1.215473025498845E-4</v>
      </c>
      <c r="CJ22">
        <f t="shared" si="18"/>
        <v>0</v>
      </c>
      <c r="CK22">
        <f t="shared" si="19"/>
        <v>0.71167305719393359</v>
      </c>
      <c r="CL22">
        <f>CK22/(1+r_)^A22</f>
        <v>0.40585720017622423</v>
      </c>
      <c r="CM22">
        <f>AD22*c_SEM</f>
        <v>6499.4382382497761</v>
      </c>
      <c r="CN22">
        <f>AE22*(c_Other+c_SEM)</f>
        <v>1395.5731922463897</v>
      </c>
      <c r="CO22">
        <f>AF22*(c_Stroke1+c_Stroke2+c_SEM)</f>
        <v>131.90454602205838</v>
      </c>
      <c r="CP22">
        <f>AG22*(c_Stroke2 + c_SEM)</f>
        <v>291.5178865268955</v>
      </c>
      <c r="CQ22">
        <f>AH22*(c_MI1+c_MI2 + c_SEM)</f>
        <v>82.738039782332919</v>
      </c>
      <c r="CR22">
        <f>AI22*(c_MI2+c_SEM)</f>
        <v>170.74927473851807</v>
      </c>
      <c r="CS22">
        <f>AJ22*(c_Stroke1+c_Stroke2+c_MI2+c_SEM)</f>
        <v>2.9854278134198866</v>
      </c>
      <c r="CT22">
        <f>AK22*(c_Stroke2+c_MI1+c_MI2+c_SEM)</f>
        <v>2.9699789020150704</v>
      </c>
      <c r="CU22">
        <f>AL22*(c_Stroke2+c_MI2+c_SEM)</f>
        <v>5.8381205946615324</v>
      </c>
      <c r="CV22">
        <f>AM22*(c_HF1+c_SEM)</f>
        <v>31.831237864666665</v>
      </c>
      <c r="CW22">
        <f>AN22*(c_HF2+c_SEM)</f>
        <v>186.92023562588071</v>
      </c>
      <c r="CX22">
        <f>AO22*(c_Stroke2+c_HF1+c_SEM)</f>
        <v>1.1252987068348783</v>
      </c>
      <c r="CY22">
        <f>AP22*(c_Stroke1+c_Stroke2+c_HF2+c_SEM)</f>
        <v>2.1268213215235505</v>
      </c>
      <c r="CZ22">
        <f>AQ22*(c_Stroke2+c_HF2+c_SEM)</f>
        <v>5.3912134902984716</v>
      </c>
      <c r="DA22">
        <f>AR22*(c_DM+c_SEM)</f>
        <v>5370.4567025568449</v>
      </c>
      <c r="DB22">
        <f>AS22*(c_Other+c_DM+c_SEM)</f>
        <v>1393.8568101907495</v>
      </c>
      <c r="DC22">
        <f>AT22*(c_Stroke1+c_Stroke2+c_DM+c_SEM)</f>
        <v>135.9556851317526</v>
      </c>
      <c r="DD22">
        <f>AU22*(c_Stroke2+c_DM+c_SEM)</f>
        <v>332.32442268933534</v>
      </c>
      <c r="DE22">
        <f>AV22*(c_MI1+c_MI2+c_DM+c_SEM)</f>
        <v>85.785742367902998</v>
      </c>
      <c r="DF22">
        <f>AW22*(c_MI2+c_DM+c_SEM)</f>
        <v>213.03486726687922</v>
      </c>
      <c r="DG22">
        <f>AX22*(c_Stroke1+c_Stroke2+c_MI2+c_DM+c_SEM)</f>
        <v>4.8039177705916014</v>
      </c>
      <c r="DH22">
        <f>AY22*(c_Stroke2+c_MI1+c_MI2+c_DM+c_SEM)</f>
        <v>4.6609977957034525</v>
      </c>
      <c r="DI22">
        <f>AZ22*(c_Stroke2+c_MI2+c_DM+c_SEM)</f>
        <v>10.110409793396382</v>
      </c>
      <c r="DJ22">
        <f>BA22*(c_HF1+c_DM+c_SEM)</f>
        <v>32.00160886429704</v>
      </c>
      <c r="DK22">
        <f>BB22*(c_HF2+c_DM+c_SEM)</f>
        <v>183.43978963898095</v>
      </c>
      <c r="DL22">
        <f>BC22*(c_Stroke2+c_HF1+c_DM+c_SEM)</f>
        <v>1.7171864449875256</v>
      </c>
      <c r="DM22">
        <f>BD22*(c_Stroke1+c_Stroke2+c_HF2+c_DM+c_SEM)</f>
        <v>3.0949756157434094</v>
      </c>
      <c r="DN22">
        <f>BE22*(c_Stroke2+c_HF2+c_DM+c_SEM)</f>
        <v>7.8713792562673754</v>
      </c>
      <c r="DO22">
        <f t="shared" si="20"/>
        <v>0</v>
      </c>
      <c r="DP22">
        <f t="shared" si="39"/>
        <v>16590.224007268705</v>
      </c>
      <c r="DQ22">
        <f>DP22/(1+r_)^A22</f>
        <v>9461.1729330250837</v>
      </c>
    </row>
    <row r="23" spans="1:121" x14ac:dyDescent="0.3">
      <c r="A23">
        <v>20</v>
      </c>
      <c r="B23">
        <v>65</v>
      </c>
      <c r="C23">
        <f t="shared" si="40"/>
        <v>32.793999999999997</v>
      </c>
      <c r="D23">
        <f t="shared" si="1"/>
        <v>125</v>
      </c>
      <c r="E23">
        <f t="shared" si="41"/>
        <v>5.4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1"/>
        <v>1.9177515277734612E-2</v>
      </c>
      <c r="J23">
        <f t="shared" si="22"/>
        <v>0.19272272336563478</v>
      </c>
      <c r="K23">
        <f t="shared" si="23"/>
        <v>0.25905472754044068</v>
      </c>
      <c r="L23">
        <f t="shared" si="24"/>
        <v>9.6382429791167179E-2</v>
      </c>
      <c r="M23">
        <f t="shared" si="25"/>
        <v>0.13232535847872595</v>
      </c>
      <c r="N23">
        <f t="shared" si="26"/>
        <v>0.40909504273399777</v>
      </c>
      <c r="O23">
        <f t="shared" si="27"/>
        <v>0.52449296439278392</v>
      </c>
      <c r="P23">
        <f t="shared" si="28"/>
        <v>0.22800979475594041</v>
      </c>
      <c r="Q23">
        <f t="shared" si="29"/>
        <v>0.30626005017649272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1.5580658438944021E-2</v>
      </c>
      <c r="U23">
        <f t="shared" si="30"/>
        <v>0.37244355870540358</v>
      </c>
      <c r="V23">
        <f t="shared" si="31"/>
        <v>0.47926774758859514</v>
      </c>
      <c r="W23">
        <f t="shared" si="32"/>
        <v>0.19793592339453359</v>
      </c>
      <c r="X23">
        <f t="shared" si="33"/>
        <v>0.26574718379636408</v>
      </c>
      <c r="Y23">
        <f t="shared" si="34"/>
        <v>0.59149032506028321</v>
      </c>
      <c r="Z23">
        <f t="shared" si="35"/>
        <v>0.71775047295547512</v>
      </c>
      <c r="AA23">
        <f t="shared" si="36"/>
        <v>0.35619508074241157</v>
      </c>
      <c r="AB23">
        <f t="shared" si="37"/>
        <v>0.46325015031847638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2.8215169710074012E-2</v>
      </c>
      <c r="AD23">
        <f t="shared" si="38"/>
        <v>0.45632008439820465</v>
      </c>
      <c r="AE23">
        <f t="shared" si="6"/>
        <v>5.1641180669574113E-2</v>
      </c>
      <c r="AF23">
        <f t="shared" si="7"/>
        <v>3.5903312006124628E-3</v>
      </c>
      <c r="AG23">
        <f t="shared" si="8"/>
        <v>1.4925257686085828E-2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1.9536748367736537E-3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1.0420534069743172E-2</v>
      </c>
      <c r="AJ23">
        <f t="shared" si="11"/>
        <v>7.9451197997652733E-5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6.5124912389461924E-5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2.7365916001707282E-4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7.9538306766125159E-4</v>
      </c>
      <c r="AN23">
        <f t="shared" si="15"/>
        <v>6.8865811767961785E-3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2.5922759627841484E-5</v>
      </c>
      <c r="AP23">
        <f>AM22*T22*p_Stroke*p_Stroke_rec*(1-I22) + AN22*T22*p_Stroke*p_Stroke_rec*(1-I22) + AO22*(p_recur_Stroke*p_Stroke_rec)*(1-I22) + AP22*(p_recur_Stroke*p_Stroke_rec)*(1-I22) + AQ22*(p_recur_Stroke*p_Stroke_rec)*(1-I22)</f>
        <v>4.5593991362069647E-5</v>
      </c>
      <c r="AQ23">
        <f>AO22*(1-p_recur_Stroke-H22*rr_Stroke*rr_HF)*(1-I22) + AP22*(1-p_recur_Stroke-H22*rr_Stroke*rr_HF)*(1-I22) + AQ22*(1-p_recur_Stroke-H22*rr_Stroke*rr_HF)*(1-I22)</f>
        <v>1.7320800223697319E-4</v>
      </c>
      <c r="AR23">
        <f>AR22*(1-AC22-H22*rr_DM) + AD22*(1-T22-H22)*I22</f>
        <v>0.21501070443032769</v>
      </c>
      <c r="AS23">
        <f>AR22*AC22*p_Other + AD22*T22*p_Other*I22 + AE22*(1-T22*p_Stroke-T22*p_MI-H22*rr_Other)*I22 + AS22*(1-AC22*p_Stroke-AC22*p_MI-H22*rr_Other*rr_DM)</f>
        <v>3.8444404928624464E-2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2.9810185341998122E-3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1.1442386775085082E-2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1.6811713510476078E-3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8.1632828236121412E-3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1.051720847451214E-4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8.7345499918066753E-5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3.3574550332837912E-4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6.5767265109971742E-4</v>
      </c>
      <c r="BB23">
        <f>AM22*(1-T22*p_Stroke - H22*rr_HF)*I22 + AN22*(1-T22*p_Stroke - H22*rr_HF)*I22 + BA22*(1-AC22*p_Stroke - H22*rr_HF*rr_DM) + BB22*(1-AC22*p_Stroke - H22*rr_HF*rr_DM)</f>
        <v>5.1203483019674799E-3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3.3578168267848137E-5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5.741608151025536E-5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2.0200626553716129E-4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0.12648175947164689</v>
      </c>
      <c r="BG23">
        <f t="shared" si="17"/>
        <v>0.95800000000000018</v>
      </c>
      <c r="BH23">
        <f>(0.9442 - 0.0007*$B23 - dis_BMI*($C23-21.75))*AD23</f>
        <v>0.39346418310875714</v>
      </c>
      <c r="BI23">
        <f>0.959*(0.9442 - 0.0007*$B23 - dis_BMI*($C23-21.75))*AE23</f>
        <v>4.270221381769719E-2</v>
      </c>
      <c r="BJ23">
        <f>(0.943*(0.9442 - 0.0007*$B23 - dis_BMI*($C23-21.75)) - 0.19*0.5)*AF23</f>
        <v>2.5782393695145574E-3</v>
      </c>
      <c r="BK23">
        <f>(0.943*(0.9442 - 0.0007*$B23 - dis_BMI*($C23-21.75)))*AG23</f>
        <v>1.2135820701443728E-2</v>
      </c>
      <c r="BL23">
        <f>(0.955*(0.9442 - 0.0007*$B23 - dis_BMI*($C23-21.75)) - 0.15*0.5)*AH23</f>
        <v>1.4622344451351472E-3</v>
      </c>
      <c r="BM23">
        <f>(0.955*(0.9442 - 0.0007*$B23 - dis_BMI*($C23-21.75)))*AI23</f>
        <v>8.5808235217906034E-3</v>
      </c>
      <c r="BN23">
        <f>(0.955*0.943*(0.9442 - 0.0007*$B23 - dis_BMI*($C23-21.75)) - 0.19*0.5)*AJ23</f>
        <v>5.4147301900440975E-5</v>
      </c>
      <c r="BO23">
        <f>(0.955*0.943*(0.9442 - 0.0007*$B23 - dis_BMI*($C23-21.75)) - 0.15*0.5)*AK23</f>
        <v>4.5686200209037753E-5</v>
      </c>
      <c r="BP23">
        <f>(0.955*0.943*(0.9442 - 0.0007*$B23 - dis_BMI*($C23-21.75)))*AL23</f>
        <v>2.1250085147704335E-4</v>
      </c>
      <c r="BQ23">
        <f>(0.93*(0.9442 - 0.0007*$B23 - dis_BMI*($C23-21.75)))*AM23</f>
        <v>6.3781526717456428E-4</v>
      </c>
      <c r="BR23">
        <f>(0.93*(0.9442 - 0.0007*$B23 - dis_BMI*($C23-21.75)))*AN23</f>
        <v>5.5223285380124037E-3</v>
      </c>
      <c r="BS23">
        <f>(0.93*0.943*(0.9442 - 0.0007*$B23 - dis_BMI*($C23-21.75)))*AO23</f>
        <v>1.9602501456155991E-5</v>
      </c>
      <c r="BT23">
        <f>(0.93*0.943*(0.9442 - 0.0007*$B23 - dis_BMI*($C23-21.75))-0.19*0.5)*AP23</f>
        <v>3.0146238125245771E-5</v>
      </c>
      <c r="BU23">
        <f>(0.93*0.943*(0.9442 - 0.0007*$B23 - dis_BMI*($C23-21.75)))*AQ23</f>
        <v>1.30977957779677E-4</v>
      </c>
      <c r="BV23">
        <f>0.962*(0.9442 - 0.0007*$B23 - dis_BMI*($C23-21.75))*AR23</f>
        <v>0.17834903949246694</v>
      </c>
      <c r="BW23">
        <f>0.962*0.959*(0.9442 - 0.0007*$B23 - dis_BMI*($C23-21.75))*AS23</f>
        <v>3.0581757684544821E-2</v>
      </c>
      <c r="BX23">
        <f>0.962*(0.943*(0.9442 - 0.0007*$B23 - dis_BMI*($C23-21.75)) - 0.19*0.5)*AT23</f>
        <v>2.0593419709336157E-3</v>
      </c>
      <c r="BY23">
        <f>0.962*(0.943*(0.9442 - 0.0007*$B23 - dis_BMI*($C23-21.75)))*AU23</f>
        <v>8.9503291966729487E-3</v>
      </c>
      <c r="BZ23">
        <f>0.962*(0.955*(0.9442 - 0.0007*$B23 - dis_BMI*($C23-21.75)) - 0.15*0.5)*AV23</f>
        <v>1.2104637272136259E-3</v>
      </c>
      <c r="CA23">
        <f>0.962*(0.955*(0.9442 - 0.0007*$B23 - dis_BMI*($C23-21.75)))*AW23</f>
        <v>6.4666433241037952E-3</v>
      </c>
      <c r="CB23">
        <f>0.962*(0.955*0.943*(0.9442 - 0.0007*$B23 - dis_BMI*($C23-21.75)) - 0.19*0.5)*AX23</f>
        <v>6.8952803060759045E-5</v>
      </c>
      <c r="CC23">
        <f>0.962*(0.955*0.943*(0.9442 - 0.0007*$B23 - dis_BMI*($C23-21.75)) - 0.15*0.5)*AY23</f>
        <v>5.89458851289769E-5</v>
      </c>
      <c r="CD23">
        <f>0.962*(0.955*0.943*(0.9442 - 0.0007*$B23 - dis_BMI*($C23-21.75)))*AZ23</f>
        <v>2.5080486810595369E-4</v>
      </c>
      <c r="CE23">
        <f>0.962*(0.93*(0.9442 - 0.0007*$B23 - dis_BMI*($C23-21.75)))*BA23</f>
        <v>5.0734504553823234E-4</v>
      </c>
      <c r="CF23">
        <f>0.962*(0.93*(0.9442 - 0.0007*$B23 - dis_BMI*($C23-21.75)))*BB23</f>
        <v>3.9499640711674073E-3</v>
      </c>
      <c r="CG23">
        <f>0.962*(0.93*0.943*(0.9442 - 0.0007*$B23 - dis_BMI*($C23-21.75)))*BC23</f>
        <v>2.442656144431404E-5</v>
      </c>
      <c r="CH23">
        <f>0.962*(0.93*0.943*(0.9442 - 0.0007*$B23 - dis_BMI*($C23-21.75))-0.19*0.5)*BD23</f>
        <v>3.6520283019698344E-5</v>
      </c>
      <c r="CI23">
        <f>0.962*(0.93*0.943*(0.9442 - 0.0007*$B23 - dis_BMI*($C23-21.75)))*BE23</f>
        <v>1.4695019745924052E-4</v>
      </c>
      <c r="CJ23">
        <f t="shared" si="18"/>
        <v>0</v>
      </c>
      <c r="CK23">
        <f t="shared" si="19"/>
        <v>0.70023820493133349</v>
      </c>
      <c r="CL23">
        <f>CK23/(1+r_)^A23</f>
        <v>0.38770491622544145</v>
      </c>
      <c r="CM23">
        <f>AD23*c_SEM</f>
        <v>6214.1669093347509</v>
      </c>
      <c r="CN23">
        <f>AE23*(c_Other+c_SEM)</f>
        <v>1440.6340171391091</v>
      </c>
      <c r="CO23">
        <f>AF23*(c_Stroke1+c_Stroke2+c_SEM)</f>
        <v>134.40045816372694</v>
      </c>
      <c r="CP23">
        <f>AG23*(c_Stroke2 + c_SEM)</f>
        <v>300.26633412867466</v>
      </c>
      <c r="CQ23">
        <f>AH23*(c_MI1+c_MI2 + c_SEM)</f>
        <v>83.55671909397239</v>
      </c>
      <c r="CR23">
        <f>AI23*(c_MI2+c_SEM)</f>
        <v>174.38763765715197</v>
      </c>
      <c r="CS23">
        <f>AJ23*(c_Stroke1+c_Stroke2+c_MI2+c_SEM)</f>
        <v>3.2218255300028158</v>
      </c>
      <c r="CT23">
        <f>AK23*(c_Stroke2+c_MI1+c_MI2+c_SEM)</f>
        <v>3.2086393085163993</v>
      </c>
      <c r="CU23">
        <f>AL23*(c_Stroke2+c_MI2+c_SEM)</f>
        <v>6.358470582996687</v>
      </c>
      <c r="CV23">
        <f>AM23*(c_HF1+c_SEM)</f>
        <v>32.330730934294557</v>
      </c>
      <c r="CW23">
        <f>AN23*(c_HF2+c_SEM)</f>
        <v>201.24656172951472</v>
      </c>
      <c r="CX23">
        <f>AO23*(c_Stroke2+c_HF1+c_SEM)</f>
        <v>1.2222062709334702</v>
      </c>
      <c r="CY23">
        <f>AP23*(c_Stroke1+c_Stroke2+c_HF2+c_SEM)</f>
        <v>2.4182597078528119</v>
      </c>
      <c r="CZ23">
        <f>AQ23*(c_Stroke2+c_HF2+c_SEM)</f>
        <v>6.1875094639113932</v>
      </c>
      <c r="DA23">
        <f>AR23*(c_DM+c_SEM)</f>
        <v>5384.5130710486965</v>
      </c>
      <c r="DB23">
        <f>AS23*(c_Other+c_DM+c_SEM)</f>
        <v>1511.7108906033711</v>
      </c>
      <c r="DC23">
        <f>AT23*(c_Stroke1+c_Stroke2+c_DM+c_SEM)</f>
        <v>145.64958456246862</v>
      </c>
      <c r="DD23">
        <f>AU23*(c_Stroke2+c_DM+c_SEM)</f>
        <v>360.92720604650873</v>
      </c>
      <c r="DE23">
        <f>AV23*(c_MI1+c_MI2+c_DM+c_SEM)</f>
        <v>91.109400198674052</v>
      </c>
      <c r="DF23">
        <f>AW23*(c_MI2+c_DM+c_SEM)</f>
        <v>229.87804431291789</v>
      </c>
      <c r="DG23">
        <f>AX23*(c_Stroke1+c_Stroke2+c_MI2+c_DM+c_SEM)</f>
        <v>5.4664242767124298</v>
      </c>
      <c r="DH23">
        <f>AY23*(c_Stroke2+c_MI1+c_MI2+c_DM+c_SEM)</f>
        <v>5.3013477720271434</v>
      </c>
      <c r="DI23">
        <f>AZ23*(c_Stroke2+c_MI2+c_DM+c_SEM)</f>
        <v>11.63693914536162</v>
      </c>
      <c r="DJ23">
        <f>BA23*(c_HF1+c_DM+c_SEM)</f>
        <v>34.246987960715586</v>
      </c>
      <c r="DK23">
        <f>BB23*(c_HF2+c_DM+c_SEM)</f>
        <v>208.13191777837412</v>
      </c>
      <c r="DL23">
        <f>BC23*(c_Stroke2+c_HF1+c_DM+c_SEM)</f>
        <v>1.9667740499526689</v>
      </c>
      <c r="DM23">
        <f>BD23*(c_Stroke1+c_Stroke2+c_HF2+c_DM+c_SEM)</f>
        <v>3.7012702784771014</v>
      </c>
      <c r="DN23">
        <f>BE23*(c_Stroke2+c_HF2+c_DM+c_SEM)</f>
        <v>9.5241914075460805</v>
      </c>
      <c r="DO23">
        <f t="shared" si="20"/>
        <v>0</v>
      </c>
      <c r="DP23">
        <f t="shared" si="39"/>
        <v>16607.37032848721</v>
      </c>
      <c r="DQ23">
        <f>DP23/(1+r_)^A23</f>
        <v>9195.0982916769171</v>
      </c>
    </row>
    <row r="24" spans="1:121" x14ac:dyDescent="0.3">
      <c r="A24">
        <v>21</v>
      </c>
      <c r="B24">
        <v>66</v>
      </c>
      <c r="C24">
        <f t="shared" si="40"/>
        <v>32.793999999999997</v>
      </c>
      <c r="D24">
        <f t="shared" si="1"/>
        <v>125</v>
      </c>
      <c r="E24">
        <f t="shared" si="41"/>
        <v>5.4</v>
      </c>
      <c r="F24">
        <v>1.042E-2</v>
      </c>
      <c r="G24">
        <v>1.7409999999999998E-2</v>
      </c>
      <c r="H24">
        <f t="shared" si="3"/>
        <v>1.1818E-2</v>
      </c>
      <c r="I24">
        <f t="shared" si="21"/>
        <v>1.9177515277734612E-2</v>
      </c>
      <c r="J24">
        <f t="shared" si="22"/>
        <v>0.20002072452287556</v>
      </c>
      <c r="K24">
        <f t="shared" si="23"/>
        <v>0.26841868519477119</v>
      </c>
      <c r="L24">
        <f t="shared" si="24"/>
        <v>0.10025884561640419</v>
      </c>
      <c r="M24">
        <f t="shared" si="25"/>
        <v>0.13753382030039873</v>
      </c>
      <c r="N24">
        <f t="shared" si="26"/>
        <v>0.42403484308378792</v>
      </c>
      <c r="O24">
        <f t="shared" si="27"/>
        <v>0.54139107613687942</v>
      </c>
      <c r="P24">
        <f t="shared" si="28"/>
        <v>0.23767305048059162</v>
      </c>
      <c r="Q24">
        <f t="shared" si="29"/>
        <v>0.31849832985380655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1.6188511011375389E-2</v>
      </c>
      <c r="U24">
        <f t="shared" si="30"/>
        <v>0.38472474474076779</v>
      </c>
      <c r="V24">
        <f t="shared" si="31"/>
        <v>0.49348351981167915</v>
      </c>
      <c r="W24">
        <f t="shared" si="32"/>
        <v>0.20540519569335114</v>
      </c>
      <c r="X24">
        <f t="shared" si="33"/>
        <v>0.27530553857202122</v>
      </c>
      <c r="Y24">
        <f t="shared" si="34"/>
        <v>0.60890924645329803</v>
      </c>
      <c r="Z24">
        <f t="shared" si="35"/>
        <v>0.73460502703719854</v>
      </c>
      <c r="AA24">
        <f t="shared" si="36"/>
        <v>0.36984792577433778</v>
      </c>
      <c r="AB24">
        <f t="shared" si="37"/>
        <v>0.479262888504285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2.9197881109071934E-2</v>
      </c>
      <c r="AD24">
        <f t="shared" si="38"/>
        <v>0.43566068352365178</v>
      </c>
      <c r="AE24">
        <f t="shared" si="6"/>
        <v>5.3069979467420321E-2</v>
      </c>
      <c r="AF24">
        <f t="shared" si="7"/>
        <v>3.647484530149318E-3</v>
      </c>
      <c r="AG24">
        <f t="shared" si="8"/>
        <v>1.5292251489473035E-2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1.9688931895423239E-3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1.0606382731486638E-2</v>
      </c>
      <c r="AJ24">
        <f t="shared" si="11"/>
        <v>8.5301443819742678E-5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6.9966621217713583E-5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2.9550708897920571E-4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8.0589651135437482E-4</v>
      </c>
      <c r="AN24">
        <f t="shared" si="15"/>
        <v>7.3564423787527214E-3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2.7984791070234212E-5</v>
      </c>
      <c r="AP24">
        <f>AM23*T23*p_Stroke*p_Stroke_rec*(1-I23) + AN23*T23*p_Stroke*p_Stroke_rec*(1-I23) + AO23*(p_recur_Stroke*p_Stroke_rec)*(1-I23) + AP23*(p_recur_Stroke*p_Stroke_rec)*(1-I23) + AQ23*(p_recur_Stroke*p_Stroke_rec)*(1-I23)</f>
        <v>5.1340201242135199E-5</v>
      </c>
      <c r="AQ24">
        <f>AO23*(1-p_recur_Stroke-H23*rr_Stroke*rr_HF)*(1-I23) + AP23*(1-p_recur_Stroke-H23*rr_Stroke*rr_HF)*(1-I23) + AQ23*(1-p_recur_Stroke-H23*rr_Stroke*rr_HF)*(1-I23)</f>
        <v>1.9615120380174738E-4</v>
      </c>
      <c r="AR24">
        <f>AR23*(1-AC23-H23*rr_DM) + AD23*(1-T23-H23)*I23</f>
        <v>0.21473607493437705</v>
      </c>
      <c r="AS24">
        <f>AR23*AC23*p_Other + AD23*T23*p_Other*I23 + AE23*(1-T23*p_Stroke-T23*p_MI-H23*rr_Other)*I23 + AS23*(1-AC23*p_Stroke-AC23*p_MI-H23*rr_Other*rr_DM)</f>
        <v>4.1404347517120965E-2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3.1768719470137846E-3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1.2329629857383978E-2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1.7775376427208881E-3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8.7560715077049933E-3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1.1876273918519997E-4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9.8543560261587051E-5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3.820030771102217E-4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7.0042945035513038E-4</v>
      </c>
      <c r="BB24">
        <f>AM23*(1-T23*p_Stroke - H23*rr_HF)*I23 + AN23*(1-T23*p_Stroke - H23*rr_HF)*I23 + BA23*(1-AC23*p_Stroke - H23*rr_HF*rr_DM) + BB23*(1-AC23*p_Stroke - H23*rr_HF*rr_DM)</f>
        <v>5.7510194616563187E-3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3.812900696454259E-5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6.7847776639985181E-5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2.405115901229926E-4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0.13928795475942116</v>
      </c>
      <c r="BG24">
        <f t="shared" si="17"/>
        <v>0.95800000000000007</v>
      </c>
      <c r="BH24">
        <f>(0.9442 - 0.0007*$B24 - dis_BMI*($C24-21.75))*AD24</f>
        <v>0.37534555306108314</v>
      </c>
      <c r="BI24">
        <f>0.959*(0.9442 - 0.0007*$B24 - dis_BMI*($C24-21.75))*AE24</f>
        <v>4.3848065028669066E-2</v>
      </c>
      <c r="BJ24">
        <f>(0.943*(0.9442 - 0.0007*$B24 - dis_BMI*($C24-21.75)) - 0.19*0.5)*AF24</f>
        <v>2.6168738296337788E-3</v>
      </c>
      <c r="BK24">
        <f>(0.943*(0.9442 - 0.0007*$B24 - dis_BMI*($C24-21.75)))*AG24</f>
        <v>1.2424131251169573E-2</v>
      </c>
      <c r="BL24">
        <f>(0.955*(0.9442 - 0.0007*$B24 - dis_BMI*($C24-21.75)) - 0.15*0.5)*AH24</f>
        <v>1.4723084669056373E-3</v>
      </c>
      <c r="BM24">
        <f>(0.955*(0.9442 - 0.0007*$B24 - dis_BMI*($C24-21.75)))*AI24</f>
        <v>8.7267708550666998E-3</v>
      </c>
      <c r="BN24">
        <f>(0.955*0.943*(0.9442 - 0.0007*$B24 - dis_BMI*($C24-21.75)) - 0.19*0.5)*AJ24</f>
        <v>5.8080567275600076E-5</v>
      </c>
      <c r="BO24">
        <f>(0.955*0.943*(0.9442 - 0.0007*$B24 - dis_BMI*($C24-21.75)) - 0.15*0.5)*AK24</f>
        <v>4.903863216785186E-5</v>
      </c>
      <c r="BP24">
        <f>(0.955*0.943*(0.9442 - 0.0007*$B24 - dis_BMI*($C24-21.75)))*AL24</f>
        <v>2.2927984233593899E-4</v>
      </c>
      <c r="BQ24">
        <f>(0.93*(0.9442 - 0.0007*$B24 - dis_BMI*($C24-21.75)))*AM24</f>
        <v>6.4572132712437309E-4</v>
      </c>
      <c r="BR24">
        <f>(0.93*(0.9442 - 0.0007*$B24 - dis_BMI*($C24-21.75)))*AN24</f>
        <v>5.8943197653741784E-3</v>
      </c>
      <c r="BS24">
        <f>(0.93*0.943*(0.9442 - 0.0007*$B24 - dis_BMI*($C24-21.75)))*AO24</f>
        <v>2.1144606947199127E-5</v>
      </c>
      <c r="BT24">
        <f>(0.93*0.943*(0.9442 - 0.0007*$B24 - dis_BMI*($C24-21.75))-0.19*0.5)*AP24</f>
        <v>3.3914050563141884E-5</v>
      </c>
      <c r="BU24">
        <f>(0.93*0.943*(0.9442 - 0.0007*$B24 - dis_BMI*($C24-21.75)))*AQ24</f>
        <v>1.4820693483823776E-4</v>
      </c>
      <c r="BV24">
        <f>0.962*(0.9442 - 0.0007*$B24 - dis_BMI*($C24-21.75))*AR24</f>
        <v>0.17797663404134309</v>
      </c>
      <c r="BW24">
        <f>0.962*0.959*(0.9442 - 0.0007*$B24 - dis_BMI*($C24-21.75))*AS24</f>
        <v>3.2909594465196729E-2</v>
      </c>
      <c r="BX24">
        <f>0.962*(0.943*(0.9442 - 0.0007*$B24 - dis_BMI*($C24-21.75)) - 0.19*0.5)*AT24</f>
        <v>2.1926237153081598E-3</v>
      </c>
      <c r="BY24">
        <f>0.962*(0.943*(0.9442 - 0.0007*$B24 - dis_BMI*($C24-21.75)))*AU24</f>
        <v>9.6365085299646523E-3</v>
      </c>
      <c r="BZ24">
        <f>0.962*(0.955*(0.9442 - 0.0007*$B24 - dis_BMI*($C24-21.75)) - 0.15*0.5)*AV24</f>
        <v>1.2787054948293407E-3</v>
      </c>
      <c r="CA24">
        <f>0.962*(0.955*(0.9442 - 0.0007*$B24 - dis_BMI*($C24-21.75)))*AW24</f>
        <v>6.9305970539647339E-3</v>
      </c>
      <c r="CB24">
        <f>0.962*(0.955*0.943*(0.9442 - 0.0007*$B24 - dis_BMI*($C24-21.75)) - 0.19*0.5)*AX24</f>
        <v>7.7791069997665E-5</v>
      </c>
      <c r="CC24">
        <f>0.962*(0.955*0.943*(0.9442 - 0.0007*$B24 - dis_BMI*($C24-21.75)) - 0.15*0.5)*AY24</f>
        <v>6.644323464404737E-5</v>
      </c>
      <c r="CD24">
        <f>0.962*(0.955*0.943*(0.9442 - 0.0007*$B24 - dis_BMI*($C24-21.75)))*AZ24</f>
        <v>2.8512802376974637E-4</v>
      </c>
      <c r="CE24">
        <f>0.962*(0.93*(0.9442 - 0.0007*$B24 - dis_BMI*($C24-21.75)))*BA24</f>
        <v>5.3989005189756275E-4</v>
      </c>
      <c r="CF24">
        <f>0.962*(0.93*(0.9442 - 0.0007*$B24 - dis_BMI*($C24-21.75)))*BB24</f>
        <v>4.4328778495011508E-3</v>
      </c>
      <c r="CG24">
        <f>0.962*(0.93*0.943*(0.9442 - 0.0007*$B24 - dis_BMI*($C24-21.75)))*BC24</f>
        <v>2.7714568056440868E-5</v>
      </c>
      <c r="CH24">
        <f>0.962*(0.93*0.943*(0.9442 - 0.0007*$B24 - dis_BMI*($C24-21.75))-0.19*0.5)*BD24</f>
        <v>4.3115436690206399E-5</v>
      </c>
      <c r="CI24">
        <f>0.962*(0.93*0.943*(0.9442 - 0.0007*$B24 - dis_BMI*($C24-21.75)))*BE24</f>
        <v>1.7481899906349828E-4</v>
      </c>
      <c r="CJ24">
        <f t="shared" si="18"/>
        <v>0</v>
      </c>
      <c r="CK24">
        <f t="shared" si="19"/>
        <v>0.68808585075338136</v>
      </c>
      <c r="CL24">
        <f>CK24/(1+r_)^A24</f>
        <v>0.36988005083575182</v>
      </c>
      <c r="CM24">
        <f>AD24*c_SEM</f>
        <v>5932.8271882250901</v>
      </c>
      <c r="CN24">
        <f>AE24*(c_Other+c_SEM)</f>
        <v>1480.4932172026247</v>
      </c>
      <c r="CO24">
        <f>AF24*(c_Stroke1+c_Stroke2+c_SEM)</f>
        <v>136.53993590160957</v>
      </c>
      <c r="CP24">
        <f>AG24*(c_Stroke2 + c_SEM)</f>
        <v>307.64951546521854</v>
      </c>
      <c r="CQ24">
        <f>AH24*(c_MI1+c_MI2 + c_SEM)</f>
        <v>84.207592823535649</v>
      </c>
      <c r="CR24">
        <f>AI24*(c_MI2+c_SEM)</f>
        <v>177.49781501142888</v>
      </c>
      <c r="CS24">
        <f>AJ24*(c_Stroke1+c_Stroke2+c_MI2+c_SEM)</f>
        <v>3.4590588483343852</v>
      </c>
      <c r="CT24">
        <f>AK24*(c_Stroke2+c_MI1+c_MI2+c_SEM)</f>
        <v>3.4471854607755303</v>
      </c>
      <c r="CU24">
        <f>AL24*(c_Stroke2+c_MI2+c_SEM)</f>
        <v>6.866107212431845</v>
      </c>
      <c r="CV24">
        <f>AM24*(c_HF1+c_SEM)</f>
        <v>32.758081393532628</v>
      </c>
      <c r="CW24">
        <f>AN24*(c_HF2+c_SEM)</f>
        <v>214.97731563429079</v>
      </c>
      <c r="CX24">
        <f>AO24*(c_Stroke2+c_HF1+c_SEM)</f>
        <v>1.3194269293794025</v>
      </c>
      <c r="CY24">
        <f>AP24*(c_Stroke1+c_Stroke2+c_HF2+c_SEM)</f>
        <v>2.7230329336816088</v>
      </c>
      <c r="CZ24">
        <f>AQ24*(c_Stroke2+c_HF2+c_SEM)</f>
        <v>7.0071094534098215</v>
      </c>
      <c r="DA24">
        <f>AR24*(c_DM+c_SEM)</f>
        <v>5377.6355245816048</v>
      </c>
      <c r="DB24">
        <f>AS24*(c_Other+c_DM+c_SEM)</f>
        <v>1628.1017530682307</v>
      </c>
      <c r="DC24">
        <f>AT24*(c_Stroke1+c_Stroke2+c_DM+c_SEM)</f>
        <v>155.21878645914651</v>
      </c>
      <c r="DD24">
        <f>AU24*(c_Stroke2+c_DM+c_SEM)</f>
        <v>388.91351459146284</v>
      </c>
      <c r="DE24">
        <f>AV24*(c_MI1+c_MI2+c_DM+c_SEM)</f>
        <v>96.331875009615814</v>
      </c>
      <c r="DF24">
        <f>AW24*(c_MI2+c_DM+c_SEM)</f>
        <v>246.57097365697263</v>
      </c>
      <c r="DG24">
        <f>AX24*(c_Stroke1+c_Stroke2+c_MI2+c_DM+c_SEM)</f>
        <v>6.1728121318899536</v>
      </c>
      <c r="DH24">
        <f>AY24*(c_Stroke2+c_MI1+c_MI2+c_DM+c_SEM)</f>
        <v>5.9810028465167644</v>
      </c>
      <c r="DI24">
        <f>AZ24*(c_Stroke2+c_MI2+c_DM+c_SEM)</f>
        <v>13.240226652640285</v>
      </c>
      <c r="DJ24">
        <f>BA24*(c_HF1+c_DM+c_SEM)</f>
        <v>36.473462768342706</v>
      </c>
      <c r="DK24">
        <f>BB24*(c_HF2+c_DM+c_SEM)</f>
        <v>233.76743907740604</v>
      </c>
      <c r="DL24">
        <f>BC24*(c_Stroke2+c_HF1+c_DM+c_SEM)</f>
        <v>2.233330324934153</v>
      </c>
      <c r="DM24">
        <f>BD24*(c_Stroke1+c_Stroke2+c_HF2+c_DM+c_SEM)</f>
        <v>4.3737390733200048</v>
      </c>
      <c r="DN24">
        <f>BE24*(c_Stroke2+c_HF2+c_DM+c_SEM)</f>
        <v>11.339640451118855</v>
      </c>
      <c r="DO24">
        <f t="shared" si="20"/>
        <v>0</v>
      </c>
      <c r="DP24">
        <f t="shared" si="39"/>
        <v>16598.126663188541</v>
      </c>
      <c r="DQ24">
        <f>DP24/(1+r_)^A24</f>
        <v>8922.3109692439139</v>
      </c>
    </row>
    <row r="25" spans="1:121" x14ac:dyDescent="0.3">
      <c r="A25">
        <v>22</v>
      </c>
      <c r="B25">
        <v>67</v>
      </c>
      <c r="C25">
        <f t="shared" si="40"/>
        <v>32.793999999999997</v>
      </c>
      <c r="D25">
        <f t="shared" si="1"/>
        <v>125</v>
      </c>
      <c r="E25">
        <f t="shared" si="41"/>
        <v>5.4</v>
      </c>
      <c r="F25">
        <v>1.125E-2</v>
      </c>
      <c r="G25">
        <v>1.8259999999999998E-2</v>
      </c>
      <c r="H25">
        <f t="shared" si="3"/>
        <v>1.2651999999999998E-2</v>
      </c>
      <c r="I25">
        <f t="shared" si="21"/>
        <v>1.9177515277734612E-2</v>
      </c>
      <c r="J25">
        <f t="shared" si="22"/>
        <v>0.20744293036425476</v>
      </c>
      <c r="K25">
        <f t="shared" si="23"/>
        <v>0.27790698031013028</v>
      </c>
      <c r="L25">
        <f t="shared" si="24"/>
        <v>0.10422038254936716</v>
      </c>
      <c r="M25">
        <f t="shared" si="25"/>
        <v>0.14284737585865115</v>
      </c>
      <c r="N25">
        <f t="shared" si="26"/>
        <v>0.43906443618622215</v>
      </c>
      <c r="O25">
        <f t="shared" si="27"/>
        <v>0.55820904918928771</v>
      </c>
      <c r="P25">
        <f t="shared" si="28"/>
        <v>0.24752377406199211</v>
      </c>
      <c r="Q25">
        <f t="shared" si="29"/>
        <v>0.33090825635969434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1.6806692332447373E-2</v>
      </c>
      <c r="U25">
        <f t="shared" si="30"/>
        <v>0.39708049265781531</v>
      </c>
      <c r="V25">
        <f t="shared" si="31"/>
        <v>0.50767136968727744</v>
      </c>
      <c r="W25">
        <f t="shared" si="32"/>
        <v>0.21299947270891029</v>
      </c>
      <c r="X25">
        <f t="shared" si="33"/>
        <v>0.2849870360951976</v>
      </c>
      <c r="Y25">
        <f t="shared" si="34"/>
        <v>0.62611583863529963</v>
      </c>
      <c r="Z25">
        <f t="shared" si="35"/>
        <v>0.75095248653918301</v>
      </c>
      <c r="AA25">
        <f t="shared" si="36"/>
        <v>0.38364119901381633</v>
      </c>
      <c r="AB25">
        <f t="shared" si="37"/>
        <v>0.49529546467473362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3.0189000713206897E-2</v>
      </c>
      <c r="AD25">
        <f t="shared" si="38"/>
        <v>0.41533844968151729</v>
      </c>
      <c r="AE25">
        <f t="shared" si="6"/>
        <v>5.430884082844508E-2</v>
      </c>
      <c r="AF25">
        <f t="shared" si="7"/>
        <v>3.6928832933806549E-3</v>
      </c>
      <c r="AG25">
        <f t="shared" si="8"/>
        <v>1.5594025157990354E-2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1.9795137625470312E-3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1.0761565753337074E-2</v>
      </c>
      <c r="AJ25">
        <f t="shared" si="11"/>
        <v>9.1061565717430977E-5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7.4705609727944726E-5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3.16766656662278E-4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8.1432767890751018E-4</v>
      </c>
      <c r="AN25">
        <f t="shared" si="15"/>
        <v>7.8038020857346211E-3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3.0008326083791809E-5</v>
      </c>
      <c r="AP25">
        <f>AM24*T24*p_Stroke*p_Stroke_rec*(1-I24) + AN24*T24*p_Stroke*p_Stroke_rec*(1-I24) + AO24*(p_recur_Stroke*p_Stroke_rec)*(1-I24) + AP24*(p_recur_Stroke*p_Stroke_rec)*(1-I24) + AQ24*(p_recur_Stroke*p_Stroke_rec)*(1-I24)</f>
        <v>5.7253132640739797E-5</v>
      </c>
      <c r="AQ25">
        <f>AO24*(1-p_recur_Stroke-H24*rr_Stroke*rr_HF)*(1-I24) + AP24*(1-p_recur_Stroke-H24*rr_Stroke*rr_HF)*(1-I24) + AQ24*(1-p_recur_Stroke-H24*rr_Stroke*rr_HF)*(1-I24)</f>
        <v>2.1957999455408155E-4</v>
      </c>
      <c r="AR25">
        <f>AR24*(1-AC24-H24*rr_DM) + AD24*(1-T24-H24)*I24</f>
        <v>0.2136687210868097</v>
      </c>
      <c r="AS25">
        <f>AR24*AC24*p_Other + AD24*T24*p_Other*I24 + AE24*(1-T24*p_Stroke-T24*p_MI-H24*rr_Other)*I24 + AS24*(1-AC24*p_Stroke-AC24*p_MI-H24*rr_Other*rr_DM)</f>
        <v>4.4301460961698416E-2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3.3666279467981499E-3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1.3191387575556794E-2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1.8707192516685006E-3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9.3400121655387996E-3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1.3302373362631778E-4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1.102210830400918E-4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4.3031795979994031E-4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7.4224691183343678E-4</v>
      </c>
      <c r="BB25">
        <f>AM24*(1-T24*p_Stroke - H24*rr_HF)*I24 + AN24*(1-T24*p_Stroke - H24*rr_HF)*I24 + BA24*(1-AC24*p_Stroke - H24*rr_HF*rr_DM) + BB24*(1-AC24*p_Stroke - H24*rr_HF*rr_DM)</f>
        <v>6.4011307691096177E-3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4.2899059946847403E-5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7.9230561248081334E-5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2.823777023461064E-4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0.15295683970373339</v>
      </c>
      <c r="BG25">
        <f t="shared" si="17"/>
        <v>0.95799999999999996</v>
      </c>
      <c r="BH25">
        <f>(0.9442 - 0.0007*$B25 - dis_BMI*($C25-21.75))*AD25</f>
        <v>0.35754609803289261</v>
      </c>
      <c r="BI25">
        <f>0.959*(0.9442 - 0.0007*$B25 - dis_BMI*($C25-21.75))*AE25</f>
        <v>4.4835193230909204E-2</v>
      </c>
      <c r="BJ25">
        <f>(0.943*(0.9442 - 0.0007*$B25 - dis_BMI*($C25-21.75)) - 0.19*0.5)*AF25</f>
        <v>2.64700732646543E-3</v>
      </c>
      <c r="BK25">
        <f>(0.943*(0.9442 - 0.0007*$B25 - dis_BMI*($C25-21.75)))*AG25</f>
        <v>1.265901249828788E-2</v>
      </c>
      <c r="BL25">
        <f>(0.955*(0.9442 - 0.0007*$B25 - dis_BMI*($C25-21.75)) - 0.15*0.5)*AH25</f>
        <v>1.4789270653766844E-3</v>
      </c>
      <c r="BM25">
        <f>(0.955*(0.9442 - 0.0007*$B25 - dis_BMI*($C25-21.75)))*AI25</f>
        <v>8.8472589852334228E-3</v>
      </c>
      <c r="BN25">
        <f>(0.955*0.943*(0.9442 - 0.0007*$B25 - dis_BMI*($C25-21.75)) - 0.19*0.5)*AJ25</f>
        <v>6.1945149399931368E-5</v>
      </c>
      <c r="BO25">
        <f>(0.955*0.943*(0.9442 - 0.0007*$B25 - dis_BMI*($C25-21.75)) - 0.15*0.5)*AK25</f>
        <v>5.2313029255246763E-5</v>
      </c>
      <c r="BP25">
        <f>(0.955*0.943*(0.9442 - 0.0007*$B25 - dis_BMI*($C25-21.75)))*AL25</f>
        <v>2.4557515708563681E-4</v>
      </c>
      <c r="BQ25">
        <f>(0.93*(0.9442 - 0.0007*$B25 - dis_BMI*($C25-21.75)))*AM25</f>
        <v>6.5194663877916176E-4</v>
      </c>
      <c r="BR25">
        <f>(0.93*(0.9442 - 0.0007*$B25 - dis_BMI*($C25-21.75)))*AN25</f>
        <v>6.2476846498918347E-3</v>
      </c>
      <c r="BS25">
        <f>(0.93*0.943*(0.9442 - 0.0007*$B25 - dis_BMI*($C25-21.75)))*AO25</f>
        <v>2.2655117400530614E-5</v>
      </c>
      <c r="BT25">
        <f>(0.93*0.943*(0.9442 - 0.0007*$B25 - dis_BMI*($C25-21.75))-0.19*0.5)*AP25</f>
        <v>3.7784837593602213E-5</v>
      </c>
      <c r="BU25">
        <f>(0.93*0.943*(0.9442 - 0.0007*$B25 - dis_BMI*($C25-21.75)))*AQ25</f>
        <v>1.6577434347854185E-4</v>
      </c>
      <c r="BV25">
        <f>0.962*(0.9442 - 0.0007*$B25 - dis_BMI*($C25-21.75))*AR25</f>
        <v>0.17694810987945858</v>
      </c>
      <c r="BW25">
        <f>0.962*0.959*(0.9442 - 0.0007*$B25 - dis_BMI*($C25-21.75))*AS25</f>
        <v>3.5183710057177485E-2</v>
      </c>
      <c r="BX25">
        <f>0.962*(0.943*(0.9442 - 0.0007*$B25 - dis_BMI*($C25-21.75)) - 0.19*0.5)*AT25</f>
        <v>2.3214522592900403E-3</v>
      </c>
      <c r="BY25">
        <f>0.962*(0.943*(0.9442 - 0.0007*$B25 - dis_BMI*($C25-21.75)))*AU25</f>
        <v>1.0301658541268105E-2</v>
      </c>
      <c r="BZ25">
        <f>0.962*(0.955*(0.9442 - 0.0007*$B25 - dis_BMI*($C25-21.75)) - 0.15*0.5)*AV25</f>
        <v>1.3445344026983012E-3</v>
      </c>
      <c r="CA25">
        <f>0.962*(0.955*(0.9442 - 0.0007*$B25 - dis_BMI*($C25-21.75)))*AW25</f>
        <v>7.3867906517283283E-3</v>
      </c>
      <c r="CB25">
        <f>0.962*(0.955*0.943*(0.9442 - 0.0007*$B25 - dis_BMI*($C25-21.75)) - 0.19*0.5)*AX25</f>
        <v>8.705152759831381E-5</v>
      </c>
      <c r="CC25">
        <f>0.962*(0.955*0.943*(0.9442 - 0.0007*$B25 - dis_BMI*($C25-21.75)) - 0.15*0.5)*AY25</f>
        <v>7.4249990190024498E-5</v>
      </c>
      <c r="CD25">
        <f>0.962*(0.955*0.943*(0.9442 - 0.0007*$B25 - dis_BMI*($C25-21.75)))*AZ25</f>
        <v>3.2092940722984508E-4</v>
      </c>
      <c r="CE25">
        <f>0.962*(0.93*(0.9442 - 0.0007*$B25 - dis_BMI*($C25-21.75)))*BA25</f>
        <v>5.7165805235138219E-4</v>
      </c>
      <c r="CF25">
        <f>0.962*(0.93*(0.9442 - 0.0007*$B25 - dis_BMI*($C25-21.75)))*BB25</f>
        <v>4.9299739614637314E-3</v>
      </c>
      <c r="CG25">
        <f>0.962*(0.93*0.943*(0.9442 - 0.0007*$B25 - dis_BMI*($C25-21.75)))*BC25</f>
        <v>3.1156408849923316E-5</v>
      </c>
      <c r="CH25">
        <f>0.962*(0.93*0.943*(0.9442 - 0.0007*$B25 - dis_BMI*($C25-21.75))-0.19*0.5)*BD25</f>
        <v>5.0302099266608124E-5</v>
      </c>
      <c r="CI25">
        <f>0.962*(0.93*0.943*(0.9442 - 0.0007*$B25 - dis_BMI*($C25-21.75)))*BE25</f>
        <v>2.0508316861250444E-4</v>
      </c>
      <c r="CJ25">
        <f t="shared" si="18"/>
        <v>0</v>
      </c>
      <c r="CK25">
        <f t="shared" si="19"/>
        <v>0.67525583646923271</v>
      </c>
      <c r="CL25">
        <f>CK25/(1+r_)^A25</f>
        <v>0.35241095723049004</v>
      </c>
      <c r="CM25">
        <f>AD25*c_SEM</f>
        <v>5656.0790077629026</v>
      </c>
      <c r="CN25">
        <f>AE25*(c_Other+c_SEM)</f>
        <v>1515.0537325911323</v>
      </c>
      <c r="CO25">
        <f>AF25*(c_Stroke1+c_Stroke2+c_SEM)</f>
        <v>138.23939320441144</v>
      </c>
      <c r="CP25">
        <f>AG25*(c_Stroke2 + c_SEM)</f>
        <v>313.72059812844992</v>
      </c>
      <c r="CQ25">
        <f>AH25*(c_MI1+c_MI2 + c_SEM)</f>
        <v>84.661824110373971</v>
      </c>
      <c r="CR25">
        <f>AI25*(c_MI2+c_SEM)</f>
        <v>180.09480288209593</v>
      </c>
      <c r="CS25">
        <f>AJ25*(c_Stroke1+c_Stroke2+c_MI2+c_SEM)</f>
        <v>3.6926375514075436</v>
      </c>
      <c r="CT25">
        <f>AK25*(c_Stroke2+c_MI1+c_MI2+c_SEM)</f>
        <v>3.6806706856861089</v>
      </c>
      <c r="CU25">
        <f>AL25*(c_Stroke2+c_MI2+c_SEM)</f>
        <v>7.3600732675480298</v>
      </c>
      <c r="CV25">
        <f>AM25*(c_HF1+c_SEM)</f>
        <v>33.100791492232474</v>
      </c>
      <c r="CW25">
        <f>AN25*(c_HF2+c_SEM)</f>
        <v>228.05050835142282</v>
      </c>
      <c r="CX25">
        <f>AO25*(c_Stroke2+c_HF1+c_SEM)</f>
        <v>1.4148325581986163</v>
      </c>
      <c r="CY25">
        <f>AP25*(c_Stroke1+c_Stroke2+c_HF2+c_SEM)</f>
        <v>3.0366489021321983</v>
      </c>
      <c r="CZ25">
        <f>AQ25*(c_Stroke2+c_HF2+c_SEM)</f>
        <v>7.8440561454554549</v>
      </c>
      <c r="DA25">
        <f>AR25*(c_DM+c_SEM)</f>
        <v>5350.9057821769757</v>
      </c>
      <c r="DB25">
        <f>AS25*(c_Other+c_DM+c_SEM)</f>
        <v>1742.0220479359052</v>
      </c>
      <c r="DC25">
        <f>AT25*(c_Stroke1+c_Stroke2+c_DM+c_SEM)</f>
        <v>164.4900748526108</v>
      </c>
      <c r="DD25">
        <f>AU25*(c_Stroke2+c_DM+c_SEM)</f>
        <v>416.09593829578796</v>
      </c>
      <c r="DE25">
        <f>AV25*(c_MI1+c_MI2+c_DM+c_SEM)</f>
        <v>101.38175912492272</v>
      </c>
      <c r="DF25">
        <f>AW25*(c_MI2+c_DM+c_SEM)</f>
        <v>263.01474258157259</v>
      </c>
      <c r="DG25">
        <f>AX25*(c_Stroke1+c_Stroke2+c_MI2+c_DM+c_SEM)</f>
        <v>6.9140415789614931</v>
      </c>
      <c r="DH25">
        <f>AY25*(c_Stroke2+c_MI1+c_MI2+c_DM+c_SEM)</f>
        <v>6.6897584140353317</v>
      </c>
      <c r="DI25">
        <f>AZ25*(c_Stroke2+c_MI2+c_DM+c_SEM)</f>
        <v>14.914820486665931</v>
      </c>
      <c r="DJ25">
        <f>BA25*(c_HF1+c_DM+c_SEM)</f>
        <v>38.651023439902552</v>
      </c>
      <c r="DK25">
        <f>BB25*(c_HF2+c_DM+c_SEM)</f>
        <v>260.19316350276773</v>
      </c>
      <c r="DL25">
        <f>BC25*(c_Stroke2+c_HF1+c_DM+c_SEM)</f>
        <v>2.5127266382666931</v>
      </c>
      <c r="DM25">
        <f>BD25*(c_Stroke1+c_Stroke2+c_HF2+c_DM+c_SEM)</f>
        <v>5.1075189002963155</v>
      </c>
      <c r="DN25">
        <f>BE25*(c_Stroke2+c_HF2+c_DM+c_SEM)</f>
        <v>13.313543910214225</v>
      </c>
      <c r="DO25">
        <f t="shared" si="20"/>
        <v>0</v>
      </c>
      <c r="DP25">
        <f t="shared" si="39"/>
        <v>16562.236519472332</v>
      </c>
      <c r="DQ25">
        <f>DP25/(1+r_)^A25</f>
        <v>8643.7070373563038</v>
      </c>
    </row>
    <row r="26" spans="1:121" x14ac:dyDescent="0.3">
      <c r="A26">
        <v>23</v>
      </c>
      <c r="B26">
        <v>68</v>
      </c>
      <c r="C26">
        <f t="shared" si="40"/>
        <v>32.793999999999997</v>
      </c>
      <c r="D26">
        <f t="shared" si="1"/>
        <v>125</v>
      </c>
      <c r="E26">
        <f t="shared" si="41"/>
        <v>5.4</v>
      </c>
      <c r="F26">
        <v>1.205E-2</v>
      </c>
      <c r="G26">
        <v>1.9130000000000001E-2</v>
      </c>
      <c r="H26">
        <f t="shared" si="3"/>
        <v>1.3466000000000001E-2</v>
      </c>
      <c r="I26">
        <f t="shared" si="21"/>
        <v>1.9177515277734612E-2</v>
      </c>
      <c r="J26">
        <f t="shared" si="22"/>
        <v>0.21498669731624132</v>
      </c>
      <c r="K26">
        <f t="shared" si="23"/>
        <v>0.28751427635580318</v>
      </c>
      <c r="L26">
        <f t="shared" si="24"/>
        <v>0.10826687217467046</v>
      </c>
      <c r="M26">
        <f t="shared" si="25"/>
        <v>0.14826516969721293</v>
      </c>
      <c r="N26">
        <f t="shared" si="26"/>
        <v>0.45416444854698523</v>
      </c>
      <c r="O26">
        <f t="shared" si="27"/>
        <v>0.57491942164587817</v>
      </c>
      <c r="P26">
        <f t="shared" si="28"/>
        <v>0.25755665841366981</v>
      </c>
      <c r="Q26">
        <f t="shared" si="29"/>
        <v>0.34347888356971112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1.7434926850112074E-2</v>
      </c>
      <c r="U26">
        <f t="shared" si="30"/>
        <v>0.40949989629577166</v>
      </c>
      <c r="V26">
        <f t="shared" si="31"/>
        <v>0.52181543929859253</v>
      </c>
      <c r="W26">
        <f t="shared" si="32"/>
        <v>0.2207159238233537</v>
      </c>
      <c r="X26">
        <f t="shared" si="33"/>
        <v>0.29478603564581463</v>
      </c>
      <c r="Y26">
        <f t="shared" si="34"/>
        <v>0.64308030432946084</v>
      </c>
      <c r="Z26">
        <f t="shared" si="35"/>
        <v>0.76676856039824315</v>
      </c>
      <c r="AA26">
        <f t="shared" si="36"/>
        <v>0.39755989730333818</v>
      </c>
      <c r="AB26">
        <f t="shared" si="37"/>
        <v>0.51132430204676504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3.1187731024634888E-2</v>
      </c>
      <c r="AD26">
        <f t="shared" si="38"/>
        <v>0.39537260579635058</v>
      </c>
      <c r="AE26">
        <f t="shared" si="6"/>
        <v>5.5349616663915475E-2</v>
      </c>
      <c r="AF26">
        <f t="shared" si="7"/>
        <v>3.7266149429623736E-3</v>
      </c>
      <c r="AG26">
        <f t="shared" si="8"/>
        <v>1.5827915343643945E-2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1.9855825482283517E-3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1.0885211776139207E-2</v>
      </c>
      <c r="AJ26">
        <f t="shared" si="11"/>
        <v>9.6692213532747611E-5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7.930752275508174E-5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3.3713194356133232E-4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8.2069335208643634E-4</v>
      </c>
      <c r="AN26">
        <f t="shared" si="15"/>
        <v>8.2255397456096214E-3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3.1978195496801904E-5</v>
      </c>
      <c r="AP26">
        <f>AM25*T25*p_Stroke*p_Stroke_rec*(1-I25) + AN25*T25*p_Stroke*p_Stroke_rec*(1-I25) + AO25*(p_recur_Stroke*p_Stroke_rec)*(1-I25) + AP25*(p_recur_Stroke*p_Stroke_rec)*(1-I25) + AQ25*(p_recur_Stroke*p_Stroke_rec)*(1-I25)</f>
        <v>6.3286509274780039E-5</v>
      </c>
      <c r="AQ26">
        <f>AO25*(1-p_recur_Stroke-H25*rr_Stroke*rr_HF)*(1-I25) + AP25*(1-p_recur_Stroke-H25*rr_Stroke*rr_HF)*(1-I25) + AQ25*(1-p_recur_Stroke-H25*rr_Stroke*rr_HF)*(1-I25)</f>
        <v>2.4315116808190597E-4</v>
      </c>
      <c r="AR26">
        <f>AR25*(1-AC25-H25*rr_DM) + AD25*(1-T25-H25)*I25</f>
        <v>0.2118399550376244</v>
      </c>
      <c r="AS26">
        <f>AR25*AC25*p_Other + AD25*T25*p_Other*I25 + AE25*(1-T25*p_Stroke-T25*p_MI-H25*rr_Other)*I25 + AS25*(1-AC25*p_Stroke-AC25*p_MI-H25*rr_Other*rr_DM)</f>
        <v>4.7104893633705208E-2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3.5487810914844875E-3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1.401649082458058E-2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1.9600857329707382E-3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9.9097551259340316E-3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1.4786597219810686E-4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1.2229383923977079E-4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4.8006963488477801E-4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7.8283785667733431E-4</v>
      </c>
      <c r="BB26">
        <f>AM25*(1-T25*p_Stroke - H25*rr_HF)*I25 + AN25*(1-T25*p_Stroke - H25*rr_HF)*I25 + BA25*(1-AC25*p_Stroke - H25*rr_HF*rr_DM) + BB25*(1-AC25*p_Stroke - H25*rr_HF*rr_DM)</f>
        <v>7.0654463956840545E-3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4.7854316922953673E-5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9.1526860350483501E-5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3.2719331083829383E-4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0.16750962264526625</v>
      </c>
      <c r="BG26">
        <f t="shared" si="17"/>
        <v>0.95800000000000018</v>
      </c>
      <c r="BH26">
        <f>(0.9442 - 0.0007*$B26 - dis_BMI*($C26-21.75))*AD26</f>
        <v>0.34008164466423885</v>
      </c>
      <c r="BI26">
        <f>0.959*(0.9442 - 0.0007*$B26 - dis_BMI*($C26-21.75))*AE26</f>
        <v>4.5657259675110182E-2</v>
      </c>
      <c r="BJ26">
        <f>(0.943*(0.9442 - 0.0007*$B26 - dis_BMI*($C26-21.75)) - 0.19*0.5)*AF26</f>
        <v>2.6687257646957605E-3</v>
      </c>
      <c r="BK26">
        <f>(0.943*(0.9442 - 0.0007*$B26 - dis_BMI*($C26-21.75)))*AG26</f>
        <v>1.2838433287489737E-2</v>
      </c>
      <c r="BL26">
        <f>(0.955*(0.9442 - 0.0007*$B26 - dis_BMI*($C26-21.75)) - 0.15*0.5)*AH26</f>
        <v>1.4821337923532538E-3</v>
      </c>
      <c r="BM26">
        <f>(0.955*(0.9442 - 0.0007*$B26 - dis_BMI*($C26-21.75)))*AI26</f>
        <v>8.9416336361408458E-3</v>
      </c>
      <c r="BN26">
        <f>(0.955*0.943*(0.9442 - 0.0007*$B26 - dis_BMI*($C26-21.75)) - 0.19*0.5)*AJ26</f>
        <v>6.5714475351374963E-5</v>
      </c>
      <c r="BO26">
        <f>(0.955*0.943*(0.9442 - 0.0007*$B26 - dis_BMI*($C26-21.75)) - 0.15*0.5)*AK26</f>
        <v>5.5485549991573634E-5</v>
      </c>
      <c r="BP26">
        <f>(0.955*0.943*(0.9442 - 0.0007*$B26 - dis_BMI*($C26-21.75)))*AL26</f>
        <v>2.6115093543645869E-4</v>
      </c>
      <c r="BQ26">
        <f>(0.93*(0.9442 - 0.0007*$B26 - dis_BMI*($C26-21.75)))*AM26</f>
        <v>6.5650869329647165E-4</v>
      </c>
      <c r="BR26">
        <f>(0.93*(0.9442 - 0.0007*$B26 - dis_BMI*($C26-21.75)))*AN26</f>
        <v>6.5799708701425128E-3</v>
      </c>
      <c r="BS26">
        <f>(0.93*0.943*(0.9442 - 0.0007*$B26 - dis_BMI*($C26-21.75)))*AO26</f>
        <v>2.4122660892643787E-5</v>
      </c>
      <c r="BT26">
        <f>(0.93*0.943*(0.9442 - 0.0007*$B26 - dis_BMI*($C26-21.75))-0.19*0.5)*AP26</f>
        <v>4.1727780033357766E-5</v>
      </c>
      <c r="BU26">
        <f>(0.93*0.943*(0.9442 - 0.0007*$B26 - dis_BMI*($C26-21.75)))*AQ26</f>
        <v>1.8342039261960998E-4</v>
      </c>
      <c r="BV26">
        <f>0.962*(0.9442 - 0.0007*$B26 - dis_BMI*($C26-21.75))*AR26</f>
        <v>0.17529097829941576</v>
      </c>
      <c r="BW26">
        <f>0.962*0.959*(0.9442 - 0.0007*$B26 - dis_BMI*($C26-21.75))*AS26</f>
        <v>3.7379744099446624E-2</v>
      </c>
      <c r="BX26">
        <f>0.962*(0.943*(0.9442 - 0.0007*$B26 - dis_BMI*($C26-21.75)) - 0.19*0.5)*AT26</f>
        <v>2.4448020998507573E-3</v>
      </c>
      <c r="BY26">
        <f>0.962*(0.943*(0.9442 - 0.0007*$B26 - dis_BMI*($C26-21.75)))*AU26</f>
        <v>1.0937112493169561E-2</v>
      </c>
      <c r="BZ26">
        <f>0.962*(0.955*(0.9442 - 0.0007*$B26 - dis_BMI*($C26-21.75)) - 0.15*0.5)*AV26</f>
        <v>1.4075038833367584E-3</v>
      </c>
      <c r="CA26">
        <f>0.962*(0.955*(0.9442 - 0.0007*$B26 - dis_BMI*($C26-21.75)))*AW26</f>
        <v>7.8310137020894885E-3</v>
      </c>
      <c r="CB26">
        <f>0.962*(0.955*0.943*(0.9442 - 0.0007*$B26 - dis_BMI*($C26-21.75)) - 0.19*0.5)*AX26</f>
        <v>9.6674705459210311E-5</v>
      </c>
      <c r="CC26">
        <f>0.962*(0.955*0.943*(0.9442 - 0.0007*$B26 - dis_BMI*($C26-21.75)) - 0.15*0.5)*AY26</f>
        <v>8.2308590013437411E-5</v>
      </c>
      <c r="CD26">
        <f>0.962*(0.955*0.943*(0.9442 - 0.0007*$B26 - dis_BMI*($C26-21.75)))*AZ26</f>
        <v>3.5774287316181122E-4</v>
      </c>
      <c r="CE26">
        <f>0.962*(0.93*(0.9442 - 0.0007*$B26 - dis_BMI*($C26-21.75)))*BA26</f>
        <v>6.0242981434662098E-4</v>
      </c>
      <c r="CF26">
        <f>0.962*(0.93*(0.9442 - 0.0007*$B26 - dis_BMI*($C26-21.75)))*BB26</f>
        <v>5.4371866716996812E-3</v>
      </c>
      <c r="CG26">
        <f>0.962*(0.93*0.943*(0.9442 - 0.0007*$B26 - dis_BMI*($C26-21.75)))*BC26</f>
        <v>3.4727014788438542E-5</v>
      </c>
      <c r="CH26">
        <f>0.962*(0.93*0.943*(0.9442 - 0.0007*$B26 - dis_BMI*($C26-21.75))-0.19*0.5)*BD26</f>
        <v>5.8054752197728072E-5</v>
      </c>
      <c r="CI26">
        <f>0.962*(0.93*0.943*(0.9442 - 0.0007*$B26 - dis_BMI*($C26-21.75)))*BE26</f>
        <v>2.3743828508624096E-4</v>
      </c>
      <c r="CJ26">
        <f t="shared" si="18"/>
        <v>0</v>
      </c>
      <c r="CK26">
        <f t="shared" si="19"/>
        <v>0.66173564946185492</v>
      </c>
      <c r="CL26">
        <f>CK26/(1+r_)^A26</f>
        <v>0.33529599322408682</v>
      </c>
      <c r="CM26">
        <f>AD26*c_SEM</f>
        <v>5384.1841457347018</v>
      </c>
      <c r="CN26">
        <f>AE26*(c_Other+c_SEM)</f>
        <v>1544.08825607325</v>
      </c>
      <c r="CO26">
        <f>AF26*(c_Stroke1+c_Stroke2+c_SEM)</f>
        <v>139.50210377485348</v>
      </c>
      <c r="CP26">
        <f>AG26*(c_Stroke2 + c_SEM)</f>
        <v>318.42600088342886</v>
      </c>
      <c r="CQ26">
        <f>AH26*(c_MI1+c_MI2 + c_SEM)</f>
        <v>84.921380005178378</v>
      </c>
      <c r="CR26">
        <f>AI26*(c_MI2+c_SEM)</f>
        <v>182.16401907368964</v>
      </c>
      <c r="CS26">
        <f>AJ26*(c_Stroke1+c_Stroke2+c_MI2+c_SEM)</f>
        <v>3.9209659509664485</v>
      </c>
      <c r="CT26">
        <f>AK26*(c_Stroke2+c_MI1+c_MI2+c_SEM)</f>
        <v>3.9074023386201224</v>
      </c>
      <c r="CU26">
        <f>AL26*(c_Stroke2+c_MI2+c_SEM)</f>
        <v>7.8332607086475567</v>
      </c>
      <c r="CV26">
        <f>AM26*(c_HF1+c_SEM)</f>
        <v>33.359543375609462</v>
      </c>
      <c r="CW26">
        <f>AN26*(c_HF2+c_SEM)</f>
        <v>240.37494798594997</v>
      </c>
      <c r="CX26">
        <f>AO26*(c_Stroke2+c_HF1+c_SEM)</f>
        <v>1.5077079612832163</v>
      </c>
      <c r="CY26">
        <f>AP26*(c_Stroke1+c_Stroke2+c_HF2+c_SEM)</f>
        <v>3.3566531654250586</v>
      </c>
      <c r="CZ26">
        <f>AQ26*(c_Stroke2+c_HF2+c_SEM)</f>
        <v>8.6860891773899276</v>
      </c>
      <c r="DA26">
        <f>AR26*(c_DM+c_SEM)</f>
        <v>5305.1079940072277</v>
      </c>
      <c r="DB26">
        <f>AS26*(c_Other+c_DM+c_SEM)</f>
        <v>1852.2586274645562</v>
      </c>
      <c r="DC26">
        <f>AT26*(c_Stroke1+c_Stroke2+c_DM+c_SEM)</f>
        <v>173.38989534884058</v>
      </c>
      <c r="DD26">
        <f>AU26*(c_Stroke2+c_DM+c_SEM)</f>
        <v>442.12217007974527</v>
      </c>
      <c r="DE26">
        <f>AV26*(c_MI1+c_MI2+c_DM+c_SEM)</f>
        <v>106.22488621261618</v>
      </c>
      <c r="DF26">
        <f>AW26*(c_MI2+c_DM+c_SEM)</f>
        <v>279.05870434630231</v>
      </c>
      <c r="DG26">
        <f>AX26*(c_Stroke1+c_Stroke2+c_MI2+c_DM+c_SEM)</f>
        <v>7.6854817709688019</v>
      </c>
      <c r="DH26">
        <f>AY26*(c_Stroke2+c_MI1+c_MI2+c_DM+c_SEM)</f>
        <v>7.4225022788186488</v>
      </c>
      <c r="DI26">
        <f>AZ26*(c_Stroke2+c_MI2+c_DM+c_SEM)</f>
        <v>16.639213545106404</v>
      </c>
      <c r="DJ26">
        <f>BA26*(c_HF1+c_DM+c_SEM)</f>
        <v>40.764715710758828</v>
      </c>
      <c r="DK26">
        <f>BB26*(c_HF2+c_DM+c_SEM)</f>
        <v>287.19626509176544</v>
      </c>
      <c r="DL26">
        <f>BC26*(c_Stroke2+c_HF1+c_DM+c_SEM)</f>
        <v>2.8029709051281655</v>
      </c>
      <c r="DM26">
        <f>BD26*(c_Stroke1+c_Stroke2+c_HF2+c_DM+c_SEM)</f>
        <v>5.9001875256335685</v>
      </c>
      <c r="DN26">
        <f>BE26*(c_Stroke2+c_HF2+c_DM+c_SEM)</f>
        <v>15.426510219403879</v>
      </c>
      <c r="DO26">
        <f t="shared" si="20"/>
        <v>0</v>
      </c>
      <c r="DP26">
        <f t="shared" si="39"/>
        <v>16498.232600715863</v>
      </c>
      <c r="DQ26">
        <f>DP26/(1+r_)^A26</f>
        <v>8359.518322456508</v>
      </c>
    </row>
    <row r="27" spans="1:121" x14ac:dyDescent="0.3">
      <c r="A27">
        <v>24</v>
      </c>
      <c r="B27">
        <v>69</v>
      </c>
      <c r="C27">
        <f t="shared" si="40"/>
        <v>32.793999999999997</v>
      </c>
      <c r="D27">
        <f t="shared" si="1"/>
        <v>125</v>
      </c>
      <c r="E27">
        <f t="shared" si="41"/>
        <v>5.4</v>
      </c>
      <c r="F27">
        <v>1.321E-2</v>
      </c>
      <c r="G27">
        <v>2.0879999999999999E-2</v>
      </c>
      <c r="H27">
        <f t="shared" si="3"/>
        <v>1.4744E-2</v>
      </c>
      <c r="I27">
        <f t="shared" si="21"/>
        <v>1.9177515277734612E-2</v>
      </c>
      <c r="J27">
        <f t="shared" si="22"/>
        <v>0.22264925174407957</v>
      </c>
      <c r="K27">
        <f t="shared" si="23"/>
        <v>0.29723507155474949</v>
      </c>
      <c r="L27">
        <f t="shared" si="24"/>
        <v>0.11239809822491598</v>
      </c>
      <c r="M27">
        <f t="shared" si="25"/>
        <v>0.15378626765060643</v>
      </c>
      <c r="N27">
        <f t="shared" si="26"/>
        <v>0.46931522973488737</v>
      </c>
      <c r="O27">
        <f t="shared" si="27"/>
        <v>0.59149516756301579</v>
      </c>
      <c r="P27">
        <f t="shared" si="28"/>
        <v>0.26776604363415124</v>
      </c>
      <c r="Q27">
        <f t="shared" si="29"/>
        <v>0.35619883471581748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1.8072927706867411E-2</v>
      </c>
      <c r="U27">
        <f t="shared" si="30"/>
        <v>0.42197194860313991</v>
      </c>
      <c r="V27">
        <f t="shared" si="31"/>
        <v>0.53590006710415694</v>
      </c>
      <c r="W27">
        <f t="shared" si="32"/>
        <v>0.22855158447346979</v>
      </c>
      <c r="X27">
        <f t="shared" si="33"/>
        <v>0.30469672992262076</v>
      </c>
      <c r="Y27">
        <f t="shared" si="34"/>
        <v>0.65977401673946834</v>
      </c>
      <c r="Z27">
        <f t="shared" si="35"/>
        <v>0.78203205317484048</v>
      </c>
      <c r="AA27">
        <f t="shared" si="36"/>
        <v>0.41158861557275994</v>
      </c>
      <c r="AB27">
        <f t="shared" si="37"/>
        <v>0.5273257989460427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3.2193268842979558E-2</v>
      </c>
      <c r="AD27">
        <f t="shared" si="38"/>
        <v>0.37580726062907555</v>
      </c>
      <c r="AE27">
        <f t="shared" si="6"/>
        <v>5.619183802604915E-2</v>
      </c>
      <c r="AF27">
        <f t="shared" si="7"/>
        <v>3.7483487961187329E-3</v>
      </c>
      <c r="AG27">
        <f t="shared" si="8"/>
        <v>1.5996023978817411E-2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1.9870136055490156E-3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1.0977972284728648E-2</v>
      </c>
      <c r="AJ27">
        <f t="shared" si="11"/>
        <v>1.0213605127310149E-4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8.3721817400201216E-5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3.5648371755123154E-4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8.2494968112367835E-4</v>
      </c>
      <c r="AN27">
        <f t="shared" si="15"/>
        <v>8.6197144142008582E-3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3.3871827139149302E-5</v>
      </c>
      <c r="AP27">
        <f>AM26*T26*p_Stroke*p_Stroke_rec*(1-I26) + AN26*T26*p_Stroke*p_Stroke_rec*(1-I26) + AO26*(p_recur_Stroke*p_Stroke_rec)*(1-I26) + AP26*(p_recur_Stroke*p_Stroke_rec)*(1-I26) + AQ26*(p_recur_Stroke*p_Stroke_rec)*(1-I26)</f>
        <v>6.9378234831805218E-5</v>
      </c>
      <c r="AQ27">
        <f>AO26*(1-p_recur_Stroke-H26*rr_Stroke*rr_HF)*(1-I26) + AP26*(1-p_recur_Stroke-H26*rr_Stroke*rr_HF)*(1-I26) + AQ26*(1-p_recur_Stroke-H26*rr_Stroke*rr_HF)*(1-I26)</f>
        <v>2.6663261607894339E-4</v>
      </c>
      <c r="AR27">
        <f>AR26*(1-AC26-H26*rr_DM) + AD26*(1-T26-H26)*I26</f>
        <v>0.20930058033694693</v>
      </c>
      <c r="AS27">
        <f>AR26*AC26*p_Other + AD26*T26*p_Other*I26 + AE26*(1-T26*p_Stroke-T26*p_MI-H26*rr_Other)*I26 + AS26*(1-AC26*p_Stroke-AC26*p_MI-H26*rr_Other*rr_DM)</f>
        <v>4.9790257939547264E-2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3.721356471553501E-3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1.4798276704697352E-2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2.0448538533687707E-3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1.0461394755435165E-2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1.6315526860255974E-4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1.3463721754706549E-4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5.3086739059337326E-4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8.2184549317753524E-4</v>
      </c>
      <c r="BB27">
        <f>AM26*(1-T26*p_Stroke - H26*rr_HF)*I26 + AN26*(1-T26*p_Stroke - H26*rr_HF)*I26 + BA26*(1-AC26*p_Stroke - H26*rr_HF*rr_DM) + BB26*(1-AC26*p_Stroke - H26*rr_HF*rr_DM)</f>
        <v>7.7393252376248218E-3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5.2942750398381422E-5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1.0465970998863966E-4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3.7463908799310202E-4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0.18289586210258824</v>
      </c>
      <c r="BG27">
        <f t="shared" si="17"/>
        <v>0.95799999999999996</v>
      </c>
      <c r="BH27">
        <f>(0.9442 - 0.0007*$B27 - dis_BMI*($C27-21.75))*AD27</f>
        <v>0.32298935402251</v>
      </c>
      <c r="BI27">
        <f>0.959*(0.9442 - 0.0007*$B27 - dis_BMI*($C27-21.75))*AE27</f>
        <v>4.6314276770905737E-2</v>
      </c>
      <c r="BJ27">
        <f>(0.943*(0.9442 - 0.0007*$B27 - dis_BMI*($C27-21.75)) - 0.19*0.5)*AF27</f>
        <v>2.6818156564679743E-3</v>
      </c>
      <c r="BK27">
        <f>(0.943*(0.9442 - 0.0007*$B27 - dis_BMI*($C27-21.75)))*AG27</f>
        <v>1.2964231592907667E-2</v>
      </c>
      <c r="BL27">
        <f>(0.955*(0.9442 - 0.0007*$B27 - dis_BMI*($C27-21.75)) - 0.15*0.5)*AH27</f>
        <v>1.4818736833952836E-3</v>
      </c>
      <c r="BM27">
        <f>(0.955*(0.9442 - 0.0007*$B27 - dis_BMI*($C27-21.75)))*AI27</f>
        <v>9.0104927805300383E-3</v>
      </c>
      <c r="BN27">
        <f>(0.955*0.943*(0.9442 - 0.0007*$B27 - dis_BMI*($C27-21.75)) - 0.19*0.5)*AJ27</f>
        <v>6.9349859142325861E-5</v>
      </c>
      <c r="BO27">
        <f>(0.955*0.943*(0.9442 - 0.0007*$B27 - dis_BMI*($C27-21.75)) - 0.15*0.5)*AK27</f>
        <v>5.8521124382952293E-5</v>
      </c>
      <c r="BP27">
        <f>(0.955*0.943*(0.9442 - 0.0007*$B27 - dis_BMI*($C27-21.75)))*AL27</f>
        <v>2.7591658358195193E-4</v>
      </c>
      <c r="BQ27">
        <f>(0.93*(0.9442 - 0.0007*$B27 - dis_BMI*($C27-21.75)))*AM27</f>
        <v>6.5937647577619983E-4</v>
      </c>
      <c r="BR27">
        <f>(0.93*(0.9442 - 0.0007*$B27 - dis_BMI*($C27-21.75)))*AN27</f>
        <v>6.8896770829601287E-3</v>
      </c>
      <c r="BS27">
        <f>(0.93*0.943*(0.9442 - 0.0007*$B27 - dis_BMI*($C27-21.75)))*AO27</f>
        <v>2.5530322862867952E-5</v>
      </c>
      <c r="BT27">
        <f>(0.93*0.943*(0.9442 - 0.0007*$B27 - dis_BMI*($C27-21.75))-0.19*0.5)*AP27</f>
        <v>4.5701751154299455E-5</v>
      </c>
      <c r="BU27">
        <f>(0.93*0.943*(0.9442 - 0.0007*$B27 - dis_BMI*($C27-21.75)))*AQ27</f>
        <v>2.0096987228653842E-4</v>
      </c>
      <c r="BV27">
        <f>0.962*(0.9442 - 0.0007*$B27 - dis_BMI*($C27-21.75))*AR27</f>
        <v>0.17304878165366641</v>
      </c>
      <c r="BW27">
        <f>0.962*0.959*(0.9442 - 0.0007*$B27 - dis_BMI*($C27-21.75))*AS27</f>
        <v>3.9478541239098303E-2</v>
      </c>
      <c r="BX27">
        <f>0.962*(0.943*(0.9442 - 0.0007*$B27 - dis_BMI*($C27-21.75)) - 0.19*0.5)*AT27</f>
        <v>2.5613284336827979E-3</v>
      </c>
      <c r="BY27">
        <f>0.962*(0.943*(0.9442 - 0.0007*$B27 - dis_BMI*($C27-21.75)))*AU27</f>
        <v>1.1537745363332318E-2</v>
      </c>
      <c r="BZ27">
        <f>0.962*(0.955*(0.9442 - 0.0007*$B27 - dis_BMI*($C27-21.75)) - 0.15*0.5)*AV27</f>
        <v>1.467059374586773E-3</v>
      </c>
      <c r="CA27">
        <f>0.962*(0.955*(0.9442 - 0.0007*$B27 - dis_BMI*($C27-21.75)))*AW27</f>
        <v>8.260209748514236E-3</v>
      </c>
      <c r="CB27">
        <f>0.962*(0.955*0.943*(0.9442 - 0.0007*$B27 - dis_BMI*($C27-21.75)) - 0.19*0.5)*AX27</f>
        <v>1.0657189654577612E-4</v>
      </c>
      <c r="CC27">
        <f>0.962*(0.955*0.943*(0.9442 - 0.0007*$B27 - dis_BMI*($C27-21.75)) - 0.15*0.5)*AY27</f>
        <v>9.0534522285127145E-5</v>
      </c>
      <c r="CD27">
        <f>0.962*(0.955*0.943*(0.9442 - 0.0007*$B27 - dis_BMI*($C27-21.75)))*AZ27</f>
        <v>3.9527489019447362E-4</v>
      </c>
      <c r="CE27">
        <f>0.962*(0.93*(0.9442 - 0.0007*$B27 - dis_BMI*($C27-21.75)))*BA27</f>
        <v>6.3193329802462125E-4</v>
      </c>
      <c r="CF27">
        <f>0.962*(0.93*(0.9442 - 0.0007*$B27 - dis_BMI*($C27-21.75)))*BB27</f>
        <v>5.9509206566165851E-3</v>
      </c>
      <c r="CG27">
        <f>0.962*(0.93*0.943*(0.9442 - 0.0007*$B27 - dis_BMI*($C27-21.75)))*BC27</f>
        <v>3.8388333058098115E-5</v>
      </c>
      <c r="CH27">
        <f>0.962*(0.93*0.943*(0.9442 - 0.0007*$B27 - dis_BMI*($C27-21.75))-0.19*0.5)*BD27</f>
        <v>6.6323004845963984E-5</v>
      </c>
      <c r="CI27">
        <f>0.962*(0.93*0.943*(0.9442 - 0.0007*$B27 - dis_BMI*($C27-21.75)))*BE27</f>
        <v>2.716475811747969E-4</v>
      </c>
      <c r="CJ27">
        <f t="shared" si="18"/>
        <v>0</v>
      </c>
      <c r="CK27">
        <f t="shared" si="19"/>
        <v>0.64757234757449023</v>
      </c>
      <c r="CL27">
        <f>CK27/(1+r_)^A27</f>
        <v>0.31856268449246644</v>
      </c>
      <c r="CM27">
        <f>AD27*c_SEM</f>
        <v>5117.7432752467512</v>
      </c>
      <c r="CN27">
        <f>AE27*(c_Other+c_SEM)</f>
        <v>1567.5837054126932</v>
      </c>
      <c r="CO27">
        <f>AF27*(c_Stroke1+c_Stroke2+c_SEM)</f>
        <v>140.31568883390864</v>
      </c>
      <c r="CP27">
        <f>AG27*(c_Stroke2 + c_SEM)</f>
        <v>321.80801040584868</v>
      </c>
      <c r="CQ27">
        <f>AH27*(c_MI1+c_MI2 + c_SEM)</f>
        <v>84.98258489572585</v>
      </c>
      <c r="CR27">
        <f>AI27*(c_MI2+c_SEM)</f>
        <v>183.71636618493392</v>
      </c>
      <c r="CS27">
        <f>AJ27*(c_Stroke1+c_Stroke2+c_MI2+c_SEM)</f>
        <v>4.1417190151755383</v>
      </c>
      <c r="CT27">
        <f>AK27*(c_Stroke2+c_MI1+c_MI2+c_SEM)</f>
        <v>4.1248902214905137</v>
      </c>
      <c r="CU27">
        <f>AL27*(c_Stroke2+c_MI2+c_SEM)</f>
        <v>8.2828991773028644</v>
      </c>
      <c r="CV27">
        <f>AM27*(c_HF1+c_SEM)</f>
        <v>33.532554638315275</v>
      </c>
      <c r="CW27">
        <f>AN27*(c_HF2+c_SEM)</f>
        <v>251.89391432619169</v>
      </c>
      <c r="CX27">
        <f>AO27*(c_Stroke2+c_HF1+c_SEM)</f>
        <v>1.5969889059566114</v>
      </c>
      <c r="CY27">
        <f>AP27*(c_Stroke1+c_Stroke2+c_HF2+c_SEM)</f>
        <v>3.6797521972441172</v>
      </c>
      <c r="CZ27">
        <f>AQ27*(c_Stroke2+c_HF2+c_SEM)</f>
        <v>9.5249169441880941</v>
      </c>
      <c r="DA27">
        <f>AR27*(c_DM+c_SEM)</f>
        <v>5241.5144333781618</v>
      </c>
      <c r="DB27">
        <f>AS27*(c_Other+c_DM+c_SEM)</f>
        <v>1957.8525226988775</v>
      </c>
      <c r="DC27">
        <f>AT27*(c_Stroke1+c_Stroke2+c_DM+c_SEM)</f>
        <v>181.8217558436325</v>
      </c>
      <c r="DD27">
        <f>AU27*(c_Stroke2+c_DM+c_SEM)</f>
        <v>466.78204209626858</v>
      </c>
      <c r="DE27">
        <f>AV27*(c_MI1+c_MI2+c_DM+c_SEM)</f>
        <v>110.81880972946716</v>
      </c>
      <c r="DF27">
        <f>AW27*(c_MI2+c_DM+c_SEM)</f>
        <v>294.59287631305426</v>
      </c>
      <c r="DG27">
        <f>AX27*(c_Stroke1+c_Stroke2+c_MI2+c_DM+c_SEM)</f>
        <v>8.4801582408866452</v>
      </c>
      <c r="DH27">
        <f>AY27*(c_Stroke2+c_MI1+c_MI2+c_DM+c_SEM)</f>
        <v>8.1716712818015935</v>
      </c>
      <c r="DI27">
        <f>AZ27*(c_Stroke2+c_MI2+c_DM+c_SEM)</f>
        <v>18.399863757966319</v>
      </c>
      <c r="DJ27">
        <f>BA27*(c_HF1+c_DM+c_SEM)</f>
        <v>42.795960366233793</v>
      </c>
      <c r="DK27">
        <f>BB27*(c_HF2+c_DM+c_SEM)</f>
        <v>314.58809225897375</v>
      </c>
      <c r="DL27">
        <f>BC27*(c_Stroke2+c_HF1+c_DM+c_SEM)</f>
        <v>3.101015719084395</v>
      </c>
      <c r="DM27">
        <f>BD27*(c_Stroke1+c_Stroke2+c_HF2+c_DM+c_SEM)</f>
        <v>6.7467835447076672</v>
      </c>
      <c r="DN27">
        <f>BE27*(c_Stroke2+c_HF2+c_DM+c_SEM)</f>
        <v>17.663483720698775</v>
      </c>
      <c r="DO27">
        <f t="shared" si="20"/>
        <v>0</v>
      </c>
      <c r="DP27">
        <f t="shared" si="39"/>
        <v>16406.256735355539</v>
      </c>
      <c r="DQ27">
        <f>DP27/(1+r_)^A27</f>
        <v>8070.7911751686925</v>
      </c>
    </row>
    <row r="28" spans="1:121" x14ac:dyDescent="0.3">
      <c r="A28">
        <v>25</v>
      </c>
      <c r="B28">
        <v>70</v>
      </c>
      <c r="C28">
        <f t="shared" si="40"/>
        <v>32.793999999999997</v>
      </c>
      <c r="D28">
        <f t="shared" si="1"/>
        <v>125</v>
      </c>
      <c r="E28">
        <f t="shared" si="41"/>
        <v>5.4</v>
      </c>
      <c r="F28">
        <v>1.455E-2</v>
      </c>
      <c r="G28">
        <v>2.213E-2</v>
      </c>
      <c r="H28">
        <f t="shared" si="3"/>
        <v>1.6066E-2</v>
      </c>
      <c r="I28">
        <f t="shared" si="21"/>
        <v>1.9177515277734612E-2</v>
      </c>
      <c r="J28">
        <f t="shared" si="22"/>
        <v>0.23042769249656625</v>
      </c>
      <c r="K28">
        <f t="shared" si="23"/>
        <v>0.3070637067983919</v>
      </c>
      <c r="L28">
        <f t="shared" si="24"/>
        <v>0.1166137964386843</v>
      </c>
      <c r="M28">
        <f t="shared" si="25"/>
        <v>0.15940965714153499</v>
      </c>
      <c r="N28">
        <f t="shared" si="26"/>
        <v>0.4844969194195633</v>
      </c>
      <c r="O28">
        <f t="shared" si="27"/>
        <v>0.60790982016360862</v>
      </c>
      <c r="P28">
        <f t="shared" si="28"/>
        <v>0.27814592318376308</v>
      </c>
      <c r="Q28">
        <f t="shared" si="29"/>
        <v>0.36905632726424709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1.8720397324704489E-2</v>
      </c>
      <c r="U28">
        <f t="shared" si="30"/>
        <v>0.43448556628802326</v>
      </c>
      <c r="V28">
        <f t="shared" si="31"/>
        <v>0.54990983270614624</v>
      </c>
      <c r="W28">
        <f t="shared" si="32"/>
        <v>0.23650335899922703</v>
      </c>
      <c r="X28">
        <f t="shared" si="33"/>
        <v>0.31471315368772923</v>
      </c>
      <c r="Y28">
        <f t="shared" si="34"/>
        <v>0.67616966205534546</v>
      </c>
      <c r="Z28">
        <f t="shared" si="35"/>
        <v>0.79672493952397316</v>
      </c>
      <c r="AA28">
        <f t="shared" si="36"/>
        <v>0.42571158999088254</v>
      </c>
      <c r="AB28">
        <f t="shared" si="37"/>
        <v>0.54327642298317913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3.3204807335967527E-2</v>
      </c>
      <c r="AD28">
        <f t="shared" si="38"/>
        <v>0.35650388466493471</v>
      </c>
      <c r="AE28">
        <f t="shared" si="6"/>
        <v>5.6785963387395819E-2</v>
      </c>
      <c r="AF28">
        <f t="shared" si="7"/>
        <v>3.7583580828535095E-3</v>
      </c>
      <c r="AG28">
        <f t="shared" si="8"/>
        <v>1.6071135407314141E-2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1.9839019160091198E-3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1.1030768362503737E-2</v>
      </c>
      <c r="AJ28">
        <f t="shared" si="11"/>
        <v>1.073565317959813E-4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8.791720500635501E-5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3.7341448996575349E-4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8.27134588554663E-4</v>
      </c>
      <c r="AN28">
        <f t="shared" si="15"/>
        <v>8.9764539294166969E-3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3.5675487766167002E-5</v>
      </c>
      <c r="AP28">
        <f>AM27*T27*p_Stroke*p_Stroke_rec*(1-I27) + AN27*T27*p_Stroke*p_Stroke_rec*(1-I27) + AO27*(p_recur_Stroke*p_Stroke_rec)*(1-I27) + AP27*(p_recur_Stroke*p_Stroke_rec)*(1-I27) + AQ27*(p_recur_Stroke*p_Stroke_rec)*(1-I27)</f>
        <v>7.5477850215383973E-5</v>
      </c>
      <c r="AQ28">
        <f>AO27*(1-p_recur_Stroke-H27*rr_Stroke*rr_HF)*(1-I27) + AP27*(1-p_recur_Stroke-H27*rr_Stroke*rr_HF)*(1-I27) + AQ27*(1-p_recur_Stroke-H27*rr_Stroke*rr_HF)*(1-I27)</f>
        <v>2.8878362556170078E-4</v>
      </c>
      <c r="AR28">
        <f>AR27*(1-AC27-H27*rr_DM) + AD27*(1-T27-H27)*I27</f>
        <v>0.20598422982556741</v>
      </c>
      <c r="AS28">
        <f>AR27*AC27*p_Other + AD27*T27*p_Other*I27 + AE27*(1-T27*p_Stroke-T27*p_MI-H27*rr_Other)*I27 + AS27*(1-AC27*p_Stroke-AC27*p_MI-H27*rr_Other*rr_DM)</f>
        <v>5.2281167913164277E-2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3.8830043184137908E-3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1.549748617478877E-2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2.1244478324363384E-3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1.0979878379766576E-2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1.7877689940100854E-4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1.4714737537580629E-4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5.7994474527333262E-4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8.5899915568356624E-4</v>
      </c>
      <c r="BB28">
        <f>AM27*(1-T27*p_Stroke - H27*rr_HF)*I27 + AN27*(1-T27*p_Stroke - H27*rr_HF)*I27 + BA27*(1-AC27*p_Stroke - H27*rr_HF*rr_DM) + BB27*(1-AC27*p_Stroke - H27*rr_HF*rr_DM)</f>
        <v>8.4091011089342232E-3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5.8121429999730357E-5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1.1855476056140394E-4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4.2261017646530181E-4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0.19957030437487491</v>
      </c>
      <c r="BG28">
        <f t="shared" si="17"/>
        <v>0.95800000000000018</v>
      </c>
      <c r="BH28">
        <f>(0.9442 - 0.0007*$B28 - dis_BMI*($C28-21.75))*AD28</f>
        <v>0.30614942217465907</v>
      </c>
      <c r="BI28">
        <f>0.959*(0.9442 - 0.0007*$B28 - dis_BMI*($C28-21.75))*AE28</f>
        <v>4.6765844667656847E-2</v>
      </c>
      <c r="BJ28">
        <f>(0.943*(0.9442 - 0.0007*$B28 - dis_BMI*($C28-21.75)) - 0.19*0.5)*AF28</f>
        <v>2.6864960674033182E-3</v>
      </c>
      <c r="BK28">
        <f>(0.943*(0.9442 - 0.0007*$B28 - dis_BMI*($C28-21.75)))*AG28</f>
        <v>1.3014498286149558E-2</v>
      </c>
      <c r="BL28">
        <f>(0.955*(0.9442 - 0.0007*$B28 - dis_BMI*($C28-21.75)) - 0.15*0.5)*AH28</f>
        <v>1.4782268112117532E-3</v>
      </c>
      <c r="BM28">
        <f>(0.955*(0.9442 - 0.0007*$B28 - dis_BMI*($C28-21.75)))*AI28</f>
        <v>9.0464526414337533E-3</v>
      </c>
      <c r="BN28">
        <f>(0.955*0.943*(0.9442 - 0.0007*$B28 - dis_BMI*($C28-21.75)) - 0.19*0.5)*AJ28</f>
        <v>7.2826861780818185E-5</v>
      </c>
      <c r="BO28">
        <f>(0.955*0.943*(0.9442 - 0.0007*$B28 - dis_BMI*($C28-21.75)) - 0.15*0.5)*AK28</f>
        <v>6.1398256362953649E-5</v>
      </c>
      <c r="BP28">
        <f>(0.955*0.943*(0.9442 - 0.0007*$B28 - dis_BMI*($C28-21.75)))*AL28</f>
        <v>2.8878551647226931E-4</v>
      </c>
      <c r="BQ28">
        <f>(0.93*(0.9442 - 0.0007*$B28 - dis_BMI*($C28-21.75)))*AM28</f>
        <v>6.6058439229562803E-4</v>
      </c>
      <c r="BR28">
        <f>(0.93*(0.9442 - 0.0007*$B28 - dis_BMI*($C28-21.75)))*AN28</f>
        <v>7.1689727959448691E-3</v>
      </c>
      <c r="BS28">
        <f>(0.93*0.943*(0.9442 - 0.0007*$B28 - dis_BMI*($C28-21.75)))*AO28</f>
        <v>2.6867900944104503E-5</v>
      </c>
      <c r="BT28">
        <f>(0.93*0.943*(0.9442 - 0.0007*$B28 - dis_BMI*($C28-21.75))-0.19*0.5)*AP28</f>
        <v>4.9673435387583419E-5</v>
      </c>
      <c r="BU28">
        <f>(0.93*0.943*(0.9442 - 0.0007*$B28 - dis_BMI*($C28-21.75)))*AQ28</f>
        <v>2.1748854274192801E-4</v>
      </c>
      <c r="BV28">
        <f>0.962*(0.9442 - 0.0007*$B28 - dis_BMI*($C28-21.75))*AR28</f>
        <v>0.17016812813570281</v>
      </c>
      <c r="BW28">
        <f>0.962*0.959*(0.9442 - 0.0007*$B28 - dis_BMI*($C28-21.75))*AS28</f>
        <v>4.1419813351996439E-2</v>
      </c>
      <c r="BX28">
        <f>0.962*(0.943*(0.9442 - 0.0007*$B28 - dis_BMI*($C28-21.75)) - 0.19*0.5)*AT28</f>
        <v>2.6701213477579662E-3</v>
      </c>
      <c r="BY28">
        <f>0.962*(0.943*(0.9442 - 0.0007*$B28 - dis_BMI*($C28-21.75)))*AU28</f>
        <v>1.2073055578710207E-2</v>
      </c>
      <c r="BZ28">
        <f>0.962*(0.955*(0.9442 - 0.0007*$B28 - dis_BMI*($C28-21.75)) - 0.15*0.5)*AV28</f>
        <v>1.5227970305599194E-3</v>
      </c>
      <c r="CA28">
        <f>0.962*(0.955*(0.9442 - 0.0007*$B28 - dis_BMI*($C28-21.75)))*AW28</f>
        <v>8.6625379610694754E-3</v>
      </c>
      <c r="CB28">
        <f>0.962*(0.955*0.943*(0.9442 - 0.0007*$B28 - dis_BMI*($C28-21.75)) - 0.19*0.5)*AX28</f>
        <v>1.1666742052990463E-4</v>
      </c>
      <c r="CC28">
        <f>0.962*(0.955*0.943*(0.9442 - 0.0007*$B28 - dis_BMI*($C28-21.75)) - 0.15*0.5)*AY28</f>
        <v>9.8857530438164237E-5</v>
      </c>
      <c r="CD28">
        <f>0.962*(0.955*0.943*(0.9442 - 0.0007*$B28 - dis_BMI*($C28-21.75)))*AZ28</f>
        <v>4.3146535737787509E-4</v>
      </c>
      <c r="CE28">
        <f>0.962*(0.93*(0.9442 - 0.0007*$B28 - dis_BMI*($C28-21.75)))*BA28</f>
        <v>6.599635274042255E-4</v>
      </c>
      <c r="CF28">
        <f>0.962*(0.93*(0.9442 - 0.0007*$B28 - dis_BMI*($C28-21.75)))*BB28</f>
        <v>6.4606583061594816E-3</v>
      </c>
      <c r="CG28">
        <f>0.962*(0.93*0.943*(0.9442 - 0.0007*$B28 - dis_BMI*($C28-21.75)))*BC28</f>
        <v>4.210902461932308E-5</v>
      </c>
      <c r="CH28">
        <f>0.962*(0.93*0.943*(0.9442 - 0.0007*$B28 - dis_BMI*($C28-21.75))-0.19*0.5)*BD28</f>
        <v>7.5058303560617424E-5</v>
      </c>
      <c r="CI28">
        <f>0.962*(0.93*0.943*(0.9442 - 0.0007*$B28 - dis_BMI*($C28-21.75)))*BE28</f>
        <v>3.0618142611488436E-4</v>
      </c>
      <c r="CJ28">
        <f t="shared" si="18"/>
        <v>0</v>
      </c>
      <c r="CK28">
        <f t="shared" si="19"/>
        <v>0.63239495265244594</v>
      </c>
      <c r="CL28">
        <f>CK28/(1+r_)^A28</f>
        <v>0.30203535135977178</v>
      </c>
      <c r="CM28">
        <f>AD28*c_SEM</f>
        <v>4854.8699013670812</v>
      </c>
      <c r="CN28">
        <f>AE28*(c_Other+c_SEM)</f>
        <v>1584.1580206181811</v>
      </c>
      <c r="CO28">
        <f>AF28*(c_Stroke1+c_Stroke2+c_SEM)</f>
        <v>140.69037647353827</v>
      </c>
      <c r="CP28">
        <f>AG28*(c_Stroke2 + c_SEM)</f>
        <v>323.31910212434587</v>
      </c>
      <c r="CQ28">
        <f>AH28*(c_MI1+c_MI2 + c_SEM)</f>
        <v>84.849501045794042</v>
      </c>
      <c r="CR28">
        <f>AI28*(c_MI2+c_SEM)</f>
        <v>184.59990854650005</v>
      </c>
      <c r="CS28">
        <f>AJ28*(c_Stroke1+c_Stroke2+c_MI2+c_SEM)</f>
        <v>4.3534147208588374</v>
      </c>
      <c r="CT28">
        <f>AK28*(c_Stroke2+c_MI1+c_MI2+c_SEM)</f>
        <v>4.3315927734581052</v>
      </c>
      <c r="CU28">
        <f>AL28*(c_Stroke2+c_MI2+c_SEM)</f>
        <v>8.6762856743542827</v>
      </c>
      <c r="CV28">
        <f>AM28*(c_HF1+c_SEM)</f>
        <v>33.621366755569944</v>
      </c>
      <c r="CW28">
        <f>AN28*(c_HF2+c_SEM)</f>
        <v>262.31891317934412</v>
      </c>
      <c r="CX28">
        <f>AO28*(c_Stroke2+c_HF1+c_SEM)</f>
        <v>1.6820278971992417</v>
      </c>
      <c r="CY28">
        <f>AP28*(c_Stroke1+c_Stroke2+c_HF2+c_SEM)</f>
        <v>4.0032696975737503</v>
      </c>
      <c r="CZ28">
        <f>AQ28*(c_Stroke2+c_HF2+c_SEM)</f>
        <v>10.316217455940636</v>
      </c>
      <c r="DA28">
        <f>AR28*(c_DM+c_SEM)</f>
        <v>5158.4630675216849</v>
      </c>
      <c r="DB28">
        <f>AS28*(c_Other+c_DM+c_SEM)</f>
        <v>2055.8000846814457</v>
      </c>
      <c r="DC28">
        <f>AT28*(c_Stroke1+c_Stroke2+c_DM+c_SEM)</f>
        <v>189.71970799337942</v>
      </c>
      <c r="DD28">
        <f>AU28*(c_Stroke2+c_DM+c_SEM)</f>
        <v>488.83720641136216</v>
      </c>
      <c r="DE28">
        <f>AV28*(c_MI1+c_MI2+c_DM+c_SEM)</f>
        <v>115.13232583105493</v>
      </c>
      <c r="DF28">
        <f>AW28*(c_MI2+c_DM+c_SEM)</f>
        <v>309.19337517422679</v>
      </c>
      <c r="DG28">
        <f>AX28*(c_Stroke1+c_Stroke2+c_MI2+c_DM+c_SEM)</f>
        <v>9.2921081232668197</v>
      </c>
      <c r="DH28">
        <f>AY28*(c_Stroke2+c_MI1+c_MI2+c_DM+c_SEM)</f>
        <v>8.9309628010591862</v>
      </c>
      <c r="DI28">
        <f>AZ28*(c_Stroke2+c_MI2+c_DM+c_SEM)</f>
        <v>20.100884871173708</v>
      </c>
      <c r="DJ28">
        <f>BA28*(c_HF1+c_DM+c_SEM)</f>
        <v>44.730663033910346</v>
      </c>
      <c r="DK28">
        <f>BB28*(c_HF2+c_DM+c_SEM)</f>
        <v>341.81314187595831</v>
      </c>
      <c r="DL28">
        <f>BC28*(c_Stroke2+c_HF1+c_DM+c_SEM)</f>
        <v>3.4043465193742062</v>
      </c>
      <c r="DM28">
        <f>BD28*(c_Stroke1+c_Stroke2+c_HF2+c_DM+c_SEM)</f>
        <v>7.6425140848303439</v>
      </c>
      <c r="DN28">
        <f>BE28*(c_Stroke2+c_HF2+c_DM+c_SEM)</f>
        <v>19.925224599986048</v>
      </c>
      <c r="DO28">
        <f t="shared" si="20"/>
        <v>0</v>
      </c>
      <c r="DP28">
        <f t="shared" si="39"/>
        <v>16274.775511852455</v>
      </c>
      <c r="DQ28">
        <f>DP28/(1+r_)^A28</f>
        <v>7772.9234229440099</v>
      </c>
    </row>
    <row r="29" spans="1:121" x14ac:dyDescent="0.3">
      <c r="A29">
        <v>26</v>
      </c>
      <c r="B29">
        <v>71</v>
      </c>
      <c r="C29">
        <f t="shared" si="40"/>
        <v>32.793999999999997</v>
      </c>
      <c r="D29">
        <f t="shared" si="1"/>
        <v>125</v>
      </c>
      <c r="E29">
        <f t="shared" si="41"/>
        <v>5.4</v>
      </c>
      <c r="F29">
        <v>1.703E-2</v>
      </c>
      <c r="G29">
        <v>2.5520000000000001E-2</v>
      </c>
      <c r="H29">
        <f t="shared" si="3"/>
        <v>1.8728000000000002E-2</v>
      </c>
      <c r="I29">
        <f t="shared" si="21"/>
        <v>1.9177515277734612E-2</v>
      </c>
      <c r="J29">
        <f t="shared" si="22"/>
        <v>0.23831899365494136</v>
      </c>
      <c r="K29">
        <f t="shared" si="23"/>
        <v>0.31699437392128771</v>
      </c>
      <c r="L29">
        <f t="shared" si="24"/>
        <v>0.12091365444940361</v>
      </c>
      <c r="M29">
        <f t="shared" si="25"/>
        <v>0.16513424755645756</v>
      </c>
      <c r="N29">
        <f t="shared" si="26"/>
        <v>0.49968951622564117</v>
      </c>
      <c r="O29">
        <f t="shared" si="27"/>
        <v>0.62413759227603327</v>
      </c>
      <c r="P29">
        <f t="shared" si="28"/>
        <v>0.2886899510987424</v>
      </c>
      <c r="Q29">
        <f t="shared" si="29"/>
        <v>0.38203919963657795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1.937702801464462E-2</v>
      </c>
      <c r="U29">
        <f t="shared" si="30"/>
        <v>0.44702961474987191</v>
      </c>
      <c r="V29">
        <f t="shared" si="31"/>
        <v>0.56382960057005205</v>
      </c>
      <c r="W29">
        <f t="shared" si="32"/>
        <v>0.24456802370908848</v>
      </c>
      <c r="X29">
        <f t="shared" si="33"/>
        <v>0.32482919278368672</v>
      </c>
      <c r="Y29">
        <f t="shared" si="34"/>
        <v>0.69224137269951358</v>
      </c>
      <c r="Z29">
        <f t="shared" si="35"/>
        <v>0.81083240893782682</v>
      </c>
      <c r="AA29">
        <f t="shared" si="36"/>
        <v>0.43991274322096263</v>
      </c>
      <c r="AB29">
        <f t="shared" si="37"/>
        <v>0.55915280574553838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3.4221538086450246E-2</v>
      </c>
      <c r="AD29">
        <f t="shared" si="38"/>
        <v>0.33750336987345397</v>
      </c>
      <c r="AE29">
        <f t="shared" si="6"/>
        <v>5.7127825087288503E-2</v>
      </c>
      <c r="AF29">
        <f t="shared" si="7"/>
        <v>3.7529355270844219E-3</v>
      </c>
      <c r="AG29">
        <f t="shared" si="8"/>
        <v>1.6057171758224176E-2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1.9751341836367667E-3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1.104447630529372E-2</v>
      </c>
      <c r="AJ29">
        <f t="shared" si="11"/>
        <v>1.1214465513293139E-4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9.170620175573322E-5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3.8790807093731094E-4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8.2673196954299844E-4</v>
      </c>
      <c r="AN29">
        <f t="shared" si="15"/>
        <v>9.2930176147001456E-3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3.7303406621924444E-5</v>
      </c>
      <c r="AP29">
        <f>AM28*T28*p_Stroke*p_Stroke_rec*(1-I28) + AN28*T28*p_Stroke*p_Stroke_rec*(1-I28) + AO28*(p_recur_Stroke*p_Stroke_rec)*(1-I28) + AP28*(p_recur_Stroke*p_Stroke_rec)*(1-I28) + AQ28*(p_recur_Stroke*p_Stroke_rec)*(1-I28)</f>
        <v>8.1395877724344583E-5</v>
      </c>
      <c r="AQ29">
        <f>AO28*(1-p_recur_Stroke-H28*rr_Stroke*rr_HF)*(1-I28) + AP28*(1-p_recur_Stroke-H28*rr_Stroke*rr_HF)*(1-I28) + AQ28*(1-p_recur_Stroke-H28*rr_Stroke*rr_HF)*(1-I28)</f>
        <v>3.0929419723972282E-4</v>
      </c>
      <c r="AR29">
        <f>AR28*(1-AC28-H28*rr_DM) + AD28*(1-T28-H28)*I28</f>
        <v>0.20193784813985324</v>
      </c>
      <c r="AS29">
        <f>AR28*AC28*p_Other + AD28*T28*p_Other*I28 + AE28*(1-T28*p_Stroke-T28*p_MI-H28*rr_Other)*I28 + AS28*(1-AC28*p_Stroke-AC28*p_MI-H28*rr_Other*rr_DM)</f>
        <v>5.4543492580680239E-2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4.027593486628755E-3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1.6106448243966169E-2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2.1967343208043042E-3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1.1460388873205428E-2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1.9427344061670075E-4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1.594036970679325E-4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6.2677256888828039E-4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8.9334348090103427E-4</v>
      </c>
      <c r="BB29">
        <f>AM28*(1-T28*p_Stroke - H28*rr_HF)*I28 + AN28*(1-T28*p_Stroke - H28*rr_HF)*I28 + BA28*(1-AC28*p_Stroke - H28*rr_HF*rr_DM) + BB28*(1-AC28*p_Stroke - H28*rr_HF*rr_DM)</f>
        <v>9.0673699568351029E-3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6.3205155272740848E-5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1.3287165080351677E-4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4.7034469518970618E-4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0.21751949498065032</v>
      </c>
      <c r="BG29">
        <f t="shared" si="17"/>
        <v>0.95800000000000018</v>
      </c>
      <c r="BH29">
        <f>(0.9442 - 0.0007*$B29 - dis_BMI*($C29-21.75))*AD29</f>
        <v>0.2895963865360926</v>
      </c>
      <c r="BI29">
        <f>0.959*(0.9442 - 0.0007*$B29 - dis_BMI*($C29-21.75))*AE29</f>
        <v>4.7009033543990289E-2</v>
      </c>
      <c r="BJ29">
        <f>(0.943*(0.9442 - 0.0007*$B29 - dis_BMI*($C29-21.75)) - 0.19*0.5)*AF29</f>
        <v>2.680142680475295E-3</v>
      </c>
      <c r="BK29">
        <f>(0.943*(0.9442 - 0.0007*$B29 - dis_BMI*($C29-21.75)))*AG29</f>
        <v>1.2992591103379279E-2</v>
      </c>
      <c r="BL29">
        <f>(0.955*(0.9442 - 0.0007*$B29 - dis_BMI*($C29-21.75)) - 0.15*0.5)*AH29</f>
        <v>1.4703735016297396E-3</v>
      </c>
      <c r="BM29">
        <f>(0.955*(0.9442 - 0.0007*$B29 - dis_BMI*($C29-21.75)))*AI29</f>
        <v>9.0503114414175832E-3</v>
      </c>
      <c r="BN29">
        <f>(0.955*0.943*(0.9442 - 0.0007*$B29 - dis_BMI*($C29-21.75)) - 0.19*0.5)*AJ29</f>
        <v>7.6004259267103906E-5</v>
      </c>
      <c r="BO29">
        <f>(0.955*0.943*(0.9442 - 0.0007*$B29 - dis_BMI*($C29-21.75)) - 0.15*0.5)*AK29</f>
        <v>6.398654606880036E-5</v>
      </c>
      <c r="BP29">
        <f>(0.955*0.943*(0.9442 - 0.0007*$B29 - dis_BMI*($C29-21.75)))*AL29</f>
        <v>2.9974980220980816E-4</v>
      </c>
      <c r="BQ29">
        <f>(0.93*(0.9442 - 0.0007*$B29 - dis_BMI*($C29-21.75)))*AM29</f>
        <v>6.5972464134523613E-4</v>
      </c>
      <c r="BR29">
        <f>(0.93*(0.9442 - 0.0007*$B29 - dis_BMI*($C29-21.75)))*AN29</f>
        <v>7.4157440848235511E-3</v>
      </c>
      <c r="BS29">
        <f>(0.93*0.943*(0.9442 - 0.0007*$B29 - dis_BMI*($C29-21.75)))*AO29</f>
        <v>2.8071017870302808E-5</v>
      </c>
      <c r="BT29">
        <f>(0.93*0.943*(0.9442 - 0.0007*$B29 - dis_BMI*($C29-21.75))-0.19*0.5)*AP29</f>
        <v>5.3518235576003215E-5</v>
      </c>
      <c r="BU29">
        <f>(0.93*0.943*(0.9442 - 0.0007*$B29 - dis_BMI*($C29-21.75)))*AQ29</f>
        <v>2.3274557806188145E-4</v>
      </c>
      <c r="BV29">
        <f>0.962*(0.9442 - 0.0007*$B29 - dis_BMI*($C29-21.75))*AR29</f>
        <v>0.16668933778194542</v>
      </c>
      <c r="BW29">
        <f>0.962*0.959*(0.9442 - 0.0007*$B29 - dis_BMI*($C29-21.75))*AS29</f>
        <v>4.317691890797757E-2</v>
      </c>
      <c r="BX29">
        <f>0.962*(0.943*(0.9442 - 0.0007*$B29 - dis_BMI*($C29-21.75)) - 0.19*0.5)*AT29</f>
        <v>2.7669895127313631E-3</v>
      </c>
      <c r="BY29">
        <f>0.962*(0.943*(0.9442 - 0.0007*$B29 - dis_BMI*($C29-21.75)))*AU29</f>
        <v>1.2537229366332506E-2</v>
      </c>
      <c r="BZ29">
        <f>0.962*(0.955*(0.9442 - 0.0007*$B29 - dis_BMI*($C29-21.75)) - 0.15*0.5)*AV29</f>
        <v>1.5731990280090779E-3</v>
      </c>
      <c r="CA29">
        <f>0.962*(0.955*(0.9442 - 0.0007*$B29 - dis_BMI*($C29-21.75)))*AW29</f>
        <v>9.0342649501484185E-3</v>
      </c>
      <c r="CB29">
        <f>0.962*(0.955*0.943*(0.9442 - 0.0007*$B29 - dis_BMI*($C29-21.75)) - 0.19*0.5)*AX29</f>
        <v>1.2666244140152334E-4</v>
      </c>
      <c r="CC29">
        <f>0.962*(0.955*0.943*(0.9442 - 0.0007*$B29 - dis_BMI*($C29-21.75)) - 0.15*0.5)*AY29</f>
        <v>1.0699498531061894E-4</v>
      </c>
      <c r="CD29">
        <f>0.962*(0.955*0.943*(0.9442 - 0.0007*$B29 - dis_BMI*($C29-21.75)))*AZ29</f>
        <v>4.6592406516058677E-4</v>
      </c>
      <c r="CE29">
        <f>0.962*(0.93*(0.9442 - 0.0007*$B29 - dis_BMI*($C29-21.75)))*BA29</f>
        <v>6.8579058453805341E-4</v>
      </c>
      <c r="CF29">
        <f>0.962*(0.93*(0.9442 - 0.0007*$B29 - dis_BMI*($C29-21.75)))*BB29</f>
        <v>6.9607234796731036E-3</v>
      </c>
      <c r="CG29">
        <f>0.962*(0.93*0.943*(0.9442 - 0.0007*$B29 - dis_BMI*($C29-21.75)))*BC29</f>
        <v>4.5754861072481251E-5</v>
      </c>
      <c r="CH29">
        <f>0.962*(0.93*0.943*(0.9442 - 0.0007*$B29 - dis_BMI*($C29-21.75))-0.19*0.5)*BD29</f>
        <v>8.4044012554264523E-5</v>
      </c>
      <c r="CI29">
        <f>0.962*(0.93*0.943*(0.9442 - 0.0007*$B29 - dis_BMI*($C29-21.75)))*BE29</f>
        <v>3.4048735568671158E-4</v>
      </c>
      <c r="CJ29">
        <f t="shared" si="18"/>
        <v>0</v>
      </c>
      <c r="CK29">
        <f t="shared" si="19"/>
        <v>0.61622270430474912</v>
      </c>
      <c r="CL29">
        <f>CK29/(1+r_)^A29</f>
        <v>0.28573921891400877</v>
      </c>
      <c r="CM29">
        <f>AD29*c_SEM</f>
        <v>4596.120890936696</v>
      </c>
      <c r="CN29">
        <f>AE29*(c_Other+c_SEM)</f>
        <v>1593.6949364600873</v>
      </c>
      <c r="CO29">
        <f>AF29*(c_Stroke1+c_Stroke2+c_SEM)</f>
        <v>140.48738852087826</v>
      </c>
      <c r="CP29">
        <f>AG29*(c_Stroke2 + c_SEM)</f>
        <v>323.038181431954</v>
      </c>
      <c r="CQ29">
        <f>AH29*(c_MI1+c_MI2 + c_SEM)</f>
        <v>84.474513899960883</v>
      </c>
      <c r="CR29">
        <f>AI29*(c_MI2+c_SEM)</f>
        <v>184.82931096909041</v>
      </c>
      <c r="CS29">
        <f>AJ29*(c_Stroke1+c_Stroke2+c_MI2+c_SEM)</f>
        <v>4.5475779102955007</v>
      </c>
      <c r="CT29">
        <f>AK29*(c_Stroke2+c_MI1+c_MI2+c_SEM)</f>
        <v>4.5182728543032198</v>
      </c>
      <c r="CU29">
        <f>AL29*(c_Stroke2+c_MI2+c_SEM)</f>
        <v>9.0130440282284194</v>
      </c>
      <c r="CV29">
        <f>AM29*(c_HF1+c_SEM)</f>
        <v>33.605001097983802</v>
      </c>
      <c r="CW29">
        <f>AN29*(c_HF2+c_SEM)</f>
        <v>271.56985375438234</v>
      </c>
      <c r="CX29">
        <f>AO29*(c_Stroke2+c_HF1+c_SEM)</f>
        <v>1.7587810154104937</v>
      </c>
      <c r="CY29">
        <f>AP29*(c_Stroke1+c_Stroke2+c_HF2+c_SEM)</f>
        <v>4.3171559586215125</v>
      </c>
      <c r="CZ29">
        <f>AQ29*(c_Stroke2+c_HF2+c_SEM)</f>
        <v>11.048916607994618</v>
      </c>
      <c r="DA29">
        <f>AR29*(c_DM+c_SEM)</f>
        <v>5057.1295309663446</v>
      </c>
      <c r="DB29">
        <f>AS29*(c_Other+c_DM+c_SEM)</f>
        <v>2144.7592152575085</v>
      </c>
      <c r="DC29">
        <f>AT29*(c_Stroke1+c_Stroke2+c_DM+c_SEM)</f>
        <v>196.78419016319435</v>
      </c>
      <c r="DD29">
        <f>AU29*(c_Stroke2+c_DM+c_SEM)</f>
        <v>508.04569695942484</v>
      </c>
      <c r="DE29">
        <f>AV29*(c_MI1+c_MI2+c_DM+c_SEM)</f>
        <v>119.04981978166846</v>
      </c>
      <c r="DF29">
        <f>AW29*(c_MI2+c_DM+c_SEM)</f>
        <v>322.72455066946486</v>
      </c>
      <c r="DG29">
        <f>AX29*(c_Stroke1+c_Stroke2+c_MI2+c_DM+c_SEM)</f>
        <v>10.097556349493638</v>
      </c>
      <c r="DH29">
        <f>AY29*(c_Stroke2+c_MI1+c_MI2+c_DM+c_SEM)</f>
        <v>9.674847989841096</v>
      </c>
      <c r="DI29">
        <f>AZ29*(c_Stroke2+c_MI2+c_DM+c_SEM)</f>
        <v>21.723937237667798</v>
      </c>
      <c r="DJ29">
        <f>BA29*(c_HF1+c_DM+c_SEM)</f>
        <v>46.51907508095956</v>
      </c>
      <c r="DK29">
        <f>BB29*(c_HF2+c_DM+c_SEM)</f>
        <v>368.57045400543325</v>
      </c>
      <c r="DL29">
        <f>BC29*(c_Stroke2+c_HF1+c_DM+c_SEM)</f>
        <v>3.7021155597902498</v>
      </c>
      <c r="DM29">
        <f>BD29*(c_Stroke1+c_Stroke2+c_HF2+c_DM+c_SEM)</f>
        <v>8.5654380973979052</v>
      </c>
      <c r="DN29">
        <f>BE29*(c_Stroke2+c_HF2+c_DM+c_SEM)</f>
        <v>22.175811688804266</v>
      </c>
      <c r="DO29">
        <f t="shared" si="20"/>
        <v>0</v>
      </c>
      <c r="DP29">
        <f t="shared" si="39"/>
        <v>16102.546065252884</v>
      </c>
      <c r="DQ29">
        <f>DP29/(1+r_)^A29</f>
        <v>7466.6657087933982</v>
      </c>
    </row>
    <row r="30" spans="1:121" x14ac:dyDescent="0.3">
      <c r="A30">
        <v>27</v>
      </c>
      <c r="B30">
        <v>72</v>
      </c>
      <c r="C30">
        <f t="shared" si="40"/>
        <v>32.793999999999997</v>
      </c>
      <c r="D30">
        <f t="shared" si="1"/>
        <v>125</v>
      </c>
      <c r="E30">
        <f t="shared" si="41"/>
        <v>5.4</v>
      </c>
      <c r="F30">
        <v>1.686E-2</v>
      </c>
      <c r="G30">
        <v>2.496E-2</v>
      </c>
      <c r="H30">
        <f t="shared" si="3"/>
        <v>1.848E-2</v>
      </c>
      <c r="I30">
        <f t="shared" si="21"/>
        <v>1.9177515277734612E-2</v>
      </c>
      <c r="J30">
        <f t="shared" si="22"/>
        <v>0.24632000748433391</v>
      </c>
      <c r="K30">
        <f t="shared" si="23"/>
        <v>0.32702112432078867</v>
      </c>
      <c r="L30">
        <f t="shared" si="24"/>
        <v>0.12529731170598246</v>
      </c>
      <c r="M30">
        <f t="shared" si="25"/>
        <v>0.17095887070047355</v>
      </c>
      <c r="N30">
        <f t="shared" si="26"/>
        <v>0.51487294804439099</v>
      </c>
      <c r="O30">
        <f t="shared" si="27"/>
        <v>0.64015349307917968</v>
      </c>
      <c r="P30">
        <f t="shared" si="28"/>
        <v>0.29939145024683944</v>
      </c>
      <c r="Q30">
        <f t="shared" si="29"/>
        <v>0.39513493970321756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2.0042502608539913E-2</v>
      </c>
      <c r="U30">
        <f t="shared" si="30"/>
        <v>0.45959293320883121</v>
      </c>
      <c r="V30">
        <f t="shared" si="31"/>
        <v>0.57764456249489693</v>
      </c>
      <c r="W30">
        <f t="shared" si="32"/>
        <v>0.25274223015999353</v>
      </c>
      <c r="X30">
        <f t="shared" si="33"/>
        <v>0.33503859350591547</v>
      </c>
      <c r="Y30">
        <f t="shared" si="34"/>
        <v>0.70796485012786803</v>
      </c>
      <c r="Z30">
        <f t="shared" si="35"/>
        <v>0.82434288061092098</v>
      </c>
      <c r="AA30">
        <f t="shared" si="36"/>
        <v>0.45417573160067415</v>
      </c>
      <c r="AB30">
        <f t="shared" si="37"/>
        <v>0.57493183739709786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3.5242653106685354E-2</v>
      </c>
      <c r="AD30">
        <f t="shared" si="38"/>
        <v>0.31841695235787876</v>
      </c>
      <c r="AE30">
        <f t="shared" si="6"/>
        <v>5.70777832356568E-2</v>
      </c>
      <c r="AF30">
        <f t="shared" si="7"/>
        <v>3.732122176469988E-3</v>
      </c>
      <c r="AG30">
        <f t="shared" si="8"/>
        <v>1.5876773101577604E-2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1.9607113628420346E-3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1.0993030274185737E-2</v>
      </c>
      <c r="AJ30">
        <f t="shared" si="11"/>
        <v>1.1643630195953478E-4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9.5033088703835763E-5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3.9600392932728708E-4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8.2373482625324346E-4</v>
      </c>
      <c r="AN30">
        <f t="shared" si="15"/>
        <v>9.5431256646488459E-3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3.8730877151909954E-5</v>
      </c>
      <c r="AP30">
        <f>AM29*T29*p_Stroke*p_Stroke_rec*(1-I29) + AN29*T29*p_Stroke*p_Stroke_rec*(1-I29) + AO29*(p_recur_Stroke*p_Stroke_rec)*(1-I29) + AP29*(p_recur_Stroke*p_Stroke_rec)*(1-I29) + AQ29*(p_recur_Stroke*p_Stroke_rec)*(1-I29)</f>
        <v>8.704139104494173E-5</v>
      </c>
      <c r="AQ30">
        <f>AO29*(1-p_recur_Stroke-H29*rr_Stroke*rr_HF)*(1-I29) + AP29*(1-p_recur_Stroke-H29*rr_Stroke*rr_HF)*(1-I29) + AQ29*(1-p_recur_Stroke-H29*rr_Stroke*rr_HF)*(1-I29)</f>
        <v>3.2462613628754007E-4</v>
      </c>
      <c r="AR30">
        <f>AR29*(1-AC29-H29*rr_DM) + AD29*(1-T29-H29)*I29</f>
        <v>0.19690389070719205</v>
      </c>
      <c r="AS30">
        <f>AR29*AC29*p_Other + AD29*T29*p_Other*I29 + AE29*(1-T29*p_Stroke-T29*p_MI-H29*rr_Other)*I29 + AS29*(1-AC29*p_Stroke-AC29*p_MI-H29*rr_Other*rr_DM)</f>
        <v>5.6388438254415876E-2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4.1530230149190786E-3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1.6519538466008468E-2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2.2608705462324567E-3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1.1864470816324779E-2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2.0941328479902484E-4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1.7120059818244757E-4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6.6306557206786878E-4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9.2447895316085391E-4</v>
      </c>
      <c r="BB30">
        <f>AM29*(1-T29*p_Stroke - H29*rr_HF)*I29 + AN29*(1-T29*p_Stroke - H29*rr_HF)*I29 + BA29*(1-AC29*p_Stroke - H29*rr_HF*rr_DM) + BB29*(1-AC29*p_Stroke - H29*rr_HF*rr_DM)</f>
        <v>9.6784678313215494E-3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6.8105195915487798E-5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1.4740309877995264E-4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5.1103570493626926E-4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0.23805449323175587</v>
      </c>
      <c r="BG30">
        <f t="shared" si="17"/>
        <v>0.95800000000000007</v>
      </c>
      <c r="BH30">
        <f>(0.9442 - 0.0007*$B30 - dis_BMI*($C30-21.75))*AD30</f>
        <v>0.27299630250539869</v>
      </c>
      <c r="BI30">
        <f>0.959*(0.9442 - 0.0007*$B30 - dis_BMI*($C30-21.75))*AE30</f>
        <v>4.6929539061801445E-2</v>
      </c>
      <c r="BJ30">
        <f>(0.943*(0.9442 - 0.0007*$B30 - dis_BMI*($C30-21.75)) - 0.19*0.5)*AF30</f>
        <v>2.6628153422739121E-3</v>
      </c>
      <c r="BK30">
        <f>(0.943*(0.9442 - 0.0007*$B30 - dis_BMI*($C30-21.75)))*AG30</f>
        <v>1.2836142052400986E-2</v>
      </c>
      <c r="BL30">
        <f>(0.955*(0.9442 - 0.0007*$B30 - dis_BMI*($C30-21.75)) - 0.15*0.5)*AH30</f>
        <v>1.4583258077083853E-3</v>
      </c>
      <c r="BM30">
        <f>(0.955*(0.9442 - 0.0007*$B30 - dis_BMI*($C30-21.75)))*AI30</f>
        <v>9.0008055448731281E-3</v>
      </c>
      <c r="BN30">
        <f>(0.955*0.943*(0.9442 - 0.0007*$B30 - dis_BMI*($C30-21.75)) - 0.19*0.5)*AJ30</f>
        <v>7.8839453835819371E-5</v>
      </c>
      <c r="BO30">
        <f>(0.955*0.943*(0.9442 - 0.0007*$B30 - dis_BMI*($C30-21.75)) - 0.15*0.5)*AK30</f>
        <v>6.6247920177604623E-5</v>
      </c>
      <c r="BP30">
        <f>(0.955*0.943*(0.9442 - 0.0007*$B30 - dis_BMI*($C30-21.75)))*AL30</f>
        <v>3.0575610913118891E-4</v>
      </c>
      <c r="BQ30">
        <f>(0.93*(0.9442 - 0.0007*$B30 - dis_BMI*($C30-21.75)))*AM30</f>
        <v>6.5679669671030747E-4</v>
      </c>
      <c r="BR30">
        <f>(0.93*(0.9442 - 0.0007*$B30 - dis_BMI*($C30-21.75)))*AN30</f>
        <v>7.6091154738985875E-3</v>
      </c>
      <c r="BS30">
        <f>(0.93*0.943*(0.9442 - 0.0007*$B30 - dis_BMI*($C30-21.75)))*AO30</f>
        <v>2.9121420650934751E-5</v>
      </c>
      <c r="BT30">
        <f>(0.93*0.943*(0.9442 - 0.0007*$B30 - dis_BMI*($C30-21.75))-0.19*0.5)*AP30</f>
        <v>5.7176757415684136E-5</v>
      </c>
      <c r="BU30">
        <f>(0.93*0.943*(0.9442 - 0.0007*$B30 - dis_BMI*($C30-21.75)))*AQ30</f>
        <v>2.4408366048717125E-4</v>
      </c>
      <c r="BV30">
        <f>0.962*(0.9442 - 0.0007*$B30 - dis_BMI*($C30-21.75))*AR30</f>
        <v>0.16240146899470001</v>
      </c>
      <c r="BW30">
        <f>0.962*0.959*(0.9442 - 0.0007*$B30 - dis_BMI*($C30-21.75))*AS30</f>
        <v>4.4600972595373434E-2</v>
      </c>
      <c r="BX30">
        <f>0.962*(0.943*(0.9442 - 0.0007*$B30 - dis_BMI*($C30-21.75)) - 0.19*0.5)*AT30</f>
        <v>2.850523382857129E-3</v>
      </c>
      <c r="BY30">
        <f>0.962*(0.943*(0.9442 - 0.0007*$B30 - dis_BMI*($C30-21.75)))*AU30</f>
        <v>1.2848287852567822E-2</v>
      </c>
      <c r="BZ30">
        <f>0.962*(0.955*(0.9442 - 0.0007*$B30 - dis_BMI*($C30-21.75)) - 0.15*0.5)*AV30</f>
        <v>1.6176764528837272E-3</v>
      </c>
      <c r="CA30">
        <f>0.962*(0.955*(0.9442 - 0.0007*$B30 - dis_BMI*($C30-21.75)))*AW30</f>
        <v>9.3451741648341406E-3</v>
      </c>
      <c r="CB30">
        <f>0.962*(0.955*0.943*(0.9442 - 0.0007*$B30 - dis_BMI*($C30-21.75)) - 0.19*0.5)*AX30</f>
        <v>1.3640632371730567E-4</v>
      </c>
      <c r="CC30">
        <f>0.962*(0.955*0.943*(0.9442 - 0.0007*$B30 - dis_BMI*($C30-21.75)) - 0.15*0.5)*AY30</f>
        <v>1.1480948095212344E-4</v>
      </c>
      <c r="CD30">
        <f>0.962*(0.955*0.943*(0.9442 - 0.0007*$B30 - dis_BMI*($C30-21.75)))*AZ30</f>
        <v>4.9250109327926431E-4</v>
      </c>
      <c r="CE30">
        <f>0.962*(0.93*(0.9442 - 0.0007*$B30 - dis_BMI*($C30-21.75)))*BA30</f>
        <v>7.0911330265321568E-4</v>
      </c>
      <c r="CF30">
        <f>0.962*(0.93*(0.9442 - 0.0007*$B30 - dis_BMI*($C30-21.75)))*BB30</f>
        <v>7.4237820828974409E-3</v>
      </c>
      <c r="CG30">
        <f>0.962*(0.93*0.943*(0.9442 - 0.0007*$B30 - dis_BMI*($C30-21.75)))*BC30</f>
        <v>4.9261830271817743E-5</v>
      </c>
      <c r="CH30">
        <f>0.962*(0.93*0.943*(0.9442 - 0.0007*$B30 - dis_BMI*($C30-21.75))-0.19*0.5)*BD30</f>
        <v>9.3148396843374117E-5</v>
      </c>
      <c r="CI30">
        <f>0.962*(0.93*0.943*(0.9442 - 0.0007*$B30 - dis_BMI*($C30-21.75)))*BE30</f>
        <v>3.6964219573861157E-4</v>
      </c>
      <c r="CJ30">
        <f t="shared" si="18"/>
        <v>0</v>
      </c>
      <c r="CK30">
        <f t="shared" si="19"/>
        <v>0.5979838359563332</v>
      </c>
      <c r="CL30">
        <f>CK30/(1+r_)^A30</f>
        <v>0.26920577847223626</v>
      </c>
      <c r="CM30">
        <f>AD30*c_SEM</f>
        <v>4336.2020572095926</v>
      </c>
      <c r="CN30">
        <f>AE30*(c_Other+c_SEM)</f>
        <v>1592.2989189251177</v>
      </c>
      <c r="CO30">
        <f>AF30*(c_Stroke1+c_Stroke2+c_SEM)</f>
        <v>139.70826155397754</v>
      </c>
      <c r="CP30">
        <f>AG30*(c_Stroke2 + c_SEM)</f>
        <v>319.40892125753822</v>
      </c>
      <c r="CQ30">
        <f>AH30*(c_MI1+c_MI2 + c_SEM)</f>
        <v>83.857664277390981</v>
      </c>
      <c r="CR30">
        <f>AI30*(c_MI2+c_SEM)</f>
        <v>183.96836163849832</v>
      </c>
      <c r="CS30">
        <f>AJ30*(c_Stroke1+c_Stroke2+c_MI2+c_SEM)</f>
        <v>4.7216084807610947</v>
      </c>
      <c r="CT30">
        <f>AK30*(c_Stroke2+c_MI1+c_MI2+c_SEM)</f>
        <v>4.6821852473492847</v>
      </c>
      <c r="CU30">
        <f>AL30*(c_Stroke2+c_MI2+c_SEM)</f>
        <v>9.201151297919516</v>
      </c>
      <c r="CV30">
        <f>AM30*(c_HF1+c_SEM)</f>
        <v>33.48317321754184</v>
      </c>
      <c r="CW30">
        <f>AN30*(c_HF2+c_SEM)</f>
        <v>278.87876129803323</v>
      </c>
      <c r="CX30">
        <f>AO30*(c_Stroke2+c_HF1+c_SEM)</f>
        <v>1.8260833959582505</v>
      </c>
      <c r="CY30">
        <f>AP30*(c_Stroke1+c_Stroke2+c_HF2+c_SEM)</f>
        <v>4.6165883396326644</v>
      </c>
      <c r="CZ30">
        <f>AQ30*(c_Stroke2+c_HF2+c_SEM)</f>
        <v>11.596619466599794</v>
      </c>
      <c r="DA30">
        <f>AR30*(c_DM+c_SEM)</f>
        <v>4931.0641349802108</v>
      </c>
      <c r="DB30">
        <f>AS30*(c_Other+c_DM+c_SEM)</f>
        <v>2217.306169040141</v>
      </c>
      <c r="DC30">
        <f>AT30*(c_Stroke1+c_Stroke2+c_DM+c_SEM)</f>
        <v>202.91255148593126</v>
      </c>
      <c r="DD30">
        <f>AU30*(c_Stroke2+c_DM+c_SEM)</f>
        <v>521.07580183330515</v>
      </c>
      <c r="DE30">
        <f>AV30*(c_MI1+c_MI2+c_DM+c_SEM)</f>
        <v>122.52561838252176</v>
      </c>
      <c r="DF30">
        <f>AW30*(c_MI2+c_DM+c_SEM)</f>
        <v>334.10349818770578</v>
      </c>
      <c r="DG30">
        <f>AX30*(c_Stroke1+c_Stroke2+c_MI2+c_DM+c_SEM)</f>
        <v>10.884464890714115</v>
      </c>
      <c r="DH30">
        <f>AY30*(c_Stroke2+c_MI1+c_MI2+c_DM+c_SEM)</f>
        <v>10.390849106085472</v>
      </c>
      <c r="DI30">
        <f>AZ30*(c_Stroke2+c_MI2+c_DM+c_SEM)</f>
        <v>22.981852727872333</v>
      </c>
      <c r="DJ30">
        <f>BA30*(c_HF1+c_DM+c_SEM)</f>
        <v>48.140392527945146</v>
      </c>
      <c r="DK30">
        <f>BB30*(c_HF2+c_DM+c_SEM)</f>
        <v>393.41036040755836</v>
      </c>
      <c r="DL30">
        <f>BC30*(c_Stroke2+c_HF1+c_DM+c_SEM)</f>
        <v>3.9891256403578668</v>
      </c>
      <c r="DM30">
        <f>BD30*(c_Stroke1+c_Stroke2+c_HF2+c_DM+c_SEM)</f>
        <v>9.5021933597508674</v>
      </c>
      <c r="DN30">
        <f>BE30*(c_Stroke2+c_HF2+c_DM+c_SEM)</f>
        <v>24.094311416335223</v>
      </c>
      <c r="DO30">
        <f t="shared" si="20"/>
        <v>0</v>
      </c>
      <c r="DP30">
        <f t="shared" si="39"/>
        <v>15856.831679592346</v>
      </c>
      <c r="DQ30">
        <f>DP30/(1+r_)^A30</f>
        <v>7138.5720812687541</v>
      </c>
    </row>
    <row r="31" spans="1:121" x14ac:dyDescent="0.3">
      <c r="A31">
        <v>28</v>
      </c>
      <c r="B31">
        <v>73</v>
      </c>
      <c r="C31">
        <f t="shared" si="40"/>
        <v>32.793999999999997</v>
      </c>
      <c r="D31">
        <f t="shared" si="1"/>
        <v>125</v>
      </c>
      <c r="E31">
        <f t="shared" si="41"/>
        <v>5.4</v>
      </c>
      <c r="F31">
        <v>1.9539999999999998E-2</v>
      </c>
      <c r="G31">
        <v>2.8670000000000001E-2</v>
      </c>
      <c r="H31">
        <f t="shared" si="3"/>
        <v>2.1366E-2</v>
      </c>
      <c r="I31">
        <f t="shared" si="21"/>
        <v>1.9177515277734612E-2</v>
      </c>
      <c r="J31">
        <f t="shared" si="22"/>
        <v>0.25442746758566304</v>
      </c>
      <c r="K31">
        <f t="shared" si="23"/>
        <v>0.3371378779054458</v>
      </c>
      <c r="L31">
        <f t="shared" si="24"/>
        <v>0.12976435942604192</v>
      </c>
      <c r="M31">
        <f t="shared" si="25"/>
        <v>0.17688228133248884</v>
      </c>
      <c r="N31">
        <f t="shared" si="26"/>
        <v>0.53002714342482293</v>
      </c>
      <c r="O31">
        <f t="shared" si="27"/>
        <v>0.65593344024525169</v>
      </c>
      <c r="P31">
        <f t="shared" si="28"/>
        <v>0.31024342162439789</v>
      </c>
      <c r="Q31">
        <f t="shared" si="29"/>
        <v>0.40833071496694051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2.0716495110712559E-2</v>
      </c>
      <c r="U31">
        <f t="shared" si="30"/>
        <v>0.47216435994703909</v>
      </c>
      <c r="V31">
        <f t="shared" si="31"/>
        <v>0.59134027863907901</v>
      </c>
      <c r="W31">
        <f t="shared" si="32"/>
        <v>0.2610225086493011</v>
      </c>
      <c r="X31">
        <f t="shared" si="33"/>
        <v>0.34533497231193933</v>
      </c>
      <c r="Y31">
        <f t="shared" si="34"/>
        <v>0.72331747609795105</v>
      </c>
      <c r="Z31">
        <f t="shared" si="35"/>
        <v>0.83724798868627182</v>
      </c>
      <c r="AA31">
        <f t="shared" si="36"/>
        <v>0.46848399405030239</v>
      </c>
      <c r="AB31">
        <f t="shared" si="37"/>
        <v>0.59059076056677418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3.6267346811160832E-2</v>
      </c>
      <c r="AD31">
        <f t="shared" si="38"/>
        <v>0.30027952409228781</v>
      </c>
      <c r="AE31">
        <f t="shared" si="6"/>
        <v>5.6955288973050272E-2</v>
      </c>
      <c r="AF31">
        <f t="shared" si="7"/>
        <v>3.685237251241081E-3</v>
      </c>
      <c r="AG31">
        <f t="shared" si="8"/>
        <v>1.5727625648561519E-2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1.9373902595931876E-3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1.0940448090179038E-2</v>
      </c>
      <c r="AJ31">
        <f t="shared" si="11"/>
        <v>1.1966209810555609E-4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9.7386724278082041E-5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4.0725072335560307E-4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8.1664291201616161E-4</v>
      </c>
      <c r="AN31">
        <f t="shared" si="15"/>
        <v>9.7791893153318845E-3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3.9722292208999304E-5</v>
      </c>
      <c r="AP31">
        <f>AM30*T30*p_Stroke*p_Stroke_rec*(1-I30) + AN30*T30*p_Stroke*p_Stroke_rec*(1-I30) + AO30*(p_recur_Stroke*p_Stroke_rec)*(1-I30) + AP30*(p_recur_Stroke*p_Stroke_rec)*(1-I30) + AQ30*(p_recur_Stroke*p_Stroke_rec)*(1-I30)</f>
        <v>9.1893035310503174E-5</v>
      </c>
      <c r="AQ31">
        <f>AO30*(1-p_recur_Stroke-H30*rr_Stroke*rr_HF)*(1-I30) + AP30*(1-p_recur_Stroke-H30*rr_Stroke*rr_HF)*(1-I30) + AQ30*(1-p_recur_Stroke-H30*rr_Stroke*rr_HF)*(1-I30)</f>
        <v>3.4224400876935776E-4</v>
      </c>
      <c r="AR31">
        <f>AR30*(1-AC30-H30*rr_DM) + AD30*(1-T30-H30)*I30</f>
        <v>0.19165108409411372</v>
      </c>
      <c r="AS31">
        <f>AR30*AC30*p_Other + AD30*T30*p_Other*I30 + AE30*(1-T30*p_Stroke-T30*p_MI-H30*rr_Other)*I30 + AS30*(1-AC30*p_Stroke-AC30*p_MI-H30*rr_Other*rr_DM)</f>
        <v>5.8147561479438815E-2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4.2431947109716752E-3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1.6963972784841443E-2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2.3114560089676096E-3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1.2265880605581368E-2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2.2289945241175317E-4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1.8135398221046458E-4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7.0701963685938698E-4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9.499933339831816E-4</v>
      </c>
      <c r="BB31">
        <f>AM30*(1-T30*p_Stroke - H30*rr_HF)*I30 + AN30*(1-T30*p_Stroke - H30*rr_HF)*I30 + BA30*(1-AC30*p_Stroke - H30*rr_HF*rr_DM) + BB30*(1-AC30*p_Stroke - H30*rr_HF*rr_DM)</f>
        <v>1.0298101184540602E-2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7.2290335275546381E-5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1.6107703100184001E-4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5.5809201313808008E-4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0.25804651792237548</v>
      </c>
      <c r="BG31">
        <f t="shared" si="17"/>
        <v>0.95799999999999974</v>
      </c>
      <c r="BH31">
        <f>(0.9442 - 0.0007*$B31 - dis_BMI*($C31-21.75))*AD31</f>
        <v>0.25723589565537403</v>
      </c>
      <c r="BI31">
        <f>0.959*(0.9442 - 0.0007*$B31 - dis_BMI*($C31-21.75))*AE31</f>
        <v>4.6790589795100417E-2</v>
      </c>
      <c r="BJ31">
        <f>(0.943*(0.9442 - 0.0007*$B31 - dis_BMI*($C31-21.75)) - 0.19*0.5)*AF31</f>
        <v>2.6269309992629501E-3</v>
      </c>
      <c r="BK31">
        <f>(0.943*(0.9442 - 0.0007*$B31 - dis_BMI*($C31-21.75)))*AG31</f>
        <v>1.2705176682190069E-2</v>
      </c>
      <c r="BL31">
        <f>(0.955*(0.9442 - 0.0007*$B31 - dis_BMI*($C31-21.75)) - 0.15*0.5)*AH31</f>
        <v>1.4396850359433425E-3</v>
      </c>
      <c r="BM31">
        <f>(0.955*(0.9442 - 0.0007*$B31 - dis_BMI*($C31-21.75)))*AI31</f>
        <v>8.9504389389255829E-3</v>
      </c>
      <c r="BN31">
        <f>(0.955*0.943*(0.9442 - 0.0007*$B31 - dis_BMI*($C31-21.75)) - 0.19*0.5)*AJ31</f>
        <v>8.094821797570507E-5</v>
      </c>
      <c r="BO31">
        <f>(0.955*0.943*(0.9442 - 0.0007*$B31 - dis_BMI*($C31-21.75)) - 0.15*0.5)*AK31</f>
        <v>6.7827256152046961E-5</v>
      </c>
      <c r="BP31">
        <f>(0.955*0.943*(0.9442 - 0.0007*$B31 - dis_BMI*($C31-21.75)))*AL31</f>
        <v>3.1418307167658036E-4</v>
      </c>
      <c r="BQ31">
        <f>(0.93*(0.9442 - 0.0007*$B31 - dis_BMI*($C31-21.75)))*AM31</f>
        <v>6.5061039553209908E-4</v>
      </c>
      <c r="BR31">
        <f>(0.93*(0.9442 - 0.0007*$B31 - dis_BMI*($C31-21.75)))*AN31</f>
        <v>7.7909722043916297E-3</v>
      </c>
      <c r="BS31">
        <f>(0.93*0.943*(0.9442 - 0.0007*$B31 - dis_BMI*($C31-21.75)))*AO31</f>
        <v>2.9842472053514435E-5</v>
      </c>
      <c r="BT31">
        <f>(0.93*0.943*(0.9442 - 0.0007*$B31 - dis_BMI*($C31-21.75))-0.19*0.5)*AP31</f>
        <v>6.0307349221123011E-5</v>
      </c>
      <c r="BU31">
        <f>(0.93*0.943*(0.9442 - 0.0007*$B31 - dis_BMI*($C31-21.75)))*AQ31</f>
        <v>2.5712028936911158E-4</v>
      </c>
      <c r="BV31">
        <f>0.962*(0.9442 - 0.0007*$B31 - dis_BMI*($C31-21.75))*AR31</f>
        <v>0.15794002591207798</v>
      </c>
      <c r="BW31">
        <f>0.962*0.959*(0.9442 - 0.0007*$B31 - dis_BMI*($C31-21.75))*AS31</f>
        <v>4.5954816725291669E-2</v>
      </c>
      <c r="BX31">
        <f>0.962*(0.943*(0.9442 - 0.0007*$B31 - dis_BMI*($C31-21.75)) - 0.19*0.5)*AT31</f>
        <v>2.9097203142367037E-3</v>
      </c>
      <c r="BY31">
        <f>0.962*(0.943*(0.9442 - 0.0007*$B31 - dis_BMI*($C31-21.75)))*AU31</f>
        <v>1.3183180079482229E-2</v>
      </c>
      <c r="BZ31">
        <f>0.962*(0.955*(0.9442 - 0.0007*$B31 - dis_BMI*($C31-21.75)) - 0.15*0.5)*AV31</f>
        <v>1.6523843885665156E-3</v>
      </c>
      <c r="CA31">
        <f>0.962*(0.955*(0.9442 - 0.0007*$B31 - dis_BMI*($C31-21.75)))*AW31</f>
        <v>9.6534606203472016E-3</v>
      </c>
      <c r="CB31">
        <f>0.962*(0.955*0.943*(0.9442 - 0.0007*$B31 - dis_BMI*($C31-21.75)) - 0.19*0.5)*AX31</f>
        <v>1.4505568449653698E-4</v>
      </c>
      <c r="CC31">
        <f>0.962*(0.955*0.943*(0.9442 - 0.0007*$B31 - dis_BMI*($C31-21.75)) - 0.15*0.5)*AY31</f>
        <v>1.215084998400959E-4</v>
      </c>
      <c r="CD31">
        <f>0.962*(0.955*0.943*(0.9442 - 0.0007*$B31 - dis_BMI*($C31-21.75)))*AZ31</f>
        <v>5.2471981543977071E-4</v>
      </c>
      <c r="CE31">
        <f>0.962*(0.93*(0.9442 - 0.0007*$B31 - dis_BMI*($C31-21.75)))*BA31</f>
        <v>7.2808893526576425E-4</v>
      </c>
      <c r="CF31">
        <f>0.962*(0.93*(0.9442 - 0.0007*$B31 - dis_BMI*($C31-21.75)))*BB31</f>
        <v>7.8926169884514299E-3</v>
      </c>
      <c r="CG31">
        <f>0.962*(0.93*0.943*(0.9442 - 0.0007*$B31 - dis_BMI*($C31-21.75)))*BC31</f>
        <v>5.2246331895768926E-5</v>
      </c>
      <c r="CH31">
        <f>0.962*(0.93*0.943*(0.9442 - 0.0007*$B31 - dis_BMI*($C31-21.75))-0.19*0.5)*BD31</f>
        <v>1.0169423434179005E-4</v>
      </c>
      <c r="CI31">
        <f>0.962*(0.93*0.943*(0.9442 - 0.0007*$B31 - dis_BMI*($C31-21.75)))*BE31</f>
        <v>4.0334936109576066E-4</v>
      </c>
      <c r="CJ31">
        <f t="shared" si="18"/>
        <v>0</v>
      </c>
      <c r="CK31">
        <f t="shared" si="19"/>
        <v>0.5802633962539977</v>
      </c>
      <c r="CL31">
        <f>CK31/(1+r_)^A31</f>
        <v>0.25361964121834141</v>
      </c>
      <c r="CM31">
        <f>AD31*c_SEM</f>
        <v>4089.2065590887755</v>
      </c>
      <c r="CN31">
        <f>AE31*(c_Other+c_SEM)</f>
        <v>1588.8816964811833</v>
      </c>
      <c r="CO31">
        <f>AF31*(c_Stroke1+c_Stroke2+c_SEM)</f>
        <v>137.95317126295862</v>
      </c>
      <c r="CP31">
        <f>AG31*(c_Stroke2 + c_SEM)</f>
        <v>316.40837279776065</v>
      </c>
      <c r="CQ31">
        <f>AH31*(c_MI1+c_MI2 + c_SEM)</f>
        <v>82.860244012541045</v>
      </c>
      <c r="CR31">
        <f>AI31*(c_MI2+c_SEM)</f>
        <v>183.0883987891462</v>
      </c>
      <c r="CS31">
        <f>AJ31*(c_Stroke1+c_Stroke2+c_MI2+c_SEM)</f>
        <v>4.8524177402784048</v>
      </c>
      <c r="CT31">
        <f>AK31*(c_Stroke2+c_MI1+c_MI2+c_SEM)</f>
        <v>4.7981465184568242</v>
      </c>
      <c r="CU31">
        <f>AL31*(c_Stroke2+c_MI2+c_SEM)</f>
        <v>9.4624705571674372</v>
      </c>
      <c r="CV31">
        <f>AM31*(c_HF1+c_SEM)</f>
        <v>33.194901087632935</v>
      </c>
      <c r="CW31">
        <f>AN31*(c_HF2+c_SEM)</f>
        <v>285.77724936194369</v>
      </c>
      <c r="CX31">
        <f>AO31*(c_Stroke2+c_HF1+c_SEM)</f>
        <v>1.8728266330698993</v>
      </c>
      <c r="CY31">
        <f>AP31*(c_Stroke1+c_Stroke2+c_HF2+c_SEM)</f>
        <v>4.8739146998337777</v>
      </c>
      <c r="CZ31">
        <f>AQ31*(c_Stroke2+c_HF2+c_SEM)</f>
        <v>12.225982725267768</v>
      </c>
      <c r="DA31">
        <f>AR31*(c_DM+c_SEM)</f>
        <v>4799.5180989688897</v>
      </c>
      <c r="DB31">
        <f>AS31*(c_Other+c_DM+c_SEM)</f>
        <v>2286.4784124944931</v>
      </c>
      <c r="DC31">
        <f>AT31*(c_Stroke1+c_Stroke2+c_DM+c_SEM)</f>
        <v>207.31825038336507</v>
      </c>
      <c r="DD31">
        <f>AU31*(c_Stroke2+c_DM+c_SEM)</f>
        <v>535.09459355225363</v>
      </c>
      <c r="DE31">
        <f>AV31*(c_MI1+c_MI2+c_DM+c_SEM)</f>
        <v>125.26704694999063</v>
      </c>
      <c r="DF31">
        <f>AW31*(c_MI2+c_DM+c_SEM)</f>
        <v>345.40719785317134</v>
      </c>
      <c r="DG31">
        <f>AX31*(c_Stroke1+c_Stroke2+c_MI2+c_DM+c_SEM)</f>
        <v>11.585421938553283</v>
      </c>
      <c r="DH31">
        <f>AY31*(c_Stroke2+c_MI1+c_MI2+c_DM+c_SEM)</f>
        <v>11.007098596281937</v>
      </c>
      <c r="DI31">
        <f>AZ31*(c_Stroke2+c_MI2+c_DM+c_SEM)</f>
        <v>24.505300613546353</v>
      </c>
      <c r="DJ31">
        <f>BA31*(c_HF1+c_DM+c_SEM)</f>
        <v>49.469002880506217</v>
      </c>
      <c r="DK31">
        <f>BB31*(c_HF2+c_DM+c_SEM)</f>
        <v>418.59721694920637</v>
      </c>
      <c r="DL31">
        <f>BC31*(c_Stroke2+c_HF1+c_DM+c_SEM)</f>
        <v>4.234261808094578</v>
      </c>
      <c r="DM31">
        <f>BD31*(c_Stroke1+c_Stroke2+c_HF2+c_DM+c_SEM)</f>
        <v>10.383669726502614</v>
      </c>
      <c r="DN31">
        <f>BE31*(c_Stroke2+c_HF2+c_DM+c_SEM)</f>
        <v>26.312922235434201</v>
      </c>
      <c r="DO31">
        <f t="shared" si="20"/>
        <v>0</v>
      </c>
      <c r="DP31">
        <f t="shared" si="39"/>
        <v>15610.634846706309</v>
      </c>
      <c r="DQ31">
        <f>DP31/(1+r_)^A31</f>
        <v>6823.0455937274983</v>
      </c>
    </row>
    <row r="32" spans="1:121" x14ac:dyDescent="0.3">
      <c r="A32">
        <v>29</v>
      </c>
      <c r="B32">
        <v>74</v>
      </c>
      <c r="C32">
        <f t="shared" si="40"/>
        <v>32.793999999999997</v>
      </c>
      <c r="D32">
        <f t="shared" si="1"/>
        <v>125</v>
      </c>
      <c r="E32">
        <f t="shared" si="41"/>
        <v>5.4</v>
      </c>
      <c r="F32">
        <v>2.171E-2</v>
      </c>
      <c r="G32">
        <v>3.1399999999999997E-2</v>
      </c>
      <c r="H32">
        <f t="shared" si="3"/>
        <v>2.3647999999999999E-2</v>
      </c>
      <c r="I32">
        <f t="shared" si="21"/>
        <v>1.9177515277734612E-2</v>
      </c>
      <c r="J32">
        <f t="shared" si="22"/>
        <v>0.26263799224537665</v>
      </c>
      <c r="K32">
        <f t="shared" si="23"/>
        <v>0.34733843235467576</v>
      </c>
      <c r="L32">
        <f t="shared" si="24"/>
        <v>0.13431434058254843</v>
      </c>
      <c r="M32">
        <f t="shared" si="25"/>
        <v>0.18290315778150534</v>
      </c>
      <c r="N32">
        <f t="shared" si="26"/>
        <v>0.54513210364978471</v>
      </c>
      <c r="O32">
        <f t="shared" si="27"/>
        <v>0.67145436660059421</v>
      </c>
      <c r="P32">
        <f t="shared" si="28"/>
        <v>0.32123855469057461</v>
      </c>
      <c r="Q32">
        <f t="shared" si="29"/>
        <v>0.42161340434270511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2.139867136692641E-2</v>
      </c>
      <c r="U32">
        <f t="shared" si="30"/>
        <v>0.48473275757482814</v>
      </c>
      <c r="V32">
        <f t="shared" si="31"/>
        <v>0.60490271691423647</v>
      </c>
      <c r="W32">
        <f t="shared" si="32"/>
        <v>0.26940527191542185</v>
      </c>
      <c r="X32">
        <f t="shared" si="33"/>
        <v>0.35571182584746797</v>
      </c>
      <c r="Y32">
        <f t="shared" si="34"/>
        <v>0.73827841142868222</v>
      </c>
      <c r="Z32">
        <f t="shared" si="35"/>
        <v>0.84954253854451278</v>
      </c>
      <c r="AA32">
        <f t="shared" si="36"/>
        <v>0.48282080249714354</v>
      </c>
      <c r="AB32">
        <f t="shared" si="37"/>
        <v>0.60610726289909933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3.7294817939717895E-2</v>
      </c>
      <c r="AD32">
        <f t="shared" si="38"/>
        <v>0.28212673422130807</v>
      </c>
      <c r="AE32">
        <f t="shared" si="6"/>
        <v>5.6430259846863479E-2</v>
      </c>
      <c r="AF32">
        <f t="shared" si="7"/>
        <v>3.6380258537400015E-3</v>
      </c>
      <c r="AG32">
        <f t="shared" si="8"/>
        <v>1.5395574545890918E-2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1.9128216759752631E-3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1.0816788543475644E-2</v>
      </c>
      <c r="AJ32">
        <f t="shared" si="11"/>
        <v>1.2296973189162124E-4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9.9802169642554606E-5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4.0979165071603781E-4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8.0897367019578282E-4</v>
      </c>
      <c r="AN32">
        <f t="shared" si="15"/>
        <v>9.9389826743414549E-3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4.0761001272193483E-5</v>
      </c>
      <c r="AP32">
        <f>AM31*T31*p_Stroke*p_Stroke_rec*(1-I31) + AN31*T31*p_Stroke*p_Stroke_rec*(1-I31) + AO31*(p_recur_Stroke*p_Stroke_rec)*(1-I31) + AP31*(p_recur_Stroke*p_Stroke_rec)*(1-I31) + AQ31*(p_recur_Stroke*p_Stroke_rec)*(1-I31)</f>
        <v>9.6868059588544814E-5</v>
      </c>
      <c r="AQ32">
        <f>AO31*(1-p_recur_Stroke-H31*rr_Stroke*rr_HF)*(1-I31) + AP31*(1-p_recur_Stroke-H31*rr_Stroke*rr_HF)*(1-I31) + AQ31*(1-p_recur_Stroke-H31*rr_Stroke*rr_HF)*(1-I31)</f>
        <v>3.5243022515941817E-4</v>
      </c>
      <c r="AR32">
        <f>AR31*(1-AC31-H31*rr_DM) + AD31*(1-T31-H31)*I31</f>
        <v>0.1855076464048884</v>
      </c>
      <c r="AS32">
        <f>AR31*AC31*p_Other + AD31*T31*p_Other*I31 + AE31*(1-T31*p_Stroke-T31*p_MI-H31*rr_Other)*I31 + AS31*(1-AC31*p_Stroke-AC31*p_MI-H31*rr_Other*rr_DM)</f>
        <v>5.9410197132457022E-2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4.3294011494742438E-3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1.7163143146844157E-2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2.3583400711217504E-3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1.2569235227045353E-2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2.3695787858244973E-4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1.9192452927705128E-4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7.3410390182964162E-4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9.7419111800112451E-4</v>
      </c>
      <c r="BB32">
        <f>AM31*(1-T31*p_Stroke - H31*rr_HF)*I31 + AN31*(1-T31*p_Stroke - H31*rr_HF)*I31 + BA31*(1-AC31*p_Stroke - H31*rr_HF*rr_DM) + BB31*(1-AC31*p_Stroke - H31*rr_HF*rr_DM)</f>
        <v>1.0845596480014437E-2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7.6702448990295557E-5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1.7559092270141171E-4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5.9259410452754634E-4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0.28064359161418412</v>
      </c>
      <c r="BG32">
        <f t="shared" si="17"/>
        <v>0.95799999999999996</v>
      </c>
      <c r="BH32">
        <f>(0.9442 - 0.0007*$B32 - dis_BMI*($C32-21.75))*AD32</f>
        <v>0.24148773236505294</v>
      </c>
      <c r="BI32">
        <f>0.959*(0.9442 - 0.0007*$B32 - dis_BMI*($C32-21.75))*AE32</f>
        <v>4.6321379958142096E-2</v>
      </c>
      <c r="BJ32">
        <f>(0.943*(0.9442 - 0.0007*$B32 - dis_BMI*($C32-21.75)) - 0.19*0.5)*AF32</f>
        <v>2.5908760514816798E-3</v>
      </c>
      <c r="BK32">
        <f>(0.943*(0.9442 - 0.0007*$B32 - dis_BMI*($C32-21.75)))*AG32</f>
        <v>1.2426774723228303E-2</v>
      </c>
      <c r="BL32">
        <f>(0.955*(0.9442 - 0.0007*$B32 - dis_BMI*($C32-21.75)) - 0.15*0.5)*AH32</f>
        <v>1.4201492691176484E-3</v>
      </c>
      <c r="BM32">
        <f>(0.955*(0.9442 - 0.0007*$B32 - dis_BMI*($C32-21.75)))*AI32</f>
        <v>8.842041381026202E-3</v>
      </c>
      <c r="BN32">
        <f>(0.955*0.943*(0.9442 - 0.0007*$B32 - dis_BMI*($C32-21.75)) - 0.19*0.5)*AJ32</f>
        <v>8.310822445163869E-5</v>
      </c>
      <c r="BO32">
        <f>(0.955*0.943*(0.9442 - 0.0007*$B32 - dis_BMI*($C32-21.75)) - 0.15*0.5)*AK32</f>
        <v>6.9446634589749535E-5</v>
      </c>
      <c r="BP32">
        <f>(0.955*0.943*(0.9442 - 0.0007*$B32 - dis_BMI*($C32-21.75)))*AL32</f>
        <v>3.1588499855597754E-4</v>
      </c>
      <c r="BQ32">
        <f>(0.93*(0.9442 - 0.0007*$B32 - dis_BMI*($C32-21.75)))*AM32</f>
        <v>6.4397375335225856E-4</v>
      </c>
      <c r="BR32">
        <f>(0.93*(0.9442 - 0.0007*$B32 - dis_BMI*($C32-21.75)))*AN32</f>
        <v>7.9118075323140486E-3</v>
      </c>
      <c r="BS32">
        <f>(0.93*0.943*(0.9442 - 0.0007*$B32 - dis_BMI*($C32-21.75)))*AO32</f>
        <v>3.0597808108909174E-5</v>
      </c>
      <c r="BT32">
        <f>(0.93*0.943*(0.9442 - 0.0007*$B32 - dis_BMI*($C32-21.75))-0.19*0.5)*AP32</f>
        <v>6.3512880053488889E-5</v>
      </c>
      <c r="BU32">
        <f>(0.93*0.943*(0.9442 - 0.0007*$B32 - dis_BMI*($C32-21.75)))*AQ32</f>
        <v>2.645566120713509E-4</v>
      </c>
      <c r="BV32">
        <f>0.962*(0.9442 - 0.0007*$B32 - dis_BMI*($C32-21.75))*AR32</f>
        <v>0.15275228628264226</v>
      </c>
      <c r="BW32">
        <f>0.962*0.959*(0.9442 - 0.0007*$B32 - dis_BMI*($C32-21.75))*AS32</f>
        <v>4.6914328482343642E-2</v>
      </c>
      <c r="BX32">
        <f>0.962*(0.943*(0.9442 - 0.0007*$B32 - dis_BMI*($C32-21.75)) - 0.19*0.5)*AT32</f>
        <v>2.9660861144322451E-3</v>
      </c>
      <c r="BY32">
        <f>0.962*(0.943*(0.9442 - 0.0007*$B32 - dis_BMI*($C32-21.75)))*AU32</f>
        <v>1.3327062092193023E-2</v>
      </c>
      <c r="BZ32">
        <f>0.962*(0.955*(0.9442 - 0.0007*$B32 - dis_BMI*($C32-21.75)) - 0.15*0.5)*AV32</f>
        <v>1.6843836315348067E-3</v>
      </c>
      <c r="CA32">
        <f>0.962*(0.955*(0.9442 - 0.0007*$B32 - dis_BMI*($C32-21.75)))*AW32</f>
        <v>9.8841227275049317E-3</v>
      </c>
      <c r="CB32">
        <f>0.962*(0.955*0.943*(0.9442 - 0.0007*$B32 - dis_BMI*($C32-21.75)) - 0.19*0.5)*AX32</f>
        <v>1.5406074830086111E-4</v>
      </c>
      <c r="CC32">
        <f>0.962*(0.955*0.943*(0.9442 - 0.0007*$B32 - dis_BMI*($C32-21.75)) - 0.15*0.5)*AY32</f>
        <v>1.2847445319678091E-4</v>
      </c>
      <c r="CD32">
        <f>0.962*(0.955*0.943*(0.9442 - 0.0007*$B32 - dis_BMI*($C32-21.75)))*AZ32</f>
        <v>5.4437541126268303E-4</v>
      </c>
      <c r="CE32">
        <f>0.962*(0.93*(0.9442 - 0.0007*$B32 - dis_BMI*($C32-21.75)))*BA32</f>
        <v>7.4602437578392012E-4</v>
      </c>
      <c r="CF32">
        <f>0.962*(0.93*(0.9442 - 0.0007*$B32 - dis_BMI*($C32-21.75)))*BB32</f>
        <v>8.3054332917842418E-3</v>
      </c>
      <c r="CG32">
        <f>0.962*(0.93*0.943*(0.9442 - 0.0007*$B32 - dis_BMI*($C32-21.75)))*BC32</f>
        <v>5.5389797262720667E-5</v>
      </c>
      <c r="CH32">
        <f>0.962*(0.93*0.943*(0.9442 - 0.0007*$B32 - dis_BMI*($C32-21.75))-0.19*0.5)*BD32</f>
        <v>1.1075372439098894E-4</v>
      </c>
      <c r="CI32">
        <f>0.962*(0.93*0.943*(0.9442 - 0.0007*$B32 - dis_BMI*($C32-21.75)))*BE32</f>
        <v>4.2793506258212384E-4</v>
      </c>
      <c r="CJ32">
        <f t="shared" si="18"/>
        <v>0</v>
      </c>
      <c r="CK32">
        <f t="shared" si="19"/>
        <v>0.56047255838676147</v>
      </c>
      <c r="CL32">
        <f>CK32/(1+r_)^A32</f>
        <v>0.23783449132117235</v>
      </c>
      <c r="CM32">
        <f>AD32*c_SEM</f>
        <v>3842.0018666257733</v>
      </c>
      <c r="CN32">
        <f>AE32*(c_Other+c_SEM)</f>
        <v>1574.2349589479504</v>
      </c>
      <c r="CO32">
        <f>AF32*(c_Stroke1+c_Stroke2+c_SEM)</f>
        <v>136.18585980890322</v>
      </c>
      <c r="CP32">
        <f>AG32*(c_Stroke2 + c_SEM)</f>
        <v>309.7281687142335</v>
      </c>
      <c r="CQ32">
        <f>AH32*(c_MI1+c_MI2 + c_SEM)</f>
        <v>81.809470259786025</v>
      </c>
      <c r="CR32">
        <f>AI32*(c_MI2+c_SEM)</f>
        <v>181.01895627506491</v>
      </c>
      <c r="CS32">
        <f>AJ32*(c_Stroke1+c_Stroke2+c_MI2+c_SEM)</f>
        <v>4.9865455979371331</v>
      </c>
      <c r="CT32">
        <f>AK32*(c_Stroke2+c_MI1+c_MI2+c_SEM)</f>
        <v>4.9171530961190228</v>
      </c>
      <c r="CU32">
        <f>AL32*(c_Stroke2+c_MI2+c_SEM)</f>
        <v>9.5215090043871378</v>
      </c>
      <c r="CV32">
        <f>AM32*(c_HF1+c_SEM)</f>
        <v>32.883161746118176</v>
      </c>
      <c r="CW32">
        <f>AN32*(c_HF2+c_SEM)</f>
        <v>290.44689069228036</v>
      </c>
      <c r="CX32">
        <f>AO32*(c_Stroke2+c_HF1+c_SEM)</f>
        <v>1.9217996879813783</v>
      </c>
      <c r="CY32">
        <f>AP32*(c_Stroke1+c_Stroke2+c_HF2+c_SEM)</f>
        <v>5.1377850125168285</v>
      </c>
      <c r="CZ32">
        <f>AQ32*(c_Stroke2+c_HF2+c_SEM)</f>
        <v>12.589864933369896</v>
      </c>
      <c r="DA32">
        <f>AR32*(c_DM+c_SEM)</f>
        <v>4645.6679889176203</v>
      </c>
      <c r="DB32">
        <f>AS32*(c_Other+c_DM+c_SEM)</f>
        <v>2336.1277716424752</v>
      </c>
      <c r="DC32">
        <f>AT32*(c_Stroke1+c_Stroke2+c_DM+c_SEM)</f>
        <v>211.53021076216208</v>
      </c>
      <c r="DD32">
        <f>AU32*(c_Stroke2+c_DM+c_SEM)</f>
        <v>541.37702428090529</v>
      </c>
      <c r="DE32">
        <f>AV32*(c_MI1+c_MI2+c_DM+c_SEM)</f>
        <v>127.80788181437214</v>
      </c>
      <c r="DF32">
        <f>AW32*(c_MI2+c_DM+c_SEM)</f>
        <v>353.94966399359714</v>
      </c>
      <c r="DG32">
        <f>AX32*(c_Stroke1+c_Stroke2+c_MI2+c_DM+c_SEM)</f>
        <v>12.316122697201408</v>
      </c>
      <c r="DH32">
        <f>AY32*(c_Stroke2+c_MI1+c_MI2+c_DM+c_SEM)</f>
        <v>11.648667379941351</v>
      </c>
      <c r="DI32">
        <f>AZ32*(c_Stroke2+c_MI2+c_DM+c_SEM)</f>
        <v>25.44404123741538</v>
      </c>
      <c r="DJ32">
        <f>BA32*(c_HF1+c_DM+c_SEM)</f>
        <v>50.729054087672559</v>
      </c>
      <c r="DK32">
        <f>BB32*(c_HF2+c_DM+c_SEM)</f>
        <v>440.85180571962684</v>
      </c>
      <c r="DL32">
        <f>BC32*(c_Stroke2+c_HF1+c_DM+c_SEM)</f>
        <v>4.4926925447085813</v>
      </c>
      <c r="DM32">
        <f>BD32*(c_Stroke1+c_Stroke2+c_HF2+c_DM+c_SEM)</f>
        <v>11.319293241023805</v>
      </c>
      <c r="DN32">
        <f>BE32*(c_Stroke2+c_HF2+c_DM+c_SEM)</f>
        <v>27.939626840264754</v>
      </c>
      <c r="DO32">
        <f t="shared" si="20"/>
        <v>0</v>
      </c>
      <c r="DP32">
        <f t="shared" si="39"/>
        <v>15288.585835561411</v>
      </c>
      <c r="DQ32">
        <f>DP32/(1+r_)^A32</f>
        <v>6487.6557840529522</v>
      </c>
    </row>
    <row r="33" spans="1:121" x14ac:dyDescent="0.3">
      <c r="A33">
        <v>30</v>
      </c>
      <c r="B33">
        <v>75</v>
      </c>
      <c r="C33">
        <f t="shared" si="40"/>
        <v>32.793999999999997</v>
      </c>
      <c r="D33">
        <f t="shared" si="1"/>
        <v>125</v>
      </c>
      <c r="E33">
        <f t="shared" si="41"/>
        <v>5.4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1"/>
        <v>1.9177515277734612E-2</v>
      </c>
      <c r="J33">
        <f t="shared" si="22"/>
        <v>0.27094808797986514</v>
      </c>
      <c r="K33">
        <f t="shared" si="23"/>
        <v>0.35761647267093766</v>
      </c>
      <c r="L33">
        <f t="shared" si="24"/>
        <v>0.13894674992459621</v>
      </c>
      <c r="M33">
        <f t="shared" si="25"/>
        <v>0.18902010264472902</v>
      </c>
      <c r="N33">
        <f t="shared" si="26"/>
        <v>0.56016797508899185</v>
      </c>
      <c r="O33">
        <f t="shared" si="27"/>
        <v>0.68669432046352386</v>
      </c>
      <c r="P33">
        <f t="shared" si="28"/>
        <v>0.33236923872987689</v>
      </c>
      <c r="Q33">
        <f t="shared" si="29"/>
        <v>0.43496963142873246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2.208868974811766E-2</v>
      </c>
      <c r="U33">
        <f t="shared" si="30"/>
        <v>0.4972870382337834</v>
      </c>
      <c r="V33">
        <f t="shared" si="31"/>
        <v>0.61831829056806242</v>
      </c>
      <c r="W33">
        <f t="shared" si="32"/>
        <v>0.2778868190432765</v>
      </c>
      <c r="X33">
        <f t="shared" si="33"/>
        <v>0.36616254126810399</v>
      </c>
      <c r="Y33">
        <f t="shared" si="34"/>
        <v>0.75282868140215542</v>
      </c>
      <c r="Z33">
        <f t="shared" si="35"/>
        <v>0.8612244351892786</v>
      </c>
      <c r="AA33">
        <f t="shared" si="36"/>
        <v>0.4971693135893096</v>
      </c>
      <c r="AB33">
        <f t="shared" si="37"/>
        <v>0.62145956764034804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3.8324271423248311E-2</v>
      </c>
      <c r="AD33">
        <f t="shared" si="38"/>
        <v>0.26425109873919317</v>
      </c>
      <c r="AE33">
        <f t="shared" si="6"/>
        <v>5.5584991765648628E-2</v>
      </c>
      <c r="AF33">
        <f t="shared" si="7"/>
        <v>3.5645851340499884E-3</v>
      </c>
      <c r="AG33">
        <f t="shared" si="8"/>
        <v>1.4958651341138916E-2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1.622460516270663E-3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1.0033518706414604E-2</v>
      </c>
      <c r="AJ33">
        <f t="shared" si="11"/>
        <v>1.2502952976580658E-4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8.7276906079113576E-5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3.7781313701225138E-4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1.665739982404755E-3</v>
      </c>
      <c r="AN33">
        <f t="shared" si="15"/>
        <v>1.0036239617678726E-2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8.5509160891530592E-5</v>
      </c>
      <c r="AP33">
        <f>AM32*T32*p_Stroke*p_Stroke_rec*(1-I32) + AN32*T32*p_Stroke*p_Stroke_rec*(1-I32) + AO32*(p_recur_Stroke*p_Stroke_rec)*(1-I32) + AP32*(p_recur_Stroke*p_Stroke_rec)*(1-I32) + AQ32*(p_recur_Stroke*p_Stroke_rec)*(1-I32)</f>
        <v>1.0079799816868141E-4</v>
      </c>
      <c r="AQ33">
        <f>AO32*(1-p_recur_Stroke-H32*rr_Stroke*rr_HF)*(1-I32) + AP32*(1-p_recur_Stroke-H32*rr_Stroke*rr_HF)*(1-I32) + AQ32*(1-p_recur_Stroke-H32*rr_Stroke*rr_HF)*(1-I32)</f>
        <v>3.5823042425944395E-4</v>
      </c>
      <c r="AR33">
        <f>AR32*(1-AC32-H32*rr_DM) + AD32*(1-T32-H32)*I32</f>
        <v>0.17871102016210577</v>
      </c>
      <c r="AS33">
        <f>AR32*AC32*p_Other + AD32*T32*p_Other*I32 + AE32*(1-T32*p_Stroke-T32*p_MI-H32*rr_Other)*I32 + AS32*(1-AC32*p_Stroke-AC32*p_MI-H32*rr_Other*rr_DM)</f>
        <v>6.023534361617601E-2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4.3752629887568442E-3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1.7200108098602458E-2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2.0631268893379589E-3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1.2053956009942992E-2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2.4864053294603578E-4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1.7286991236251074E-4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6.9518759025141014E-4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2.0617695594695794E-3</v>
      </c>
      <c r="BB33">
        <f>AM32*(1-T32*p_Stroke - H32*rr_HF)*I32 + AN32*(1-T32*p_Stroke - H32*rr_HF)*I32 + BA32*(1-AC32*p_Stroke - H32*rr_HF*rr_DM) + BB32*(1-AC32*p_Stroke - H32*rr_HF*rr_DM)</f>
        <v>1.1329609628095046E-2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1.6506634239238377E-4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1.8852326905188804E-4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6.1961515668348954E-4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0.30502795728484933</v>
      </c>
      <c r="BG33">
        <f t="shared" si="17"/>
        <v>0.95800000000000018</v>
      </c>
      <c r="BH33">
        <f>(0.9442 - 0.0007*$B33 - dis_BMI*($C33-21.75))*AD33</f>
        <v>0.22600202060196892</v>
      </c>
      <c r="BI33">
        <f>0.959*(0.9442 - 0.0007*$B33 - dis_BMI*($C33-21.75))*AE33</f>
        <v>4.559021844389468E-2</v>
      </c>
      <c r="BJ33">
        <f>(0.943*(0.9442 - 0.0007*$B33 - dis_BMI*($C33-21.75)) - 0.19*0.5)*AF33</f>
        <v>2.5362211310535681E-3</v>
      </c>
      <c r="BK33">
        <f>(0.943*(0.9442 - 0.0007*$B33 - dis_BMI*($C33-21.75)))*AG33</f>
        <v>1.2064231234456472E-2</v>
      </c>
      <c r="BL33">
        <f>(0.955*(0.9442 - 0.0007*$B33 - dis_BMI*($C33-21.75)) - 0.15*0.5)*AH33</f>
        <v>1.2034898341348698E-3</v>
      </c>
      <c r="BM33">
        <f>(0.955*(0.9442 - 0.0007*$B33 - dis_BMI*($C33-21.75)))*AI33</f>
        <v>8.1950603579960916E-3</v>
      </c>
      <c r="BN33">
        <f>(0.955*0.943*(0.9442 - 0.0007*$B33 - dis_BMI*($C33-21.75)) - 0.19*0.5)*AJ33</f>
        <v>8.4421506238395222E-5</v>
      </c>
      <c r="BO33">
        <f>(0.955*0.943*(0.9442 - 0.0007*$B33 - dis_BMI*($C33-21.75)) - 0.15*0.5)*AK33</f>
        <v>6.067599946800857E-5</v>
      </c>
      <c r="BP33">
        <f>(0.955*0.943*(0.9442 - 0.0007*$B33 - dis_BMI*($C33-21.75)))*AL33</f>
        <v>2.9099641551140411E-4</v>
      </c>
      <c r="BQ33">
        <f>(0.93*(0.9442 - 0.0007*$B33 - dis_BMI*($C33-21.75)))*AM33</f>
        <v>1.3249078674183318E-3</v>
      </c>
      <c r="BR33">
        <f>(0.93*(0.9442 - 0.0007*$B33 - dis_BMI*($C33-21.75)))*AN33</f>
        <v>7.9826941594820042E-3</v>
      </c>
      <c r="BS33">
        <f>(0.93*0.943*(0.9442 - 0.0007*$B33 - dis_BMI*($C33-21.75)))*AO33</f>
        <v>6.413613817878704E-5</v>
      </c>
      <c r="BT33">
        <f>(0.93*0.943*(0.9442 - 0.0007*$B33 - dis_BMI*($C33-21.75))-0.19*0.5)*AP33</f>
        <v>6.602771933142244E-5</v>
      </c>
      <c r="BU33">
        <f>(0.93*0.943*(0.9442 - 0.0007*$B33 - dis_BMI*($C33-21.75)))*AQ33</f>
        <v>2.686906964189945E-4</v>
      </c>
      <c r="BV33">
        <f>0.962*(0.9442 - 0.0007*$B33 - dis_BMI*($C33-21.75))*AR33</f>
        <v>0.14703540640988932</v>
      </c>
      <c r="BW33">
        <f>0.962*0.959*(0.9442 - 0.0007*$B33 - dis_BMI*($C33-21.75))*AS33</f>
        <v>4.7527020794558568E-2</v>
      </c>
      <c r="BX33">
        <f>0.962*(0.943*(0.9442 - 0.0007*$B33 - dis_BMI*($C33-21.75)) - 0.19*0.5)*AT33</f>
        <v>2.9947278394568799E-3</v>
      </c>
      <c r="BY33">
        <f>0.962*(0.943*(0.9442 - 0.0007*$B33 - dis_BMI*($C33-21.75)))*AU33</f>
        <v>1.3344842774598671E-2</v>
      </c>
      <c r="BZ33">
        <f>0.962*(0.955*(0.9442 - 0.0007*$B33 - dis_BMI*($C33-21.75)) - 0.15*0.5)*AV33</f>
        <v>1.4722084321044972E-3</v>
      </c>
      <c r="CA33">
        <f>0.962*(0.955*(0.9442 - 0.0007*$B33 - dis_BMI*($C33-21.75)))*AW33</f>
        <v>9.4711685647531092E-3</v>
      </c>
      <c r="CB33">
        <f>0.962*(0.955*0.943*(0.9442 - 0.0007*$B33 - dis_BMI*($C33-21.75)) - 0.19*0.5)*AX33</f>
        <v>1.6150556772886204E-4</v>
      </c>
      <c r="CC33">
        <f>0.962*(0.955*0.943*(0.9442 - 0.0007*$B33 - dis_BMI*($C33-21.75)) - 0.15*0.5)*AY33</f>
        <v>1.156144401176997E-4</v>
      </c>
      <c r="CD33">
        <f>0.962*(0.955*0.943*(0.9442 - 0.0007*$B33 - dis_BMI*($C33-21.75)))*AZ33</f>
        <v>5.1509539538260136E-4</v>
      </c>
      <c r="CE33">
        <f>0.962*(0.93*(0.9442 - 0.0007*$B33 - dis_BMI*($C33-21.75)))*BA33</f>
        <v>1.5775882544199096E-3</v>
      </c>
      <c r="CF33">
        <f>0.962*(0.93*(0.9442 - 0.0007*$B33 - dis_BMI*($C33-21.75)))*BB33</f>
        <v>8.6689897007906531E-3</v>
      </c>
      <c r="CG33">
        <f>0.962*(0.93*0.943*(0.9442 - 0.0007*$B33 - dis_BMI*($C33-21.75)))*BC33</f>
        <v>1.1910329096760586E-4</v>
      </c>
      <c r="CH33">
        <f>0.962*(0.93*0.943*(0.9442 - 0.0007*$B33 - dis_BMI*($C33-21.75))-0.19*0.5)*BD33</f>
        <v>1.1879944817453448E-4</v>
      </c>
      <c r="CI33">
        <f>0.962*(0.93*0.943*(0.9442 - 0.0007*$B33 - dis_BMI*($C33-21.75)))*BE33</f>
        <v>4.4708208363268022E-4</v>
      </c>
      <c r="CJ33">
        <f t="shared" si="18"/>
        <v>0</v>
      </c>
      <c r="CK33">
        <f t="shared" si="19"/>
        <v>0.53930294510212762</v>
      </c>
      <c r="CL33">
        <f>CK33/(1+r_)^A33</f>
        <v>0.22218567275001058</v>
      </c>
      <c r="CM33">
        <f>AD33*c_SEM</f>
        <v>3598.5714626303325</v>
      </c>
      <c r="CN33">
        <f>AE33*(c_Other+c_SEM)</f>
        <v>1550.6545152862998</v>
      </c>
      <c r="CO33">
        <f>AF33*(c_Stroke1+c_Stroke2+c_SEM)</f>
        <v>133.43667990802726</v>
      </c>
      <c r="CP33">
        <f>AG33*(c_Stroke2 + c_SEM)</f>
        <v>300.93814768103272</v>
      </c>
      <c r="CQ33">
        <f>AH33*(c_MI1+c_MI2 + c_SEM)</f>
        <v>69.391013820379982</v>
      </c>
      <c r="CR33">
        <f>AI33*(c_MI2+c_SEM)</f>
        <v>167.91093555184838</v>
      </c>
      <c r="CS33">
        <f>AJ33*(c_Stroke1+c_Stroke2+c_MI2+c_SEM)</f>
        <v>5.0700724615332229</v>
      </c>
      <c r="CT33">
        <f>AK33*(c_Stroke2+c_MI1+c_MI2+c_SEM)</f>
        <v>4.3000458856118469</v>
      </c>
      <c r="CU33">
        <f>AL33*(c_Stroke2+c_MI2+c_SEM)</f>
        <v>8.7784882384796603</v>
      </c>
      <c r="CV33">
        <f>AM33*(c_HF1+c_SEM)</f>
        <v>67.708998804788479</v>
      </c>
      <c r="CW33">
        <f>AN33*(c_HF2+c_SEM)</f>
        <v>293.28903034742541</v>
      </c>
      <c r="CX33">
        <f>AO33*(c_Stroke2+c_HF1+c_SEM)</f>
        <v>4.0315859177138842</v>
      </c>
      <c r="CY33">
        <f>AP33*(c_Stroke1+c_Stroke2+c_HF2+c_SEM)</f>
        <v>5.3462250248686933</v>
      </c>
      <c r="CZ33">
        <f>AQ33*(c_Stroke2+c_HF2+c_SEM)</f>
        <v>12.797065445820117</v>
      </c>
      <c r="DA33">
        <f>AR33*(c_DM+c_SEM)</f>
        <v>4475.4600779196153</v>
      </c>
      <c r="DB33">
        <f>AS33*(c_Other+c_DM+c_SEM)</f>
        <v>2368.5741816752729</v>
      </c>
      <c r="DC33">
        <f>AT33*(c_Stroke1+c_Stroke2+c_DM+c_SEM)</f>
        <v>213.77097436767065</v>
      </c>
      <c r="DD33">
        <f>AU33*(c_Stroke2+c_DM+c_SEM)</f>
        <v>542.54300975421734</v>
      </c>
      <c r="DE33">
        <f>AV33*(c_MI1+c_MI2+c_DM+c_SEM)</f>
        <v>111.80909864078134</v>
      </c>
      <c r="DF33">
        <f>AW33*(c_MI2+c_DM+c_SEM)</f>
        <v>339.43940123999465</v>
      </c>
      <c r="DG33">
        <f>AX33*(c_Stroke1+c_Stroke2+c_MI2+c_DM+c_SEM)</f>
        <v>12.923340340403156</v>
      </c>
      <c r="DH33">
        <f>AY33*(c_Stroke2+c_MI1+c_MI2+c_DM+c_SEM)</f>
        <v>10.492166460930227</v>
      </c>
      <c r="DI33">
        <f>AZ33*(c_Stroke2+c_MI2+c_DM+c_SEM)</f>
        <v>24.095201878113876</v>
      </c>
      <c r="DJ33">
        <f>BA33*(c_HF1+c_DM+c_SEM)</f>
        <v>107.36252627025941</v>
      </c>
      <c r="DK33">
        <f>BB33*(c_HF2+c_DM+c_SEM)</f>
        <v>460.52597216280742</v>
      </c>
      <c r="DL33">
        <f>BC33*(c_Stroke2+c_HF1+c_DM+c_SEM)</f>
        <v>9.6684308729490951</v>
      </c>
      <c r="DM33">
        <f>BD33*(c_Stroke1+c_Stroke2+c_HF2+c_DM+c_SEM)</f>
        <v>12.15296401616091</v>
      </c>
      <c r="DN33">
        <f>BE33*(c_Stroke2+c_HF2+c_DM+c_SEM)</f>
        <v>29.213615407313164</v>
      </c>
      <c r="DO33">
        <f t="shared" si="20"/>
        <v>0</v>
      </c>
      <c r="DP33">
        <f t="shared" si="39"/>
        <v>14940.255228010652</v>
      </c>
      <c r="DQ33">
        <f>DP33/(1+r_)^A33</f>
        <v>6155.1873377286956</v>
      </c>
    </row>
    <row r="34" spans="1:121" x14ac:dyDescent="0.3">
      <c r="A34">
        <v>31</v>
      </c>
      <c r="B34">
        <v>76</v>
      </c>
      <c r="C34">
        <f t="shared" si="40"/>
        <v>32.793999999999997</v>
      </c>
      <c r="D34">
        <f t="shared" si="1"/>
        <v>125</v>
      </c>
      <c r="E34">
        <f t="shared" si="41"/>
        <v>5.4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1"/>
        <v>1.9177515277734612E-2</v>
      </c>
      <c r="J34">
        <f t="shared" si="22"/>
        <v>0.27935415327087743</v>
      </c>
      <c r="K34">
        <f t="shared" si="23"/>
        <v>0.36796558100453236</v>
      </c>
      <c r="L34">
        <f t="shared" si="24"/>
        <v>0.14366103403305464</v>
      </c>
      <c r="M34">
        <f t="shared" si="25"/>
        <v>0.19523164356805323</v>
      </c>
      <c r="N34">
        <f t="shared" si="26"/>
        <v>0.57511512141043719</v>
      </c>
      <c r="O34">
        <f t="shared" si="27"/>
        <v>0.70163255886682085</v>
      </c>
      <c r="P34">
        <f t="shared" si="28"/>
        <v>0.34362757522964871</v>
      </c>
      <c r="Q34">
        <f t="shared" si="29"/>
        <v>0.44838579915298693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2.2786201846264762E-2</v>
      </c>
      <c r="U34">
        <f t="shared" si="30"/>
        <v>0.5098161886481003</v>
      </c>
      <c r="V34">
        <f t="shared" si="31"/>
        <v>0.63157389378683659</v>
      </c>
      <c r="W34">
        <f t="shared" si="32"/>
        <v>0.28646333957015657</v>
      </c>
      <c r="X34">
        <f t="shared" si="33"/>
        <v>0.37668040683420323</v>
      </c>
      <c r="Y34">
        <f t="shared" si="34"/>
        <v>0.76695124709626472</v>
      </c>
      <c r="Z34">
        <f t="shared" si="35"/>
        <v>0.87229458515421421</v>
      </c>
      <c r="AA34">
        <f t="shared" si="36"/>
        <v>0.51151262145864362</v>
      </c>
      <c r="AB34">
        <f t="shared" si="37"/>
        <v>0.63662652163849498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3.9354920184808746E-2</v>
      </c>
      <c r="AD34">
        <f t="shared" si="38"/>
        <v>0.24646148153392883</v>
      </c>
      <c r="AE34">
        <f t="shared" si="6"/>
        <v>5.4329446985361095E-2</v>
      </c>
      <c r="AF34">
        <f t="shared" si="7"/>
        <v>3.4719826761728679E-3</v>
      </c>
      <c r="AG34">
        <f t="shared" si="8"/>
        <v>1.4364407569880073E-2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1.5462733703650896E-3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9.1249891964943642E-3</v>
      </c>
      <c r="AJ34">
        <f t="shared" si="11"/>
        <v>1.1733467588342755E-4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8.5527346088791329E-5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3.4287914462699569E-4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1.5501804798431413E-3</v>
      </c>
      <c r="AN34">
        <f t="shared" si="15"/>
        <v>1.0855330130312186E-2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8.1459615854647288E-5</v>
      </c>
      <c r="AP34">
        <f>AM33*T33*p_Stroke*p_Stroke_rec*(1-I33) + AN33*T33*p_Stroke*p_Stroke_rec*(1-I33) + AO33*(p_recur_Stroke*p_Stroke_rec)*(1-I33) + AP33*(p_recur_Stroke*p_Stroke_rec)*(1-I33) + AQ33*(p_recur_Stroke*p_Stroke_rec)*(1-I33)</f>
        <v>1.1260981130877559E-4</v>
      </c>
      <c r="AQ34">
        <f>AO33*(1-p_recur_Stroke-H33*rr_Stroke*rr_HF)*(1-I33) + AP33*(1-p_recur_Stroke-H33*rr_Stroke*rr_HF)*(1-I33) + AQ33*(1-p_recur_Stroke-H33*rr_Stroke*rr_HF)*(1-I33)</f>
        <v>3.8786736565038363E-4</v>
      </c>
      <c r="AR34">
        <f>AR33*(1-AC33-H33*rr_DM) + AD33*(1-T33-H33)*I33</f>
        <v>0.1711328294217988</v>
      </c>
      <c r="AS34">
        <f>AR33*AC33*p_Other + AD33*T33*p_Other*I33 + AE33*(1-T33*p_Stroke-T33*p_MI-H33*rr_Other)*I33 + AS33*(1-AC33*p_Stroke-AC33*p_MI-H33*rr_Other*rr_DM)</f>
        <v>6.0472680840255234E-2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4.3875222771259546E-3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1.6988752953303116E-2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2.0258188878009148E-3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1.1303153065764184E-2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2.400589430009761E-4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1.7422838010415688E-4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6.4586644801580993E-4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1.9799478107553974E-3</v>
      </c>
      <c r="BB34">
        <f>AM33*(1-T33*p_Stroke - H33*rr_HF)*I33 + AN33*(1-T33*p_Stroke - H33*rr_HF)*I33 + BA33*(1-AC33*p_Stroke - H33*rr_HF*rr_DM) + BB33*(1-AC33*p_Stroke - H33*rr_HF*rr_DM)</f>
        <v>1.2728940316622989E-2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1.6185655143791024E-4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2.1823987027067609E-4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6.9188956370016294E-4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0.33201644476827302</v>
      </c>
      <c r="BG34">
        <f t="shared" si="17"/>
        <v>0.95799999999999996</v>
      </c>
      <c r="BH34">
        <f>(0.9442 - 0.0007*$B34 - dis_BMI*($C34-21.75))*AD34</f>
        <v>0.21061484205993025</v>
      </c>
      <c r="BI34">
        <f>0.959*(0.9442 - 0.0007*$B34 - dis_BMI*($C34-21.75))*AE34</f>
        <v>4.4523962624875735E-2</v>
      </c>
      <c r="BJ34">
        <f>(0.943*(0.9442 - 0.0007*$B34 - dis_BMI*($C34-21.75)) - 0.19*0.5)*AF34</f>
        <v>2.4680421379018463E-3</v>
      </c>
      <c r="BK34">
        <f>(0.943*(0.9442 - 0.0007*$B34 - dis_BMI*($C34-21.75)))*AG34</f>
        <v>1.1575488552031502E-2</v>
      </c>
      <c r="BL34">
        <f>(0.955*(0.9442 - 0.0007*$B34 - dis_BMI*($C34-21.75)) - 0.15*0.5)*AH34</f>
        <v>1.1459429380961885E-3</v>
      </c>
      <c r="BM34">
        <f>(0.955*(0.9442 - 0.0007*$B34 - dis_BMI*($C34-21.75)))*AI34</f>
        <v>7.4469021685108433E-3</v>
      </c>
      <c r="BN34">
        <f>(0.955*0.943*(0.9442 - 0.0007*$B34 - dis_BMI*($C34-21.75)) - 0.19*0.5)*AJ34</f>
        <v>7.9151877159861606E-5</v>
      </c>
      <c r="BO34">
        <f>(0.955*0.943*(0.9442 - 0.0007*$B34 - dis_BMI*($C34-21.75)) - 0.15*0.5)*AK34</f>
        <v>5.9405767370968992E-5</v>
      </c>
      <c r="BP34">
        <f>(0.955*0.943*(0.9442 - 0.0007*$B34 - dis_BMI*($C34-21.75)))*AL34</f>
        <v>2.6387366707046047E-4</v>
      </c>
      <c r="BQ34">
        <f>(0.93*(0.9442 - 0.0007*$B34 - dis_BMI*($C34-21.75)))*AM34</f>
        <v>1.2319841780221218E-3</v>
      </c>
      <c r="BR34">
        <f>(0.93*(0.9442 - 0.0007*$B34 - dis_BMI*($C34-21.75)))*AN34</f>
        <v>8.6271212556519022E-3</v>
      </c>
      <c r="BS34">
        <f>(0.93*0.943*(0.9442 - 0.0007*$B34 - dis_BMI*($C34-21.75)))*AO34</f>
        <v>6.1048769812313981E-5</v>
      </c>
      <c r="BT34">
        <f>(0.93*0.943*(0.9442 - 0.0007*$B34 - dis_BMI*($C34-21.75))-0.19*0.5)*AP34</f>
        <v>7.3695916056062946E-5</v>
      </c>
      <c r="BU34">
        <f>(0.93*0.943*(0.9442 - 0.0007*$B34 - dis_BMI*($C34-21.75)))*AQ34</f>
        <v>2.9068177249387317E-4</v>
      </c>
      <c r="BV34">
        <f>0.962*(0.9442 - 0.0007*$B34 - dis_BMI*($C34-21.75))*AR34</f>
        <v>0.14068517034882019</v>
      </c>
      <c r="BW34">
        <f>0.962*0.959*(0.9442 - 0.0007*$B34 - dis_BMI*($C34-21.75))*AS34</f>
        <v>4.7675232434379253E-2</v>
      </c>
      <c r="BX34">
        <f>0.962*(0.943*(0.9442 - 0.0007*$B34 - dis_BMI*($C34-21.75)) - 0.19*0.5)*AT34</f>
        <v>3.0003327832549128E-3</v>
      </c>
      <c r="BY34">
        <f>0.962*(0.943*(0.9442 - 0.0007*$B34 - dis_BMI*($C34-21.75)))*AU34</f>
        <v>1.3170073044892688E-2</v>
      </c>
      <c r="BZ34">
        <f>0.962*(0.955*(0.9442 - 0.0007*$B34 - dis_BMI*($C34-21.75)) - 0.15*0.5)*AV34</f>
        <v>1.4442833478877164E-3</v>
      </c>
      <c r="CA34">
        <f>0.962*(0.955*(0.9442 - 0.0007*$B34 - dis_BMI*($C34-21.75)))*AW34</f>
        <v>8.8739702897021652E-3</v>
      </c>
      <c r="CB34">
        <f>0.962*(0.955*0.943*(0.9442 - 0.0007*$B34 - dis_BMI*($C34-21.75)) - 0.19*0.5)*AX34</f>
        <v>1.5578577622640135E-4</v>
      </c>
      <c r="CC34">
        <f>0.962*(0.955*0.943*(0.9442 - 0.0007*$B34 - dis_BMI*($C34-21.75)) - 0.15*0.5)*AY34</f>
        <v>1.1641731667988038E-4</v>
      </c>
      <c r="CD34">
        <f>0.962*(0.955*0.943*(0.9442 - 0.0007*$B34 - dis_BMI*($C34-21.75)))*AZ34</f>
        <v>4.7815948860693597E-4</v>
      </c>
      <c r="CE34">
        <f>0.962*(0.93*(0.9442 - 0.0007*$B34 - dis_BMI*($C34-21.75)))*BA34</f>
        <v>1.5137413742324661E-3</v>
      </c>
      <c r="CF34">
        <f>0.962*(0.93*(0.9442 - 0.0007*$B34 - dis_BMI*($C34-21.75)))*BB34</f>
        <v>9.7317330804071039E-3</v>
      </c>
      <c r="CG34">
        <f>0.962*(0.93*0.943*(0.9442 - 0.0007*$B34 - dis_BMI*($C34-21.75)))*BC34</f>
        <v>1.1669168586503244E-4</v>
      </c>
      <c r="CH34">
        <f>0.962*(0.93*0.943*(0.9442 - 0.0007*$B34 - dis_BMI*($C34-21.75))-0.19*0.5)*BD34</f>
        <v>1.3739671763649452E-4</v>
      </c>
      <c r="CI34">
        <f>0.962*(0.93*0.943*(0.9442 - 0.0007*$B34 - dis_BMI*($C34-21.75)))*BE34</f>
        <v>4.9882293242584964E-4</v>
      </c>
      <c r="CJ34">
        <f t="shared" si="18"/>
        <v>0</v>
      </c>
      <c r="CK34">
        <f t="shared" si="19"/>
        <v>0.51605995430600105</v>
      </c>
      <c r="CL34">
        <f>CK34/(1+r_)^A34</f>
        <v>0.20641734785481197</v>
      </c>
      <c r="CM34">
        <f>AD34*c_SEM</f>
        <v>3356.3124555290428</v>
      </c>
      <c r="CN34">
        <f>AE34*(c_Other+c_SEM)</f>
        <v>1515.6285825506184</v>
      </c>
      <c r="CO34">
        <f>AF34*(c_Stroke1+c_Stroke2+c_SEM)</f>
        <v>129.97019949985514</v>
      </c>
      <c r="CP34">
        <f>AG34*(c_Stroke2 + c_SEM)</f>
        <v>288.98315149084732</v>
      </c>
      <c r="CQ34">
        <f>AH34*(c_MI1+c_MI2 + c_SEM)</f>
        <v>66.132565777144521</v>
      </c>
      <c r="CR34">
        <f>AI34*(c_MI2+c_SEM)</f>
        <v>152.70669420333317</v>
      </c>
      <c r="CS34">
        <f>AJ34*(c_Stroke1+c_Stroke2+c_MI2+c_SEM)</f>
        <v>4.7580384417488704</v>
      </c>
      <c r="CT34">
        <f>AK34*(c_Stroke2+c_MI1+c_MI2+c_SEM)</f>
        <v>4.2138468144486598</v>
      </c>
      <c r="CU34">
        <f>AL34*(c_Stroke2+c_MI2+c_SEM)</f>
        <v>7.9667969254082447</v>
      </c>
      <c r="CV34">
        <f>AM34*(c_HF1+c_SEM)</f>
        <v>63.011736144664006</v>
      </c>
      <c r="CW34">
        <f>AN34*(c_HF2+c_SEM)</f>
        <v>317.22531239811303</v>
      </c>
      <c r="CX34">
        <f>AO34*(c_Stroke2+c_HF1+c_SEM)</f>
        <v>3.8406579683149102</v>
      </c>
      <c r="CY34">
        <f>AP34*(c_Stroke1+c_Stroke2+c_HF2+c_SEM)</f>
        <v>5.9727117820061491</v>
      </c>
      <c r="CZ34">
        <f>AQ34*(c_Stroke2+c_HF2+c_SEM)</f>
        <v>13.855785903128654</v>
      </c>
      <c r="DA34">
        <f>AR34*(c_DM+c_SEM)</f>
        <v>4285.6794472101074</v>
      </c>
      <c r="DB34">
        <f>AS34*(c_Other+c_DM+c_SEM)</f>
        <v>2377.9067560005165</v>
      </c>
      <c r="DC34">
        <f>AT34*(c_Stroke1+c_Stroke2+c_DM+c_SEM)</f>
        <v>214.36995093809702</v>
      </c>
      <c r="DD34">
        <f>AU34*(c_Stroke2+c_DM+c_SEM)</f>
        <v>535.87623440604023</v>
      </c>
      <c r="DE34">
        <f>AV34*(c_MI1+c_MI2+c_DM+c_SEM)</f>
        <v>109.78722880548277</v>
      </c>
      <c r="DF34">
        <f>AW34*(c_MI2+c_DM+c_SEM)</f>
        <v>318.2967903319194</v>
      </c>
      <c r="DG34">
        <f>AX34*(c_Stroke1+c_Stroke2+c_MI2+c_DM+c_SEM)</f>
        <v>12.477303621418734</v>
      </c>
      <c r="DH34">
        <f>AY34*(c_Stroke2+c_MI1+c_MI2+c_DM+c_SEM)</f>
        <v>10.574617302041698</v>
      </c>
      <c r="DI34">
        <f>AZ34*(c_Stroke2+c_MI2+c_DM+c_SEM)</f>
        <v>22.385731088227971</v>
      </c>
      <c r="DJ34">
        <f>BA34*(c_HF1+c_DM+c_SEM)</f>
        <v>103.10182234946581</v>
      </c>
      <c r="DK34">
        <f>BB34*(c_HF2+c_DM+c_SEM)</f>
        <v>517.40596599009132</v>
      </c>
      <c r="DL34">
        <f>BC34*(c_Stroke2+c_HF1+c_DM+c_SEM)</f>
        <v>9.4804237873727164</v>
      </c>
      <c r="DM34">
        <f>BD34*(c_Stroke1+c_Stroke2+c_HF2+c_DM+c_SEM)</f>
        <v>14.068614997128863</v>
      </c>
      <c r="DN34">
        <f>BE34*(c_Stroke2+c_HF2+c_DM+c_SEM)</f>
        <v>32.621209149335279</v>
      </c>
      <c r="DO34">
        <f t="shared" si="20"/>
        <v>0</v>
      </c>
      <c r="DP34">
        <f t="shared" si="39"/>
        <v>14494.61063140592</v>
      </c>
      <c r="DQ34">
        <f>DP34/(1+r_)^A34</f>
        <v>5797.6579266774152</v>
      </c>
    </row>
    <row r="35" spans="1:121" x14ac:dyDescent="0.3">
      <c r="A35">
        <v>32</v>
      </c>
      <c r="B35">
        <v>77</v>
      </c>
      <c r="C35">
        <f t="shared" si="40"/>
        <v>32.793999999999997</v>
      </c>
      <c r="D35">
        <f t="shared" si="1"/>
        <v>125</v>
      </c>
      <c r="E35">
        <f t="shared" si="41"/>
        <v>5.4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1"/>
        <v>1.9177515277734612E-2</v>
      </c>
      <c r="J35">
        <f t="shared" si="22"/>
        <v>0.28785248248771134</v>
      </c>
      <c r="K35">
        <f t="shared" si="23"/>
        <v>0.37837924672995804</v>
      </c>
      <c r="L35">
        <f t="shared" si="24"/>
        <v>0.14845659141173428</v>
      </c>
      <c r="M35">
        <f t="shared" si="25"/>
        <v>0.20153623410931287</v>
      </c>
      <c r="N35">
        <f t="shared" si="26"/>
        <v>0.58995419522430748</v>
      </c>
      <c r="O35">
        <f t="shared" si="27"/>
        <v>0.71624963293058819</v>
      </c>
      <c r="P35">
        <f t="shared" si="28"/>
        <v>0.3550053912544302</v>
      </c>
      <c r="Q35">
        <f t="shared" si="29"/>
        <v>0.46184812566863764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2.3490853179741533E-2</v>
      </c>
      <c r="U35">
        <f t="shared" si="30"/>
        <v>0.52230929493553535</v>
      </c>
      <c r="V35">
        <f t="shared" si="31"/>
        <v>0.64465693515936739</v>
      </c>
      <c r="W35">
        <f t="shared" si="32"/>
        <v>0.29513091778697231</v>
      </c>
      <c r="X35">
        <f t="shared" si="33"/>
        <v>0.3872586227552236</v>
      </c>
      <c r="Y35">
        <f t="shared" si="34"/>
        <v>0.78063106208538635</v>
      </c>
      <c r="Z35">
        <f t="shared" si="35"/>
        <v>0.88275677370247219</v>
      </c>
      <c r="AA35">
        <f t="shared" si="36"/>
        <v>0.52583381128025963</v>
      </c>
      <c r="AB35">
        <f t="shared" si="37"/>
        <v>0.65158768014658852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4.0385986869595297E-2</v>
      </c>
      <c r="AD35">
        <f t="shared" si="38"/>
        <v>0.22938080690906426</v>
      </c>
      <c r="AE35">
        <f t="shared" si="6"/>
        <v>5.2903369649754027E-2</v>
      </c>
      <c r="AF35">
        <f t="shared" si="7"/>
        <v>3.3538431241610643E-3</v>
      </c>
      <c r="AG35">
        <f t="shared" si="8"/>
        <v>1.3756588588463226E-2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1.4699427616842978E-3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8.3305203636477258E-3</v>
      </c>
      <c r="AJ35">
        <f t="shared" si="11"/>
        <v>1.0955979478891007E-4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8.304025837657978E-5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3.1358898453786709E-4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1.4415387427045782E-3</v>
      </c>
      <c r="AN35">
        <f t="shared" si="15"/>
        <v>1.1476687942636088E-2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7.6955128901965109E-5</v>
      </c>
      <c r="AP35">
        <f>AM34*T34*p_Stroke*p_Stroke_rec*(1-I34) + AN34*T34*p_Stroke*p_Stroke_rec*(1-I34) + AO34*(p_recur_Stroke*p_Stroke_rec)*(1-I34) + AP34*(p_recur_Stroke*p_Stroke_rec)*(1-I34) + AQ34*(p_recur_Stroke*p_Stroke_rec)*(1-I34)</f>
        <v>1.2168058196819878E-4</v>
      </c>
      <c r="AQ35">
        <f>AO34*(1-p_recur_Stroke-H34*rr_Stroke*rr_HF)*(1-I34) + AP34*(1-p_recur_Stroke-H34*rr_Stroke*rr_HF)*(1-I34) + AQ34*(1-p_recur_Stroke-H34*rr_Stroke*rr_HF)*(1-I34)</f>
        <v>4.102013905147738E-4</v>
      </c>
      <c r="AR35">
        <f>AR34*(1-AC34-H34*rr_DM) + AD34*(1-T34-H34)*I34</f>
        <v>0.16330942099255641</v>
      </c>
      <c r="AS35">
        <f>AR34*AC34*p_Other + AD34*T34*p_Other*I34 + AE34*(1-T34*p_Stroke-T34*p_MI-H34*rr_Other)*I34 + AS34*(1-AC34*p_Stroke-AC34*p_MI-H34*rr_Other*rr_DM)</f>
        <v>6.039832345700967E-2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4.3542118912460398E-3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1.6715968794313561E-2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1.9801355793409433E-3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1.0631336017163833E-2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2.3018017114570711E-4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1.7351362914111771E-4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6.0494680476434759E-4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1.8966103799643011E-3</v>
      </c>
      <c r="BB35">
        <f>AM34*(1-T34*p_Stroke - H34*rr_HF)*I34 + AN34*(1-T34*p_Stroke - H34*rr_HF)*I34 + BA34*(1-AC34*p_Stroke - H34*rr_HF*rr_DM) + BB34*(1-AC34*p_Stroke - H34*rr_HF*rr_DM)</f>
        <v>1.3928295335078958E-2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1.5697113153703238E-4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2.432146925629577E-4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7.5248591973743834E-4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0.35939606098323407</v>
      </c>
      <c r="BG35">
        <f t="shared" si="17"/>
        <v>0.95799999999999985</v>
      </c>
      <c r="BH35">
        <f>(0.9442 - 0.0007*$B35 - dis_BMI*($C35-21.75))*AD35</f>
        <v>0.1958579030071777</v>
      </c>
      <c r="BI35">
        <f>0.959*(0.9442 - 0.0007*$B35 - dis_BMI*($C35-21.75))*AE35</f>
        <v>4.3319752471040515E-2</v>
      </c>
      <c r="BJ35">
        <f>(0.943*(0.9442 - 0.0007*$B35 - dis_BMI*($C35-21.75)) - 0.19*0.5)*AF35</f>
        <v>2.3818493353659404E-3</v>
      </c>
      <c r="BK35">
        <f>(0.943*(0.9442 - 0.0007*$B35 - dis_BMI*($C35-21.75)))*AG35</f>
        <v>1.1076599833605131E-2</v>
      </c>
      <c r="BL35">
        <f>(0.955*(0.9442 - 0.0007*$B35 - dis_BMI*($C35-21.75)) - 0.15*0.5)*AH35</f>
        <v>1.0883916799375489E-3</v>
      </c>
      <c r="BM35">
        <f>(0.955*(0.9442 - 0.0007*$B35 - dis_BMI*($C35-21.75)))*AI35</f>
        <v>6.792967333043431E-3</v>
      </c>
      <c r="BN35">
        <f>(0.955*0.943*(0.9442 - 0.0007*$B35 - dis_BMI*($C35-21.75)) - 0.19*0.5)*AJ35</f>
        <v>7.3838015204343976E-5</v>
      </c>
      <c r="BO35">
        <f>(0.955*0.943*(0.9442 - 0.0007*$B35 - dis_BMI*($C35-21.75)) - 0.15*0.5)*AK35</f>
        <v>5.762593245164366E-5</v>
      </c>
      <c r="BP35">
        <f>(0.955*0.943*(0.9442 - 0.0007*$B35 - dis_BMI*($C35-21.75)))*AL35</f>
        <v>2.4113479780202152E-4</v>
      </c>
      <c r="BQ35">
        <f>(0.93*(0.9442 - 0.0007*$B35 - dis_BMI*($C35-21.75)))*AM35</f>
        <v>1.1447042406051704E-3</v>
      </c>
      <c r="BR35">
        <f>(0.93*(0.9442 - 0.0007*$B35 - dis_BMI*($C35-21.75)))*AN35</f>
        <v>9.113465331767415E-3</v>
      </c>
      <c r="BS35">
        <f>(0.93*0.943*(0.9442 - 0.0007*$B35 - dis_BMI*($C35-21.75)))*AO35</f>
        <v>5.7625702850199595E-5</v>
      </c>
      <c r="BT35">
        <f>(0.93*0.943*(0.9442 - 0.0007*$B35 - dis_BMI*($C35-21.75))-0.19*0.5)*AP35</f>
        <v>7.9557456193289495E-5</v>
      </c>
      <c r="BU35">
        <f>(0.93*0.943*(0.9442 - 0.0007*$B35 - dis_BMI*($C35-21.75)))*AQ35</f>
        <v>3.0716787530375272E-4</v>
      </c>
      <c r="BV35">
        <f>0.962*(0.9442 - 0.0007*$B35 - dis_BMI*($C35-21.75))*AR35</f>
        <v>0.13414371674572589</v>
      </c>
      <c r="BW35">
        <f>0.962*0.959*(0.9442 - 0.0007*$B35 - dis_BMI*($C35-21.75))*AS35</f>
        <v>4.7577606161158935E-2</v>
      </c>
      <c r="BX35">
        <f>0.962*(0.943*(0.9442 - 0.0007*$B35 - dis_BMI*($C35-21.75)) - 0.19*0.5)*AT35</f>
        <v>2.9747890450697958E-3</v>
      </c>
      <c r="BY35">
        <f>0.962*(0.943*(0.9442 - 0.0007*$B35 - dis_BMI*($C35-21.75)))*AU35</f>
        <v>1.2947989563540903E-2</v>
      </c>
      <c r="BZ35">
        <f>0.962*(0.955*(0.9442 - 0.0007*$B35 - dis_BMI*($C35-21.75)) - 0.15*0.5)*AV35</f>
        <v>1.4104405602288113E-3</v>
      </c>
      <c r="CA35">
        <f>0.962*(0.955*(0.9442 - 0.0007*$B35 - dis_BMI*($C35-21.75)))*AW35</f>
        <v>8.3396977792723828E-3</v>
      </c>
      <c r="CB35">
        <f>0.962*(0.955*0.943*(0.9442 - 0.0007*$B35 - dis_BMI*($C35-21.75)) - 0.19*0.5)*AX35</f>
        <v>1.4923537619962766E-4</v>
      </c>
      <c r="CC35">
        <f>0.962*(0.955*0.943*(0.9442 - 0.0007*$B35 - dis_BMI*($C35-21.75)) - 0.15*0.5)*AY35</f>
        <v>1.1583450296067592E-4</v>
      </c>
      <c r="CD35">
        <f>0.962*(0.955*0.943*(0.9442 - 0.0007*$B35 - dis_BMI*($C35-21.75)))*AZ35</f>
        <v>4.4749825663556415E-4</v>
      </c>
      <c r="CE35">
        <f>0.962*(0.93*(0.9442 - 0.0007*$B35 - dis_BMI*($C35-21.75)))*BA35</f>
        <v>1.4488391334547314E-3</v>
      </c>
      <c r="CF35">
        <f>0.962*(0.93*(0.9442 - 0.0007*$B35 - dis_BMI*($C35-21.75)))*BB35</f>
        <v>1.0639960403547517E-2</v>
      </c>
      <c r="CG35">
        <f>0.962*(0.93*0.943*(0.9442 - 0.0007*$B35 - dis_BMI*($C35-21.75)))*BC35</f>
        <v>1.1307680434635635E-4</v>
      </c>
      <c r="CH35">
        <f>0.962*(0.93*0.943*(0.9442 - 0.0007*$B35 - dis_BMI*($C35-21.75))-0.19*0.5)*BD35</f>
        <v>1.5297641860834727E-4</v>
      </c>
      <c r="CI35">
        <f>0.962*(0.93*0.943*(0.9442 - 0.0007*$B35 - dis_BMI*($C35-21.75)))*BE35</f>
        <v>5.4206593458533067E-4</v>
      </c>
      <c r="CJ35">
        <f t="shared" si="18"/>
        <v>0</v>
      </c>
      <c r="CK35">
        <f t="shared" si="19"/>
        <v>0.49259630969768303</v>
      </c>
      <c r="CL35">
        <f>CK35/(1+r_)^A35</f>
        <v>0.19129338993481246</v>
      </c>
      <c r="CM35">
        <f>AD35*c_SEM</f>
        <v>3123.707828487637</v>
      </c>
      <c r="CN35">
        <f>AE35*(c_Other+c_SEM)</f>
        <v>1475.8453031191882</v>
      </c>
      <c r="CO35">
        <f>AF35*(c_Stroke1+c_Stroke2+c_SEM)</f>
        <v>125.54776350984528</v>
      </c>
      <c r="CP35">
        <f>AG35*(c_Stroke2 + c_SEM)</f>
        <v>276.75504922270318</v>
      </c>
      <c r="CQ35">
        <f>AH35*(c_MI1+c_MI2 + c_SEM)</f>
        <v>62.867981974475732</v>
      </c>
      <c r="CR35">
        <f>AI35*(c_MI2+c_SEM)</f>
        <v>139.41125828564469</v>
      </c>
      <c r="CS35">
        <f>AJ35*(c_Stroke1+c_Stroke2+c_MI2+c_SEM)</f>
        <v>4.4427592384850927</v>
      </c>
      <c r="CT35">
        <f>AK35*(c_Stroke2+c_MI1+c_MI2+c_SEM)</f>
        <v>4.0913104899557089</v>
      </c>
      <c r="CU35">
        <f>AL35*(c_Stroke2+c_MI2+c_SEM)</f>
        <v>7.2862400557373421</v>
      </c>
      <c r="CV35">
        <f>AM35*(c_HF1+c_SEM)</f>
        <v>58.595666813455694</v>
      </c>
      <c r="CW35">
        <f>AN35*(c_HF2+c_SEM)</f>
        <v>335.38325174765441</v>
      </c>
      <c r="CX35">
        <f>AO35*(c_Stroke2+c_HF1+c_SEM)</f>
        <v>3.6282804174698509</v>
      </c>
      <c r="CY35">
        <f>AP35*(c_Stroke1+c_Stroke2+c_HF2+c_SEM)</f>
        <v>6.4538163870112957</v>
      </c>
      <c r="CZ35">
        <f>AQ35*(c_Stroke2+c_HF2+c_SEM)</f>
        <v>14.653624273359265</v>
      </c>
      <c r="DA35">
        <f>AR35*(c_DM+c_SEM)</f>
        <v>4089.7578299165903</v>
      </c>
      <c r="DB35">
        <f>AS35*(c_Other+c_DM+c_SEM)</f>
        <v>2374.9828749765343</v>
      </c>
      <c r="DC35">
        <f>AT35*(c_Stroke1+c_Stroke2+c_DM+c_SEM)</f>
        <v>212.74243879439027</v>
      </c>
      <c r="DD35">
        <f>AU35*(c_Stroke2+c_DM+c_SEM)</f>
        <v>527.27180367903259</v>
      </c>
      <c r="DE35">
        <f>AV35*(c_MI1+c_MI2+c_DM+c_SEM)</f>
        <v>107.31146758680308</v>
      </c>
      <c r="DF35">
        <f>AW35*(c_MI2+c_DM+c_SEM)</f>
        <v>299.37842224333355</v>
      </c>
      <c r="DG35">
        <f>AX35*(c_Stroke1+c_Stroke2+c_MI2+c_DM+c_SEM)</f>
        <v>11.963844575469272</v>
      </c>
      <c r="DH35">
        <f>AY35*(c_Stroke2+c_MI1+c_MI2+c_DM+c_SEM)</f>
        <v>10.531236207090998</v>
      </c>
      <c r="DI35">
        <f>AZ35*(c_Stroke2+c_MI2+c_DM+c_SEM)</f>
        <v>20.967456253132287</v>
      </c>
      <c r="DJ35">
        <f>BA35*(c_HF1+c_DM+c_SEM)</f>
        <v>98.762192315881052</v>
      </c>
      <c r="DK35">
        <f>BB35*(c_HF2+c_DM+c_SEM)</f>
        <v>566.15734878028945</v>
      </c>
      <c r="DL35">
        <f>BC35*(c_Stroke2+c_HF1+c_DM+c_SEM)</f>
        <v>9.1942700875185981</v>
      </c>
      <c r="DM35">
        <f>BD35*(c_Stroke1+c_Stroke2+c_HF2+c_DM+c_SEM)</f>
        <v>15.678591941378505</v>
      </c>
      <c r="DN35">
        <f>BE35*(c_Stroke2+c_HF2+c_DM+c_SEM)</f>
        <v>35.478206143780746</v>
      </c>
      <c r="DO35">
        <f t="shared" si="20"/>
        <v>0</v>
      </c>
      <c r="DP35">
        <f t="shared" si="39"/>
        <v>14018.848117523845</v>
      </c>
      <c r="DQ35">
        <f>DP35/(1+r_)^A35</f>
        <v>5444.037899975795</v>
      </c>
    </row>
    <row r="36" spans="1:121" x14ac:dyDescent="0.3">
      <c r="A36">
        <v>33</v>
      </c>
      <c r="B36">
        <v>78</v>
      </c>
      <c r="C36">
        <f t="shared" si="40"/>
        <v>32.793999999999997</v>
      </c>
      <c r="D36">
        <f t="shared" si="1"/>
        <v>125</v>
      </c>
      <c r="E36">
        <f t="shared" si="41"/>
        <v>5.4</v>
      </c>
      <c r="F36">
        <v>3.175E-2</v>
      </c>
      <c r="G36">
        <v>4.4229999999999998E-2</v>
      </c>
      <c r="H36">
        <f t="shared" si="3"/>
        <v>3.4245999999999999E-2</v>
      </c>
      <c r="I36">
        <f t="shared" si="21"/>
        <v>1.9177515277734612E-2</v>
      </c>
      <c r="J36">
        <f t="shared" si="22"/>
        <v>0.29643926999146297</v>
      </c>
      <c r="K36">
        <f t="shared" si="23"/>
        <v>0.38885087675174257</v>
      </c>
      <c r="L36">
        <f t="shared" si="24"/>
        <v>0.15333277261469713</v>
      </c>
      <c r="M36">
        <f t="shared" si="25"/>
        <v>0.2079322546845741</v>
      </c>
      <c r="N36">
        <f t="shared" si="26"/>
        <v>0.6046662087297876</v>
      </c>
      <c r="O36">
        <f t="shared" si="27"/>
        <v>0.73052746471837005</v>
      </c>
      <c r="P36">
        <f t="shared" si="28"/>
        <v>0.36649425379443812</v>
      </c>
      <c r="Q36">
        <f t="shared" si="29"/>
        <v>0.47534268136217228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2.4202283905484415E-2</v>
      </c>
      <c r="U36">
        <f t="shared" si="30"/>
        <v>0.53475556708965799</v>
      </c>
      <c r="V36">
        <f t="shared" si="31"/>
        <v>0.65755536885615928</v>
      </c>
      <c r="W36">
        <f t="shared" si="32"/>
        <v>0.30388553722933054</v>
      </c>
      <c r="X36">
        <f t="shared" si="33"/>
        <v>0.39789031225881588</v>
      </c>
      <c r="Y36">
        <f t="shared" si="34"/>
        <v>0.79385511410325316</v>
      </c>
      <c r="Z36">
        <f t="shared" si="35"/>
        <v>0.8926175194022633</v>
      </c>
      <c r="AA36">
        <f t="shared" si="36"/>
        <v>0.5401160133656866</v>
      </c>
      <c r="AB36">
        <f t="shared" si="37"/>
        <v>0.66632338783662937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4.1416705497855422E-2</v>
      </c>
      <c r="AD36">
        <f t="shared" si="38"/>
        <v>0.21265310545058133</v>
      </c>
      <c r="AE36">
        <f t="shared" si="6"/>
        <v>5.1160445950518746E-2</v>
      </c>
      <c r="AF36">
        <f t="shared" si="7"/>
        <v>3.2289967015105567E-3</v>
      </c>
      <c r="AG36">
        <f t="shared" si="8"/>
        <v>1.3037124909417608E-2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1.3973348009266625E-3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7.6037918772883482E-3</v>
      </c>
      <c r="AJ36">
        <f t="shared" si="11"/>
        <v>1.0259215286663478E-4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8.053503077729834E-5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2.8352545188156132E-4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1.3433657789452104E-3</v>
      </c>
      <c r="AN36">
        <f t="shared" si="15"/>
        <v>1.1880058412317266E-2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7.2821883385023876E-5</v>
      </c>
      <c r="AP36">
        <f>AM35*T35*p_Stroke*p_Stroke_rec*(1-I35) + AN35*T35*p_Stroke*p_Stroke_rec*(1-I35) + AO35*(p_recur_Stroke*p_Stroke_rec)*(1-I35) + AP35*(p_recur_Stroke*p_Stroke_rec)*(1-I35) + AQ35*(p_recur_Stroke*p_Stroke_rec)*(1-I35)</f>
        <v>1.2890732880778148E-4</v>
      </c>
      <c r="AQ36">
        <f>AO35*(1-p_recur_Stroke-H35*rr_Stroke*rr_HF)*(1-I35) + AP35*(1-p_recur_Stroke-H35*rr_Stroke*rr_HF)*(1-I35) + AQ35*(1-p_recur_Stroke-H35*rr_Stroke*rr_HF)*(1-I35)</f>
        <v>4.1899860476057605E-4</v>
      </c>
      <c r="AR36">
        <f>AR35*(1-AC35-H35*rr_DM) + AD35*(1-T35-H35)*I35</f>
        <v>0.15499208010379209</v>
      </c>
      <c r="AS36">
        <f>AR35*AC35*p_Other + AD35*T35*p_Other*I35 + AE35*(1-T35*p_Stroke-T35*p_MI-H35*rr_Other)*I35 + AS35*(1-AC35*p_Stroke-AC35*p_MI-H35*rr_Other*rr_DM)</f>
        <v>5.9796725938699336E-2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4.301016490990928E-3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1.6234995413539639E-2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1.9325532627498705E-3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9.9821474961897458E-3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2.2113338944154852E-4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1.7236415453666964E-4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5.5812216678972925E-4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1.8183159943006766E-3</v>
      </c>
      <c r="BB36">
        <f>AM35*(1-T35*p_Stroke - H35*rr_HF)*I35 + AN35*(1-T35*p_Stroke - H35*rr_HF)*I35 + BA35*(1-AC35*p_Stroke - H35*rr_HF*rr_DM) + BB35*(1-AC35*p_Stroke - H35*rr_HF*rr_DM)</f>
        <v>1.4873227551109581E-2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1.5231691390058913E-4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2.6500991724003129E-4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7.8612886449450526E-4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0.38852225800824036</v>
      </c>
      <c r="BG36">
        <f t="shared" si="17"/>
        <v>0.95799999999999985</v>
      </c>
      <c r="BH36">
        <f>(0.9442 - 0.0007*$B36 - dis_BMI*($C36-21.75))*AD36</f>
        <v>0.18142601765006966</v>
      </c>
      <c r="BI36">
        <f>0.959*(0.9442 - 0.0007*$B36 - dis_BMI*($C36-21.75))*AE36</f>
        <v>4.185822105147978E-2</v>
      </c>
      <c r="BJ36">
        <f>(0.943*(0.9442 - 0.0007*$B36 - dis_BMI*($C36-21.75)) - 0.19*0.5)*AF36</f>
        <v>2.2910538084349561E-3</v>
      </c>
      <c r="BK36">
        <f>(0.943*(0.9442 - 0.0007*$B36 - dis_BMI*($C36-21.75)))*AG36</f>
        <v>1.0488692610073054E-2</v>
      </c>
      <c r="BL36">
        <f>(0.955*(0.9442 - 0.0007*$B36 - dis_BMI*($C36-21.75)) - 0.15*0.5)*AH36</f>
        <v>1.0336963523803339E-3</v>
      </c>
      <c r="BM36">
        <f>(0.955*(0.9442 - 0.0007*$B36 - dis_BMI*($C36-21.75)))*AI36</f>
        <v>6.1952870190856348E-3</v>
      </c>
      <c r="BN36">
        <f>(0.955*0.943*(0.9442 - 0.0007*$B36 - dis_BMI*($C36-21.75)) - 0.19*0.5)*AJ36</f>
        <v>6.9077487120150792E-5</v>
      </c>
      <c r="BO36">
        <f>(0.955*0.943*(0.9442 - 0.0007*$B36 - dis_BMI*($C36-21.75)) - 0.15*0.5)*AK36</f>
        <v>5.5836656459085291E-5</v>
      </c>
      <c r="BP36">
        <f>(0.955*0.943*(0.9442 - 0.0007*$B36 - dis_BMI*($C36-21.75)))*AL36</f>
        <v>2.1783865864704092E-4</v>
      </c>
      <c r="BQ36">
        <f>(0.93*(0.9442 - 0.0007*$B36 - dis_BMI*($C36-21.75)))*AM36</f>
        <v>1.0658720350904462E-3</v>
      </c>
      <c r="BR36">
        <f>(0.93*(0.9442 - 0.0007*$B36 - dis_BMI*($C36-21.75)))*AN36</f>
        <v>9.4260418386364359E-3</v>
      </c>
      <c r="BS36">
        <f>(0.93*0.943*(0.9442 - 0.0007*$B36 - dis_BMI*($C36-21.75)))*AO36</f>
        <v>5.4485932330918107E-5</v>
      </c>
      <c r="BT36">
        <f>(0.93*0.943*(0.9442 - 0.0007*$B36 - dis_BMI*($C36-21.75))-0.19*0.5)*AP36</f>
        <v>8.4203327833447489E-5</v>
      </c>
      <c r="BU36">
        <f>(0.93*0.943*(0.9442 - 0.0007*$B36 - dis_BMI*($C36-21.75)))*AQ36</f>
        <v>3.1349820362417096E-4</v>
      </c>
      <c r="BV36">
        <f>0.962*(0.9442 - 0.0007*$B36 - dis_BMI*($C36-21.75))*AR36</f>
        <v>0.12720741209263842</v>
      </c>
      <c r="BW36">
        <f>0.962*0.959*(0.9442 - 0.0007*$B36 - dis_BMI*($C36-21.75))*AS36</f>
        <v>4.7065093237670205E-2</v>
      </c>
      <c r="BX36">
        <f>0.962*(0.943*(0.9442 - 0.0007*$B36 - dis_BMI*($C36-21.75)) - 0.19*0.5)*AT36</f>
        <v>2.9357148365442278E-3</v>
      </c>
      <c r="BY36">
        <f>0.962*(0.943*(0.9442 - 0.0007*$B36 - dis_BMI*($C36-21.75)))*AU36</f>
        <v>1.2565123848458667E-2</v>
      </c>
      <c r="BZ36">
        <f>0.962*(0.955*(0.9442 - 0.0007*$B36 - dis_BMI*($C36-21.75)) - 0.15*0.5)*AV36</f>
        <v>1.3753050975244948E-3</v>
      </c>
      <c r="CA36">
        <f>0.962*(0.955*(0.9442 - 0.0007*$B36 - dis_BMI*($C36-21.75)))*AW36</f>
        <v>7.8240256376323012E-3</v>
      </c>
      <c r="CB36">
        <f>0.962*(0.955*0.943*(0.9442 - 0.0007*$B36 - dis_BMI*($C36-21.75)) - 0.19*0.5)*AX36</f>
        <v>1.4323586720486461E-4</v>
      </c>
      <c r="CC36">
        <f>0.962*(0.955*0.943*(0.9442 - 0.0007*$B36 - dis_BMI*($C36-21.75)) - 0.15*0.5)*AY36</f>
        <v>1.1496260628723834E-4</v>
      </c>
      <c r="CD36">
        <f>0.962*(0.955*0.943*(0.9442 - 0.0007*$B36 - dis_BMI*($C36-21.75)))*AZ36</f>
        <v>4.1252212526188433E-4</v>
      </c>
      <c r="CE36">
        <f>0.962*(0.93*(0.9442 - 0.0007*$B36 - dis_BMI*($C36-21.75)))*BA36</f>
        <v>1.3878905478104089E-3</v>
      </c>
      <c r="CF36">
        <f>0.962*(0.93*(0.9442 - 0.0007*$B36 - dis_BMI*($C36-21.75)))*BB36</f>
        <v>1.1352488785403554E-2</v>
      </c>
      <c r="CG36">
        <f>0.962*(0.93*0.943*(0.9442 - 0.0007*$B36 - dis_BMI*($C36-21.75)))*BC36</f>
        <v>1.0963410705833633E-4</v>
      </c>
      <c r="CH36">
        <f>0.962*(0.93*0.943*(0.9442 - 0.0007*$B36 - dis_BMI*($C36-21.75))-0.19*0.5)*BD36</f>
        <v>1.6652860543521847E-4</v>
      </c>
      <c r="CI36">
        <f>0.962*(0.93*0.943*(0.9442 - 0.0007*$B36 - dis_BMI*($C36-21.75)))*BE36</f>
        <v>5.6583693750445407E-4</v>
      </c>
      <c r="CJ36">
        <f t="shared" si="18"/>
        <v>0</v>
      </c>
      <c r="CK36">
        <f t="shared" si="19"/>
        <v>0.46780559696369939</v>
      </c>
      <c r="CL36">
        <f>CK36/(1+r_)^A36</f>
        <v>0.17637498842481139</v>
      </c>
      <c r="CM36">
        <f>AD36*c_SEM</f>
        <v>2895.9099900260167</v>
      </c>
      <c r="CN36">
        <f>AE36*(c_Other+c_SEM)</f>
        <v>1427.2229606816215</v>
      </c>
      <c r="CO36">
        <f>AF36*(c_Stroke1+c_Stroke2+c_SEM)</f>
        <v>120.87426252434618</v>
      </c>
      <c r="CP36">
        <f>AG36*(c_Stroke2 + c_SEM)</f>
        <v>262.28087892766342</v>
      </c>
      <c r="CQ36">
        <f>AH36*(c_MI1+c_MI2 + c_SEM)</f>
        <v>59.762612100832428</v>
      </c>
      <c r="CR36">
        <f>AI36*(c_MI2+c_SEM)</f>
        <v>127.2494570664205</v>
      </c>
      <c r="CS36">
        <f>AJ36*(c_Stroke1+c_Stroke2+c_MI2+c_SEM)</f>
        <v>4.1602143908949065</v>
      </c>
      <c r="CT36">
        <f>AK36*(c_Stroke2+c_MI1+c_MI2+c_SEM)</f>
        <v>3.9678804313667118</v>
      </c>
      <c r="CU36">
        <f>AL36*(c_Stroke2+c_MI2+c_SEM)</f>
        <v>6.5877138744680774</v>
      </c>
      <c r="CV36">
        <f>AM36*(c_HF1+c_SEM)</f>
        <v>54.605132182564915</v>
      </c>
      <c r="CW36">
        <f>AN36*(c_HF2+c_SEM)</f>
        <v>347.17094698314747</v>
      </c>
      <c r="CX36">
        <f>AO36*(c_Stroke2+c_HF1+c_SEM)</f>
        <v>3.4334061578371058</v>
      </c>
      <c r="CY36">
        <f>AP36*(c_Stroke1+c_Stroke2+c_HF2+c_SEM)</f>
        <v>6.8371158126359219</v>
      </c>
      <c r="CZ36">
        <f>AQ36*(c_Stroke2+c_HF2+c_SEM)</f>
        <v>14.967887157862059</v>
      </c>
      <c r="DA36">
        <f>AR36*(c_DM+c_SEM)</f>
        <v>3881.4666620392654</v>
      </c>
      <c r="DB36">
        <f>AS36*(c_Other+c_DM+c_SEM)</f>
        <v>2351.3268573615351</v>
      </c>
      <c r="DC36">
        <f>AT36*(c_Stroke1+c_Stroke2+c_DM+c_SEM)</f>
        <v>210.14336473332574</v>
      </c>
      <c r="DD36">
        <f>AU36*(c_Stroke2+c_DM+c_SEM)</f>
        <v>512.10046032928085</v>
      </c>
      <c r="DE36">
        <f>AV36*(c_MI1+c_MI2+c_DM+c_SEM)</f>
        <v>104.73279152146648</v>
      </c>
      <c r="DF36">
        <f>AW36*(c_MI2+c_DM+c_SEM)</f>
        <v>281.09727349270327</v>
      </c>
      <c r="DG36">
        <f>AX36*(c_Stroke1+c_Stroke2+c_MI2+c_DM+c_SEM)</f>
        <v>11.493629049613926</v>
      </c>
      <c r="DH36">
        <f>AY36*(c_Stroke2+c_MI1+c_MI2+c_DM+c_SEM)</f>
        <v>10.461469995448628</v>
      </c>
      <c r="DI36">
        <f>AZ36*(c_Stroke2+c_MI2+c_DM+c_SEM)</f>
        <v>19.344514300932016</v>
      </c>
      <c r="DJ36">
        <f>BA36*(c_HF1+c_DM+c_SEM)</f>
        <v>94.685168771219125</v>
      </c>
      <c r="DK36">
        <f>BB36*(c_HF2+c_DM+c_SEM)</f>
        <v>604.56695349750225</v>
      </c>
      <c r="DL36">
        <f>BC36*(c_Stroke2+c_HF1+c_DM+c_SEM)</f>
        <v>8.9216585978992065</v>
      </c>
      <c r="DM36">
        <f>BD36*(c_Stroke1+c_Stroke2+c_HF2+c_DM+c_SEM)</f>
        <v>17.083599304961378</v>
      </c>
      <c r="DN36">
        <f>BE36*(c_Stroke2+c_HF2+c_DM+c_SEM)</f>
        <v>37.064403703186933</v>
      </c>
      <c r="DO36">
        <f t="shared" si="20"/>
        <v>0</v>
      </c>
      <c r="DP36">
        <f t="shared" si="39"/>
        <v>13479.519265016019</v>
      </c>
      <c r="DQ36">
        <f>DP36/(1+r_)^A36</f>
        <v>5082.1325562800121</v>
      </c>
    </row>
    <row r="37" spans="1:121" x14ac:dyDescent="0.3">
      <c r="A37">
        <v>34</v>
      </c>
      <c r="B37">
        <v>79</v>
      </c>
      <c r="C37">
        <f t="shared" si="40"/>
        <v>32.793999999999997</v>
      </c>
      <c r="D37">
        <f t="shared" si="1"/>
        <v>125</v>
      </c>
      <c r="E37">
        <f t="shared" si="41"/>
        <v>5.4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1"/>
        <v>1.9177515277734612E-2</v>
      </c>
      <c r="J37">
        <f t="shared" si="22"/>
        <v>0.3051106144160769</v>
      </c>
      <c r="K37">
        <f t="shared" si="23"/>
        <v>0.39937380601663364</v>
      </c>
      <c r="L37">
        <f t="shared" si="24"/>
        <v>0.15828888041027378</v>
      </c>
      <c r="M37">
        <f t="shared" si="25"/>
        <v>0.21441801359755897</v>
      </c>
      <c r="N37">
        <f t="shared" si="26"/>
        <v>0.61923260293482874</v>
      </c>
      <c r="O37">
        <f t="shared" si="27"/>
        <v>0.74444941498471273</v>
      </c>
      <c r="P37">
        <f t="shared" si="28"/>
        <v>0.37808548506061146</v>
      </c>
      <c r="Q37">
        <f t="shared" si="29"/>
        <v>0.48885542682837235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2.4920129535304605E-2</v>
      </c>
      <c r="U37">
        <f t="shared" si="30"/>
        <v>0.54714436304587377</v>
      </c>
      <c r="V37">
        <f t="shared" si="31"/>
        <v>0.67025772339065481</v>
      </c>
      <c r="W37">
        <f t="shared" si="32"/>
        <v>0.3127230853523133</v>
      </c>
      <c r="X37">
        <f t="shared" si="33"/>
        <v>0.40856853285886718</v>
      </c>
      <c r="Y37">
        <f t="shared" si="34"/>
        <v>0.80661245142500193</v>
      </c>
      <c r="Z37">
        <f t="shared" si="35"/>
        <v>0.90188590843587335</v>
      </c>
      <c r="AA37">
        <f t="shared" si="36"/>
        <v>0.55434245751762523</v>
      </c>
      <c r="AB37">
        <f t="shared" si="37"/>
        <v>0.68081485545443754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4.2446323035465278E-2</v>
      </c>
      <c r="AD37">
        <f t="shared" si="38"/>
        <v>0.19638409953822303</v>
      </c>
      <c r="AE37">
        <f t="shared" si="6"/>
        <v>4.9144168338097705E-2</v>
      </c>
      <c r="AF37">
        <f t="shared" si="7"/>
        <v>3.0864744096833225E-3</v>
      </c>
      <c r="AG37">
        <f t="shared" si="8"/>
        <v>1.224460041745588E-2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1.324818432019734E-3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6.9411914446831837E-3</v>
      </c>
      <c r="AJ37">
        <f t="shared" si="11"/>
        <v>9.5743036259787891E-5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7.7499250258732843E-5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2.547301717553261E-4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1.250837864309341E-3</v>
      </c>
      <c r="AN37">
        <f t="shared" si="15"/>
        <v>1.2089254832018084E-2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6.8471791843265358E-5</v>
      </c>
      <c r="AP37">
        <f>AM36*T36*p_Stroke*p_Stroke_rec*(1-I36) + AN36*T36*p_Stroke*p_Stroke_rec*(1-I36) + AO36*(p_recur_Stroke*p_Stroke_rec)*(1-I36) + AP36*(p_recur_Stroke*p_Stroke_rec)*(1-I36) + AQ36*(p_recur_Stroke*p_Stroke_rec)*(1-I36)</f>
        <v>1.3363529243177289E-4</v>
      </c>
      <c r="AQ37">
        <f>AO36*(1-p_recur_Stroke-H36*rr_Stroke*rr_HF)*(1-I36) + AP36*(1-p_recur_Stroke-H36*rr_Stroke*rr_HF)*(1-I36) + AQ36*(1-p_recur_Stroke-H36*rr_Stroke*rr_HF)*(1-I36)</f>
        <v>4.1699208791507039E-4</v>
      </c>
      <c r="AR37">
        <f>AR36*(1-AC36-H36*rr_DM) + AD36*(1-T36-H36)*I36</f>
        <v>0.14630857800771352</v>
      </c>
      <c r="AS37">
        <f>AR36*AC36*p_Other + AD36*T36*p_Other*I36 + AE36*(1-T36*p_Stroke-T36*p_MI-H36*rr_Other)*I36 + AS36*(1-AC36*p_Stroke-AC36*p_MI-H36*rr_Other*rr_DM)</f>
        <v>5.8699307572841364E-2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4.2098846973089672E-3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1.5592542439777264E-2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1.8775607782326805E-3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9.3594733016489143E-3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2.1134858544255751E-4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1.694916870223436E-4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5.1041990984350026E-4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1.7387437115643284E-3</v>
      </c>
      <c r="BB37">
        <f>AM36*(1-T36*p_Stroke - H36*rr_HF)*I36 + AN36*(1-T36*p_Stroke - H36*rr_HF)*I36 + BA36*(1-AC36*p_Stroke - H36*rr_HF*rr_DM) + BB36*(1-AC36*p_Stroke - H36*rr_HF*rr_DM)</f>
        <v>1.5572519757629331E-2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1.465138780554991E-4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2.8175534071262442E-4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7.9720060866169469E-4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0.4190121428165911</v>
      </c>
      <c r="BG37">
        <f t="shared" si="17"/>
        <v>0.95799999999999996</v>
      </c>
      <c r="BH37">
        <f>(0.9442 - 0.0007*$B37 - dis_BMI*($C37-21.75))*AD37</f>
        <v>0.16740856829503603</v>
      </c>
      <c r="BI37">
        <f>0.959*(0.9442 - 0.0007*$B37 - dis_BMI*($C37-21.75))*AE37</f>
        <v>4.0175561721954814E-2</v>
      </c>
      <c r="BJ37">
        <f>(0.943*(0.9442 - 0.0007*$B37 - dis_BMI*($C37-21.75)) - 0.19*0.5)*AF37</f>
        <v>2.1878933009319315E-3</v>
      </c>
      <c r="BK37">
        <f>(0.943*(0.9442 - 0.0007*$B37 - dis_BMI*($C37-21.75)))*AG37</f>
        <v>9.8430042011455592E-3</v>
      </c>
      <c r="BL37">
        <f>(0.955*(0.9442 - 0.0007*$B37 - dis_BMI*($C37-21.75)) - 0.15*0.5)*AH37</f>
        <v>9.7916579668454965E-4</v>
      </c>
      <c r="BM37">
        <f>(0.955*(0.9442 - 0.0007*$B37 - dis_BMI*($C37-21.75)))*AI37</f>
        <v>5.6507846263258547E-3</v>
      </c>
      <c r="BN37">
        <f>(0.955*0.943*(0.9442 - 0.0007*$B37 - dis_BMI*($C37-21.75)) - 0.19*0.5)*AJ37</f>
        <v>6.4405474684044192E-5</v>
      </c>
      <c r="BO37">
        <f>(0.955*0.943*(0.9442 - 0.0007*$B37 - dis_BMI*($C37-21.75)) - 0.15*0.5)*AK37</f>
        <v>5.3683029825559185E-5</v>
      </c>
      <c r="BP37">
        <f>(0.955*0.943*(0.9442 - 0.0007*$B37 - dis_BMI*($C37-21.75)))*AL37</f>
        <v>1.9555404932194095E-4</v>
      </c>
      <c r="BQ37">
        <f>(0.93*(0.9442 - 0.0007*$B37 - dis_BMI*($C37-21.75)))*AM37</f>
        <v>9.9164294955058924E-4</v>
      </c>
      <c r="BR37">
        <f>(0.93*(0.9442 - 0.0007*$B37 - dis_BMI*($C37-21.75)))*AN37</f>
        <v>9.5841552782786193E-3</v>
      </c>
      <c r="BS37">
        <f>(0.93*0.943*(0.9442 - 0.0007*$B37 - dis_BMI*($C37-21.75)))*AO37</f>
        <v>5.1189123692884928E-5</v>
      </c>
      <c r="BT37">
        <f>(0.93*0.943*(0.9442 - 0.0007*$B37 - dis_BMI*($C37-21.75))-0.19*0.5)*AP37</f>
        <v>8.7209634803992424E-5</v>
      </c>
      <c r="BU37">
        <f>(0.93*0.943*(0.9442 - 0.0007*$B37 - dis_BMI*($C37-21.75)))*AQ37</f>
        <v>3.1174092268681223E-4</v>
      </c>
      <c r="BV37">
        <f>0.962*(0.9442 - 0.0007*$B37 - dis_BMI*($C37-21.75))*AR37</f>
        <v>0.11998203451890353</v>
      </c>
      <c r="BW37">
        <f>0.962*0.959*(0.9442 - 0.0007*$B37 - dis_BMI*($C37-21.75))*AS37</f>
        <v>4.6163424476993072E-2</v>
      </c>
      <c r="BX37">
        <f>0.962*(0.943*(0.9442 - 0.0007*$B37 - dis_BMI*($C37-21.75)) - 0.19*0.5)*AT37</f>
        <v>2.870838298582758E-3</v>
      </c>
      <c r="BY37">
        <f>0.962*(0.943*(0.9442 - 0.0007*$B37 - dis_BMI*($C37-21.75)))*AU37</f>
        <v>1.2057993907470999E-2</v>
      </c>
      <c r="BZ37">
        <f>0.962*(0.955*(0.9442 - 0.0007*$B37 - dis_BMI*($C37-21.75)) - 0.15*0.5)*AV37</f>
        <v>1.3349621406809735E-3</v>
      </c>
      <c r="CA37">
        <f>0.962*(0.955*(0.9442 - 0.0007*$B37 - dis_BMI*($C37-21.75)))*AW37</f>
        <v>7.3299534051009816E-3</v>
      </c>
      <c r="CB37">
        <f>0.962*(0.955*0.943*(0.9442 - 0.0007*$B37 - dis_BMI*($C37-21.75)) - 0.19*0.5)*AX37</f>
        <v>1.3676973547055012E-4</v>
      </c>
      <c r="CC37">
        <f>0.962*(0.955*0.943*(0.9442 - 0.0007*$B37 - dis_BMI*($C37-21.75)) - 0.15*0.5)*AY37</f>
        <v>1.1294395524314779E-4</v>
      </c>
      <c r="CD37">
        <f>0.962*(0.955*0.943*(0.9442 - 0.0007*$B37 - dis_BMI*($C37-21.75)))*AZ37</f>
        <v>3.7695464857668637E-4</v>
      </c>
      <c r="CE37">
        <f>0.962*(0.93*(0.9442 - 0.0007*$B37 - dis_BMI*($C37-21.75)))*BA37</f>
        <v>1.3260654303452971E-3</v>
      </c>
      <c r="CF37">
        <f>0.962*(0.93*(0.9442 - 0.0007*$B37 - dis_BMI*($C37-21.75)))*BB37</f>
        <v>1.187649449232667E-2</v>
      </c>
      <c r="CG37">
        <f>0.962*(0.93*0.943*(0.9442 - 0.0007*$B37 - dis_BMI*($C37-21.75)))*BC37</f>
        <v>1.0537069332164063E-4</v>
      </c>
      <c r="CH37">
        <f>0.962*(0.93*0.943*(0.9442 - 0.0007*$B37 - dis_BMI*($C37-21.75))-0.19*0.5)*BD37</f>
        <v>1.7688480552935609E-4</v>
      </c>
      <c r="CI37">
        <f>0.962*(0.93*0.943*(0.9442 - 0.0007*$B37 - dis_BMI*($C37-21.75)))*BE37</f>
        <v>5.7333531789594081E-4</v>
      </c>
      <c r="CJ37">
        <f t="shared" si="18"/>
        <v>0</v>
      </c>
      <c r="CK37">
        <f t="shared" si="19"/>
        <v>0.44200858423136474</v>
      </c>
      <c r="CL37">
        <f>CK37/(1+r_)^A37</f>
        <v>0.16179498790035574</v>
      </c>
      <c r="CM37">
        <f>AD37*c_SEM</f>
        <v>2674.3586675115212</v>
      </c>
      <c r="CN37">
        <f>AE37*(c_Other+c_SEM)</f>
        <v>1370.9748641279116</v>
      </c>
      <c r="CO37">
        <f>AF37*(c_Stroke1+c_Stroke2+c_SEM)</f>
        <v>115.53908305208549</v>
      </c>
      <c r="CP37">
        <f>AG37*(c_Stroke2 + c_SEM)</f>
        <v>246.33687119837739</v>
      </c>
      <c r="CQ37">
        <f>AH37*(c_MI1+c_MI2 + c_SEM)</f>
        <v>56.661159519051999</v>
      </c>
      <c r="CR37">
        <f>AI37*(c_MI2+c_SEM)</f>
        <v>116.16083882677307</v>
      </c>
      <c r="CS37">
        <f>AJ37*(c_Stroke1+c_Stroke2+c_MI2+c_SEM)</f>
        <v>3.8824758633706589</v>
      </c>
      <c r="CT37">
        <f>AK37*(c_Stroke2+c_MI1+c_MI2+c_SEM)</f>
        <v>3.8183105609975083</v>
      </c>
      <c r="CU37">
        <f>AL37*(c_Stroke2+c_MI2+c_SEM)</f>
        <v>5.9186555407350019</v>
      </c>
      <c r="CV37">
        <f>AM37*(c_HF1+c_SEM)</f>
        <v>50.844057508446092</v>
      </c>
      <c r="CW37">
        <f>AN37*(c_HF2+c_SEM)</f>
        <v>353.28429395606446</v>
      </c>
      <c r="CX37">
        <f>AO37*(c_Stroke2+c_HF1+c_SEM)</f>
        <v>3.2283080418262751</v>
      </c>
      <c r="CY37">
        <f>AP37*(c_Stroke1+c_Stroke2+c_HF2+c_SEM)</f>
        <v>7.0878822752888029</v>
      </c>
      <c r="CZ37">
        <f>AQ37*(c_Stroke2+c_HF2+c_SEM)</f>
        <v>14.89620835659006</v>
      </c>
      <c r="DA37">
        <f>AR37*(c_DM+c_SEM)</f>
        <v>3664.0057190471698</v>
      </c>
      <c r="DB37">
        <f>AS37*(c_Other+c_DM+c_SEM)</f>
        <v>2308.1741723792679</v>
      </c>
      <c r="DC37">
        <f>AT37*(c_Stroke1+c_Stroke2+c_DM+c_SEM)</f>
        <v>205.69075642581882</v>
      </c>
      <c r="DD37">
        <f>AU37*(c_Stroke2+c_DM+c_SEM)</f>
        <v>491.83556617789424</v>
      </c>
      <c r="DE37">
        <f>AV37*(c_MI1+c_MI2+c_DM+c_SEM)</f>
        <v>101.75252881554188</v>
      </c>
      <c r="DF37">
        <f>AW37*(c_MI2+c_DM+c_SEM)</f>
        <v>263.56276817443342</v>
      </c>
      <c r="DG37">
        <f>AX37*(c_Stroke1+c_Stroke2+c_MI2+c_DM+c_SEM)</f>
        <v>10.985054076962369</v>
      </c>
      <c r="DH37">
        <f>AY37*(c_Stroke2+c_MI1+c_MI2+c_DM+c_SEM)</f>
        <v>10.287128452134123</v>
      </c>
      <c r="DI37">
        <f>AZ37*(c_Stroke2+c_MI2+c_DM+c_SEM)</f>
        <v>17.691154075175717</v>
      </c>
      <c r="DJ37">
        <f>BA37*(c_HF1+c_DM+c_SEM)</f>
        <v>90.541601292289272</v>
      </c>
      <c r="DK37">
        <f>BB37*(c_HF2+c_DM+c_SEM)</f>
        <v>632.99178310811703</v>
      </c>
      <c r="DL37">
        <f>BC37*(c_Stroke2+c_HF1+c_DM+c_SEM)</f>
        <v>8.581757379344749</v>
      </c>
      <c r="DM37">
        <f>BD37*(c_Stroke1+c_Stroke2+c_HF2+c_DM+c_SEM)</f>
        <v>18.163076283698619</v>
      </c>
      <c r="DN37">
        <f>BE37*(c_Stroke2+c_HF2+c_DM+c_SEM)</f>
        <v>37.586414297181584</v>
      </c>
      <c r="DO37">
        <f t="shared" si="20"/>
        <v>0</v>
      </c>
      <c r="DP37">
        <f t="shared" si="39"/>
        <v>12884.841156324068</v>
      </c>
      <c r="DQ37">
        <f>DP37/(1+r_)^A37</f>
        <v>4716.430389266473</v>
      </c>
    </row>
    <row r="38" spans="1:121" x14ac:dyDescent="0.3">
      <c r="A38">
        <v>35</v>
      </c>
      <c r="B38">
        <v>80</v>
      </c>
      <c r="C38">
        <f t="shared" si="40"/>
        <v>32.793999999999997</v>
      </c>
      <c r="D38">
        <f t="shared" si="1"/>
        <v>125</v>
      </c>
      <c r="E38">
        <f t="shared" si="41"/>
        <v>5.4</v>
      </c>
      <c r="F38">
        <v>3.9690000000000003E-2</v>
      </c>
      <c r="G38">
        <v>5.457E-2</v>
      </c>
      <c r="H38">
        <f t="shared" si="3"/>
        <v>4.2666000000000003E-2</v>
      </c>
      <c r="I38">
        <f t="shared" si="21"/>
        <v>1.9177515277734612E-2</v>
      </c>
      <c r="J38">
        <f t="shared" si="22"/>
        <v>0.31386252312043694</v>
      </c>
      <c r="K38">
        <f t="shared" si="23"/>
        <v>0.40994130820811325</v>
      </c>
      <c r="L38">
        <f t="shared" si="24"/>
        <v>0.16332416998230936</v>
      </c>
      <c r="M38">
        <f t="shared" si="25"/>
        <v>0.2209917481521575</v>
      </c>
      <c r="N38">
        <f t="shared" si="26"/>
        <v>0.63363531502241788</v>
      </c>
      <c r="O38">
        <f t="shared" si="27"/>
        <v>0.75800034130522442</v>
      </c>
      <c r="P38">
        <f t="shared" si="28"/>
        <v>0.38977017869390174</v>
      </c>
      <c r="Q38">
        <f t="shared" si="29"/>
        <v>0.50237225165767418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2.564402165369219E-2</v>
      </c>
      <c r="U38">
        <f t="shared" si="30"/>
        <v>0.55946521224497359</v>
      </c>
      <c r="V38">
        <f t="shared" si="31"/>
        <v>0.68275312784341324</v>
      </c>
      <c r="W38">
        <f t="shared" si="32"/>
        <v>0.32163935838228108</v>
      </c>
      <c r="X38">
        <f t="shared" si="33"/>
        <v>0.41928628779576127</v>
      </c>
      <c r="Y38">
        <f t="shared" si="34"/>
        <v>0.81889419389206275</v>
      </c>
      <c r="Z38">
        <f t="shared" si="35"/>
        <v>0.91057341122982471</v>
      </c>
      <c r="AA38">
        <f t="shared" si="36"/>
        <v>0.56849652736723666</v>
      </c>
      <c r="AB38">
        <f t="shared" si="37"/>
        <v>0.69504423157545236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4.3474100877570816E-2</v>
      </c>
      <c r="AD38">
        <f t="shared" si="38"/>
        <v>0.18046950201281961</v>
      </c>
      <c r="AE38">
        <f t="shared" si="6"/>
        <v>4.6807303172464024E-2</v>
      </c>
      <c r="AF38">
        <f t="shared" si="7"/>
        <v>2.9299576766944335E-3</v>
      </c>
      <c r="AG38">
        <f t="shared" si="8"/>
        <v>1.1354607571567685E-2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1.2525189766432855E-3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6.3229601951033526E-3</v>
      </c>
      <c r="AJ38">
        <f t="shared" si="11"/>
        <v>8.9093649106057501E-5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7.4030824548500557E-5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2.2551161137500928E-4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1.16343815623942E-3</v>
      </c>
      <c r="AN38">
        <f t="shared" si="15"/>
        <v>1.2100789090485852E-2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6.4011048920645822E-5</v>
      </c>
      <c r="AP38">
        <f>AM37*T37*p_Stroke*p_Stroke_rec*(1-I37) + AN37*T37*p_Stroke*p_Stroke_rec*(1-I37) + AO37*(p_recur_Stroke*p_Stroke_rec)*(1-I37) + AP37*(p_recur_Stroke*p_Stroke_rec)*(1-I37) + AQ37*(p_recur_Stroke*p_Stroke_rec)*(1-I37)</f>
        <v>1.3603241206315895E-4</v>
      </c>
      <c r="AQ38">
        <f>AO37*(1-p_recur_Stroke-H37*rr_Stroke*rr_HF)*(1-I37) + AP37*(1-p_recur_Stroke-H37*rr_Stroke*rr_HF)*(1-I37) + AQ37*(1-p_recur_Stroke-H37*rr_Stroke*rr_HF)*(1-I37)</f>
        <v>4.0239357080882238E-4</v>
      </c>
      <c r="AR38">
        <f>AR37*(1-AC37-H37*rr_DM) + AD37*(1-T37-H37)*I37</f>
        <v>0.13720802068294866</v>
      </c>
      <c r="AS38">
        <f>AR37*AC37*p_Other + AD37*T37*p_Other*I37 + AE37*(1-T37*p_Stroke-T37*p_MI-H37*rr_Other)*I37 + AS37*(1-AC37*p_Stroke-AC37*p_MI-H37*rr_Other*rr_DM)</f>
        <v>5.7015901625497599E-2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4.0847833306456487E-3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1.4743940195923585E-2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1.8155775607979483E-3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8.7403985141774592E-3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2.010641429492085E-4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1.6507420693690373E-4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4.5800097557136021E-4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1.6579247959226948E-3</v>
      </c>
      <c r="BB38">
        <f>AM37*(1-T37*p_Stroke - H37*rr_HF)*I37 + AN37*(1-T37*p_Stroke - H37*rr_HF)*I37 + BA37*(1-AC37*p_Stroke - H37*rr_HF*rr_DM) + BB37*(1-AC37*p_Stroke - H37*rr_HF*rr_DM)</f>
        <v>1.5996591165470822E-2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1.3980999858067078E-4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2.9343521067376206E-4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7.8000681824443756E-4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0.45130732080681929</v>
      </c>
      <c r="BG38">
        <f t="shared" si="17"/>
        <v>0.95799999999999974</v>
      </c>
      <c r="BH38">
        <f>(0.9442 - 0.0007*$B38 - dis_BMI*($C38-21.75))*AD38</f>
        <v>0.15371576459302877</v>
      </c>
      <c r="BI38">
        <f>0.959*(0.9442 - 0.0007*$B38 - dis_BMI*($C38-21.75))*AE38</f>
        <v>3.8233743000961197E-2</v>
      </c>
      <c r="BJ38">
        <f>(0.943*(0.9442 - 0.0007*$B38 - dis_BMI*($C38-21.75)) - 0.19*0.5)*AF38</f>
        <v>2.0750100212848449E-3</v>
      </c>
      <c r="BK38">
        <f>(0.943*(0.9442 - 0.0007*$B38 - dis_BMI*($C38-21.75)))*AG38</f>
        <v>9.1200750356307692E-3</v>
      </c>
      <c r="BL38">
        <f>(0.955*(0.9442 - 0.0007*$B38 - dis_BMI*($C38-21.75)) - 0.15*0.5)*AH38</f>
        <v>9.2489236992864476E-4</v>
      </c>
      <c r="BM38">
        <f>(0.955*(0.9442 - 0.0007*$B38 - dis_BMI*($C38-21.75)))*AI38</f>
        <v>5.1432591700507476E-3</v>
      </c>
      <c r="BN38">
        <f>(0.955*0.943*(0.9442 - 0.0007*$B38 - dis_BMI*($C38-21.75)) - 0.19*0.5)*AJ38</f>
        <v>5.987632784091542E-5</v>
      </c>
      <c r="BO38">
        <f>(0.955*0.943*(0.9442 - 0.0007*$B38 - dis_BMI*($C38-21.75)) - 0.15*0.5)*AK38</f>
        <v>5.123381400253011E-5</v>
      </c>
      <c r="BP38">
        <f>(0.955*0.943*(0.9442 - 0.0007*$B38 - dis_BMI*($C38-21.75)))*AL38</f>
        <v>1.7298106323751497E-4</v>
      </c>
      <c r="BQ38">
        <f>(0.93*(0.9442 - 0.0007*$B38 - dis_BMI*($C38-21.75)))*AM38</f>
        <v>9.2159655169447071E-4</v>
      </c>
      <c r="BR38">
        <f>(0.93*(0.9442 - 0.0007*$B38 - dis_BMI*($C38-21.75)))*AN38</f>
        <v>9.5854218281963329E-3</v>
      </c>
      <c r="BS38">
        <f>(0.93*0.943*(0.9442 - 0.0007*$B38 - dis_BMI*($C38-21.75)))*AO38</f>
        <v>4.7815001618956219E-5</v>
      </c>
      <c r="BT38">
        <f>(0.93*0.943*(0.9442 - 0.0007*$B38 - dis_BMI*($C38-21.75))-0.19*0.5)*AP38</f>
        <v>8.8690472150338201E-5</v>
      </c>
      <c r="BU38">
        <f>(0.93*0.943*(0.9442 - 0.0007*$B38 - dis_BMI*($C38-21.75)))*AQ38</f>
        <v>3.0058012740165693E-4</v>
      </c>
      <c r="BV38">
        <f>0.962*(0.9442 - 0.0007*$B38 - dis_BMI*($C38-21.75))*AR38</f>
        <v>0.11242662178702316</v>
      </c>
      <c r="BW38">
        <f>0.962*0.959*(0.9442 - 0.0007*$B38 - dis_BMI*($C38-21.75))*AS38</f>
        <v>4.480270806162974E-2</v>
      </c>
      <c r="BX38">
        <f>0.962*(0.943*(0.9442 - 0.0007*$B38 - dis_BMI*($C38-21.75)) - 0.19*0.5)*AT38</f>
        <v>2.7829342688400994E-3</v>
      </c>
      <c r="BY38">
        <f>0.962*(0.943*(0.9442 - 0.0007*$B38 - dis_BMI*($C38-21.75)))*AU38</f>
        <v>1.1392391867165548E-2</v>
      </c>
      <c r="BZ38">
        <f>0.962*(0.955*(0.9442 - 0.0007*$B38 - dis_BMI*($C38-21.75)) - 0.15*0.5)*AV38</f>
        <v>1.2897239382920023E-3</v>
      </c>
      <c r="CA38">
        <f>0.962*(0.955*(0.9442 - 0.0007*$B38 - dis_BMI*($C38-21.75)))*AW38</f>
        <v>6.8394986447534488E-3</v>
      </c>
      <c r="CB38">
        <f>0.962*(0.955*0.943*(0.9442 - 0.0007*$B38 - dis_BMI*($C38-21.75)) - 0.19*0.5)*AX38</f>
        <v>1.2999244412990868E-4</v>
      </c>
      <c r="CC38">
        <f>0.962*(0.955*0.943*(0.9442 - 0.0007*$B38 - dis_BMI*($C38-21.75)) - 0.15*0.5)*AY38</f>
        <v>1.0990017709889335E-4</v>
      </c>
      <c r="CD38">
        <f>0.962*(0.955*0.943*(0.9442 - 0.0007*$B38 - dis_BMI*($C38-21.75)))*AZ38</f>
        <v>3.3796453502397863E-4</v>
      </c>
      <c r="CE38">
        <f>0.962*(0.93*(0.9442 - 0.0007*$B38 - dis_BMI*($C38-21.75)))*BA38</f>
        <v>1.2633900062177189E-3</v>
      </c>
      <c r="CF38">
        <f>0.962*(0.93*(0.9442 - 0.0007*$B38 - dis_BMI*($C38-21.75)))*BB38</f>
        <v>1.2189897552475494E-2</v>
      </c>
      <c r="CG38">
        <f>0.962*(0.93*0.943*(0.9442 - 0.0007*$B38 - dis_BMI*($C38-21.75)))*BC38</f>
        <v>1.0046679183044196E-4</v>
      </c>
      <c r="CH38">
        <f>0.962*(0.93*0.943*(0.9442 - 0.0007*$B38 - dis_BMI*($C38-21.75))-0.19*0.5)*BD38</f>
        <v>1.8404408567069053E-4</v>
      </c>
      <c r="CI38">
        <f>0.962*(0.93*0.943*(0.9442 - 0.0007*$B38 - dis_BMI*($C38-21.75)))*BE38</f>
        <v>5.6050914405576357E-4</v>
      </c>
      <c r="CJ38">
        <f t="shared" si="18"/>
        <v>0</v>
      </c>
      <c r="CK38">
        <f t="shared" si="19"/>
        <v>0.41485098268123466</v>
      </c>
      <c r="CL38">
        <f>CK38/(1+r_)^A38</f>
        <v>0.14743115180940564</v>
      </c>
      <c r="CM38">
        <f>AD38*c_SEM</f>
        <v>2457.6336784105774</v>
      </c>
      <c r="CN38">
        <f>AE38*(c_Other+c_SEM)</f>
        <v>1305.7833366022289</v>
      </c>
      <c r="CO38">
        <f>AF38*(c_Stroke1+c_Stroke2+c_SEM)</f>
        <v>109.68003566937942</v>
      </c>
      <c r="CP38">
        <f>AG38*(c_Stroke2 + c_SEM)</f>
        <v>228.43199512479868</v>
      </c>
      <c r="CQ38">
        <f>AH38*(c_MI1+c_MI2 + c_SEM)</f>
        <v>53.568984112056683</v>
      </c>
      <c r="CR38">
        <f>AI38*(c_MI2+c_SEM)</f>
        <v>105.81473886505461</v>
      </c>
      <c r="CS38">
        <f>AJ38*(c_Stroke1+c_Stroke2+c_MI2+c_SEM)</f>
        <v>3.6128365648997378</v>
      </c>
      <c r="CT38">
        <f>AK38*(c_Stroke2+c_MI1+c_MI2+c_SEM)</f>
        <v>3.6474246946800739</v>
      </c>
      <c r="CU38">
        <f>AL38*(c_Stroke2+c_MI2+c_SEM)</f>
        <v>5.2397622902983407</v>
      </c>
      <c r="CV38">
        <f>AM38*(c_HF1+c_SEM)</f>
        <v>47.29143417481994</v>
      </c>
      <c r="CW38">
        <f>AN38*(c_HF2+c_SEM)</f>
        <v>353.62135959126806</v>
      </c>
      <c r="CX38">
        <f>AO38*(c_Stroke2+c_HF1+c_SEM)</f>
        <v>3.0179929345106093</v>
      </c>
      <c r="CY38">
        <f>AP38*(c_Stroke1+c_Stroke2+c_HF2+c_SEM)</f>
        <v>7.2150231034178871</v>
      </c>
      <c r="CZ38">
        <f>AQ38*(c_Stroke2+c_HF2+c_SEM)</f>
        <v>14.374705530003562</v>
      </c>
      <c r="DA38">
        <f>AR38*(c_DM+c_SEM)</f>
        <v>3436.100461963083</v>
      </c>
      <c r="DB38">
        <f>AS38*(c_Other+c_DM+c_SEM)</f>
        <v>2241.9792837178165</v>
      </c>
      <c r="DC38">
        <f>AT38*(c_Stroke1+c_Stroke2+c_DM+c_SEM)</f>
        <v>199.57842875201575</v>
      </c>
      <c r="DD38">
        <f>AU38*(c_Stroke2+c_DM+c_SEM)</f>
        <v>465.06810560001765</v>
      </c>
      <c r="DE38">
        <f>AV38*(c_MI1+c_MI2+c_DM+c_SEM)</f>
        <v>98.393410329884006</v>
      </c>
      <c r="DF38">
        <f>AW38*(c_MI2+c_DM+c_SEM)</f>
        <v>246.12962215923724</v>
      </c>
      <c r="DG38">
        <f>AX38*(c_Stroke1+c_Stroke2+c_MI2+c_DM+c_SEM)</f>
        <v>10.450509893928061</v>
      </c>
      <c r="DH38">
        <f>AY38*(c_Stroke2+c_MI1+c_MI2+c_DM+c_SEM)</f>
        <v>10.019013915828435</v>
      </c>
      <c r="DI38">
        <f>AZ38*(c_Stroke2+c_MI2+c_DM+c_SEM)</f>
        <v>15.874313813303345</v>
      </c>
      <c r="DJ38">
        <f>BA38*(c_HF1+c_DM+c_SEM)</f>
        <v>86.333117898082492</v>
      </c>
      <c r="DK38">
        <f>BB38*(c_HF2+c_DM+c_SEM)</f>
        <v>650.22943769405799</v>
      </c>
      <c r="DL38">
        <f>BC38*(c_Stroke2+c_HF1+c_DM+c_SEM)</f>
        <v>8.1890910468656291</v>
      </c>
      <c r="DM38">
        <f>BD38*(c_Stroke1+c_Stroke2+c_HF2+c_DM+c_SEM)</f>
        <v>18.916007420873399</v>
      </c>
      <c r="DN38">
        <f>BE38*(c_Stroke2+c_HF2+c_DM+c_SEM)</f>
        <v>36.77576146658874</v>
      </c>
      <c r="DO38">
        <f t="shared" si="20"/>
        <v>0</v>
      </c>
      <c r="DP38">
        <f t="shared" si="39"/>
        <v>12222.969873339574</v>
      </c>
      <c r="DQ38">
        <f>DP38/(1+r_)^A38</f>
        <v>4343.840564896972</v>
      </c>
    </row>
    <row r="39" spans="1:121" x14ac:dyDescent="0.3">
      <c r="A39">
        <v>36</v>
      </c>
      <c r="B39">
        <v>81</v>
      </c>
      <c r="C39">
        <f t="shared" si="40"/>
        <v>32.793999999999997</v>
      </c>
      <c r="D39">
        <f t="shared" si="1"/>
        <v>125</v>
      </c>
      <c r="E39">
        <f t="shared" si="41"/>
        <v>5.4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1"/>
        <v>1.9177515277734612E-2</v>
      </c>
      <c r="J39">
        <f t="shared" si="22"/>
        <v>0.32269091680524853</v>
      </c>
      <c r="K39">
        <f t="shared" si="23"/>
        <v>0.42054660659835263</v>
      </c>
      <c r="L39">
        <f t="shared" si="24"/>
        <v>0.16843784916910842</v>
      </c>
      <c r="M39">
        <f t="shared" si="25"/>
        <v>0.22765162584782295</v>
      </c>
      <c r="N39">
        <f t="shared" si="26"/>
        <v>0.64785684344406325</v>
      </c>
      <c r="O39">
        <f t="shared" si="27"/>
        <v>0.77116664616953723</v>
      </c>
      <c r="P39">
        <f t="shared" si="28"/>
        <v>0.40153921685173588</v>
      </c>
      <c r="Q39">
        <f t="shared" si="29"/>
        <v>0.51587901387350432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2.6373588634491893E-2</v>
      </c>
      <c r="U39">
        <f t="shared" si="30"/>
        <v>0.57170783860969299</v>
      </c>
      <c r="V39">
        <f t="shared" si="31"/>
        <v>0.69503133544488671</v>
      </c>
      <c r="W39">
        <f t="shared" si="32"/>
        <v>0.33063006633850089</v>
      </c>
      <c r="X39">
        <f t="shared" si="33"/>
        <v>0.43003653762126459</v>
      </c>
      <c r="Y39">
        <f t="shared" si="34"/>
        <v>0.83069352867150337</v>
      </c>
      <c r="Z39">
        <f t="shared" si="35"/>
        <v>0.91869368417648234</v>
      </c>
      <c r="AA39">
        <f t="shared" si="36"/>
        <v>0.58256181440970978</v>
      </c>
      <c r="AB39">
        <f t="shared" si="37"/>
        <v>0.70899466895658936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4.4499316241365973E-2</v>
      </c>
      <c r="AD39">
        <f t="shared" si="38"/>
        <v>0.16491708781295236</v>
      </c>
      <c r="AE39">
        <f t="shared" si="6"/>
        <v>4.4154748166943203E-2</v>
      </c>
      <c r="AF39">
        <f t="shared" si="7"/>
        <v>2.7563882108254719E-3</v>
      </c>
      <c r="AG39">
        <f t="shared" si="8"/>
        <v>1.0379261794620556E-2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1.1789542627722352E-3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5.7404954439323648E-3</v>
      </c>
      <c r="AJ39">
        <f t="shared" si="11"/>
        <v>8.2400914388399657E-5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6.995254415553767E-5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1.962709657949655E-4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1.0790168562725981E-3</v>
      </c>
      <c r="AN39">
        <f t="shared" si="15"/>
        <v>1.192287597705389E-2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5.9248140590628968E-5</v>
      </c>
      <c r="AP39">
        <f>AM38*T38*p_Stroke*p_Stroke_rec*(1-I38) + AN38*T38*p_Stroke*p_Stroke_rec*(1-I38) + AO38*(p_recur_Stroke*p_Stroke_rec)*(1-I38) + AP38*(p_recur_Stroke*p_Stroke_rec)*(1-I38) + AQ38*(p_recur_Stroke*p_Stroke_rec)*(1-I38)</f>
        <v>1.3582860621519146E-4</v>
      </c>
      <c r="AQ39">
        <f>AO38*(1-p_recur_Stroke-H38*rr_Stroke*rr_HF)*(1-I38) + AP38*(1-p_recur_Stroke-H38*rr_Stroke*rr_HF)*(1-I38) + AQ38*(1-p_recur_Stroke-H38*rr_Stroke*rr_HF)*(1-I38)</f>
        <v>3.7636275674720959E-4</v>
      </c>
      <c r="AR39">
        <f>AR38*(1-AC38-H38*rr_DM) + AD38*(1-T38-H38)*I38</f>
        <v>0.12773532893807935</v>
      </c>
      <c r="AS39">
        <f>AR38*AC38*p_Other + AD38*T38*p_Other*I38 + AE38*(1-T38*p_Stroke-T38*p_MI-H38*rr_Other)*I38 + AS38*(1-AC38*p_Stroke-AC38*p_MI-H38*rr_Other*rr_DM)</f>
        <v>5.4729242856702415E-2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3.9192744306575707E-3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1.3700488373247104E-2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1.7442102853942626E-3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8.1176486653921093E-3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1.897018119814635E-4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1.5859906233186438E-4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4.0210250021073296E-4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1.5730457274354438E-3</v>
      </c>
      <c r="BB39">
        <f>AM38*(1-T38*p_Stroke - H38*rr_HF)*I38 + AN38*(1-T38*p_Stroke - H38*rr_HF)*I38 + BA38*(1-AC38*p_Stroke - H38*rr_HF*rr_DM) + BB38*(1-AC38*p_Stroke - H38*rr_HF*rr_DM)</f>
        <v>1.6134562346547959E-2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1.3171841761432156E-4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2.9900481677513837E-4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7.3590598521412363E-4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0.48538027332915146</v>
      </c>
      <c r="BG39">
        <f t="shared" si="17"/>
        <v>0.95799999999999996</v>
      </c>
      <c r="BH39">
        <f>(0.9442 - 0.0007*$B39 - dis_BMI*($C39-21.75))*AD39</f>
        <v>0.14035347918523464</v>
      </c>
      <c r="BI39">
        <f>0.959*(0.9442 - 0.0007*$B39 - dis_BMI*($C39-21.75))*AE39</f>
        <v>3.6037407845087223E-2</v>
      </c>
      <c r="BJ39">
        <f>(0.943*(0.9442 - 0.0007*$B39 - dis_BMI*($C39-21.75)) - 0.19*0.5)*AF39</f>
        <v>1.9502678046612837E-3</v>
      </c>
      <c r="BK39">
        <f>(0.943*(0.9442 - 0.0007*$B39 - dis_BMI*($C39-21.75)))*AG39</f>
        <v>8.3298212982346378E-3</v>
      </c>
      <c r="BL39">
        <f>(0.955*(0.9442 - 0.0007*$B39 - dis_BMI*($C39-21.75)) - 0.15*0.5)*AH39</f>
        <v>8.697821538107798E-4</v>
      </c>
      <c r="BM39">
        <f>(0.955*(0.9442 - 0.0007*$B39 - dis_BMI*($C39-21.75)))*AI39</f>
        <v>4.6656297728496152E-3</v>
      </c>
      <c r="BN39">
        <f>(0.955*0.943*(0.9442 - 0.0007*$B39 - dis_BMI*($C39-21.75)) - 0.19*0.5)*AJ39</f>
        <v>5.5326459623223743E-5</v>
      </c>
      <c r="BO39">
        <f>(0.955*0.943*(0.9442 - 0.0007*$B39 - dis_BMI*($C39-21.75)) - 0.15*0.5)*AK39</f>
        <v>4.8367299214927554E-5</v>
      </c>
      <c r="BP39">
        <f>(0.955*0.943*(0.9442 - 0.0007*$B39 - dis_BMI*($C39-21.75)))*AL39</f>
        <v>1.5042798888775745E-4</v>
      </c>
      <c r="BQ39">
        <f>(0.93*(0.9442 - 0.0007*$B39 - dis_BMI*($C39-21.75)))*AM39</f>
        <v>8.5402130157488556E-4</v>
      </c>
      <c r="BR39">
        <f>(0.93*(0.9442 - 0.0007*$B39 - dis_BMI*($C39-21.75)))*AN39</f>
        <v>9.436729371971056E-3</v>
      </c>
      <c r="BS39">
        <f>(0.93*0.943*(0.9442 - 0.0007*$B39 - dis_BMI*($C39-21.75)))*AO39</f>
        <v>4.4220830230375476E-5</v>
      </c>
      <c r="BT39">
        <f>(0.93*0.943*(0.9442 - 0.0007*$B39 - dis_BMI*($C39-21.75))-0.19*0.5)*AP39</f>
        <v>8.8474210492932336E-5</v>
      </c>
      <c r="BU39">
        <f>(0.93*0.943*(0.9442 - 0.0007*$B39 - dis_BMI*($C39-21.75)))*AQ39</f>
        <v>2.8090457194511221E-4</v>
      </c>
      <c r="BV39">
        <f>0.962*(0.9442 - 0.0007*$B39 - dis_BMI*($C39-21.75))*AR39</f>
        <v>0.10457879375908274</v>
      </c>
      <c r="BW39">
        <f>0.962*0.959*(0.9442 - 0.0007*$B39 - dis_BMI*($C39-21.75))*AS39</f>
        <v>4.2970523508881565E-2</v>
      </c>
      <c r="BX39">
        <f>0.962*(0.943*(0.9442 - 0.0007*$B39 - dis_BMI*($C39-21.75)) - 0.19*0.5)*AT39</f>
        <v>2.6676854119294336E-3</v>
      </c>
      <c r="BY39">
        <f>0.962*(0.943*(0.9442 - 0.0007*$B39 - dis_BMI*($C39-21.75)))*AU39</f>
        <v>1.0577434355724436E-2</v>
      </c>
      <c r="BZ39">
        <f>0.962*(0.955*(0.9442 - 0.0007*$B39 - dis_BMI*($C39-21.75)) - 0.15*0.5)*AV39</f>
        <v>1.2379053807445122E-3</v>
      </c>
      <c r="CA39">
        <f>0.962*(0.955*(0.9442 - 0.0007*$B39 - dis_BMI*($C39-21.75)))*AW39</f>
        <v>6.3469667051027044E-3</v>
      </c>
      <c r="CB39">
        <f>0.962*(0.955*0.943*(0.9442 - 0.0007*$B39 - dis_BMI*($C39-21.75)) - 0.19*0.5)*AX39</f>
        <v>1.2253140137612995E-4</v>
      </c>
      <c r="CC39">
        <f>0.962*(0.955*0.943*(0.9442 - 0.0007*$B39 - dis_BMI*($C39-21.75)) - 0.15*0.5)*AY39</f>
        <v>1.0549308930193613E-4</v>
      </c>
      <c r="CD39">
        <f>0.962*(0.955*0.943*(0.9442 - 0.0007*$B39 - dis_BMI*($C39-21.75)))*AZ39</f>
        <v>2.9647251350337783E-4</v>
      </c>
      <c r="CE39">
        <f>0.962*(0.93*(0.9442 - 0.0007*$B39 - dis_BMI*($C39-21.75)))*BA39</f>
        <v>1.1977243903135524E-3</v>
      </c>
      <c r="CF39">
        <f>0.962*(0.93*(0.9442 - 0.0007*$B39 - dis_BMI*($C39-21.75)))*BB39</f>
        <v>1.2284931399292853E-2</v>
      </c>
      <c r="CG39">
        <f>0.962*(0.93*0.943*(0.9442 - 0.0007*$B39 - dis_BMI*($C39-21.75)))*BC39</f>
        <v>9.4574432410938496E-5</v>
      </c>
      <c r="CH39">
        <f>0.962*(0.93*0.943*(0.9442 - 0.0007*$B39 - dis_BMI*($C39-21.75))-0.19*0.5)*BD39</f>
        <v>1.8736078969794307E-4</v>
      </c>
      <c r="CI39">
        <f>0.962*(0.93*0.943*(0.9442 - 0.0007*$B39 - dis_BMI*($C39-21.75)))*BE39</f>
        <v>5.2838389740776052E-4</v>
      </c>
      <c r="CJ39">
        <f t="shared" si="18"/>
        <v>0</v>
      </c>
      <c r="CK39">
        <f t="shared" si="19"/>
        <v>0.38636164112858845</v>
      </c>
      <c r="CL39">
        <f>CK39/(1+r_)^A39</f>
        <v>0.1333072939874782</v>
      </c>
      <c r="CM39">
        <f>AD39*c_SEM</f>
        <v>2245.8409018367852</v>
      </c>
      <c r="CN39">
        <f>AE39*(c_Other+c_SEM)</f>
        <v>1231.7850096132145</v>
      </c>
      <c r="CO39">
        <f>AF39*(c_Stroke1+c_Stroke2+c_SEM)</f>
        <v>103.18263628404071</v>
      </c>
      <c r="CP39">
        <f>AG39*(c_Stroke2 + c_SEM)</f>
        <v>208.80998878417634</v>
      </c>
      <c r="CQ39">
        <f>AH39*(c_MI1+c_MI2 + c_SEM)</f>
        <v>50.422694864505729</v>
      </c>
      <c r="CR39">
        <f>AI39*(c_MI2+c_SEM)</f>
        <v>96.067191254208126</v>
      </c>
      <c r="CS39">
        <f>AJ39*(c_Stroke1+c_Stroke2+c_MI2+c_SEM)</f>
        <v>3.3414394793639945</v>
      </c>
      <c r="CT39">
        <f>AK39*(c_Stroke2+c_MI1+c_MI2+c_SEM)</f>
        <v>3.4464918979991856</v>
      </c>
      <c r="CU39">
        <f>AL39*(c_Stroke2+c_MI2+c_SEM)</f>
        <v>4.5603558902460231</v>
      </c>
      <c r="CV39">
        <f>AM39*(c_HF1+c_SEM)</f>
        <v>43.859877173768567</v>
      </c>
      <c r="CW39">
        <f>AN39*(c_HF2+c_SEM)</f>
        <v>348.42220467744585</v>
      </c>
      <c r="CX39">
        <f>AO39*(c_Stroke2+c_HF1+c_SEM)</f>
        <v>2.7934313325669744</v>
      </c>
      <c r="CY39">
        <f>AP39*(c_Stroke1+c_Stroke2+c_HF2+c_SEM)</f>
        <v>7.2042134450475404</v>
      </c>
      <c r="CZ39">
        <f>AQ39*(c_Stroke2+c_HF2+c_SEM)</f>
        <v>13.444806759280569</v>
      </c>
      <c r="DA39">
        <f>AR39*(c_DM+c_SEM)</f>
        <v>3198.875842596321</v>
      </c>
      <c r="DB39">
        <f>AS39*(c_Other+c_DM+c_SEM)</f>
        <v>2152.0632876112522</v>
      </c>
      <c r="DC39">
        <f>AT39*(c_Stroke1+c_Stroke2+c_DM+c_SEM)</f>
        <v>191.49182940749824</v>
      </c>
      <c r="DD39">
        <f>AU39*(c_Stroke2+c_DM+c_SEM)</f>
        <v>432.15450475733337</v>
      </c>
      <c r="DE39">
        <f>AV39*(c_MI1+c_MI2+c_DM+c_SEM)</f>
        <v>94.52573220665667</v>
      </c>
      <c r="DF39">
        <f>AW39*(c_MI2+c_DM+c_SEM)</f>
        <v>228.59298641744181</v>
      </c>
      <c r="DG39">
        <f>AX39*(c_Stroke1+c_Stroke2+c_MI2+c_DM+c_SEM)</f>
        <v>9.8599413795485464</v>
      </c>
      <c r="DH39">
        <f>AY39*(c_Stroke2+c_MI1+c_MI2+c_DM+c_SEM)</f>
        <v>9.6260114891701765</v>
      </c>
      <c r="DI39">
        <f>AZ39*(c_Stroke2+c_MI2+c_DM+c_SEM)</f>
        <v>13.936872657304004</v>
      </c>
      <c r="DJ39">
        <f>BA39*(c_HF1+c_DM+c_SEM)</f>
        <v>81.913210164745863</v>
      </c>
      <c r="DK39">
        <f>BB39*(c_HF2+c_DM+c_SEM)</f>
        <v>655.83769026248137</v>
      </c>
      <c r="DL39">
        <f>BC39*(c_Stroke2+c_HF1+c_DM+c_SEM)</f>
        <v>7.7151428749236564</v>
      </c>
      <c r="DM39">
        <f>BD39*(c_Stroke1+c_Stroke2+c_HF2+c_DM+c_SEM)</f>
        <v>19.275046508592521</v>
      </c>
      <c r="DN39">
        <f>BE39*(c_Stroke2+c_HF2+c_DM+c_SEM)</f>
        <v>34.696495390875498</v>
      </c>
      <c r="DO39">
        <f t="shared" si="20"/>
        <v>0</v>
      </c>
      <c r="DP39">
        <f t="shared" si="39"/>
        <v>11493.745837016795</v>
      </c>
      <c r="DQ39">
        <f>DP39/(1+r_)^A39</f>
        <v>3965.714999131103</v>
      </c>
    </row>
    <row r="40" spans="1:121" x14ac:dyDescent="0.3">
      <c r="A40">
        <v>37</v>
      </c>
      <c r="B40">
        <v>82</v>
      </c>
      <c r="C40">
        <f t="shared" si="40"/>
        <v>32.793999999999997</v>
      </c>
      <c r="D40">
        <f t="shared" si="1"/>
        <v>125</v>
      </c>
      <c r="E40">
        <f t="shared" si="41"/>
        <v>5.4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1"/>
        <v>1.9177515277734612E-2</v>
      </c>
      <c r="J40">
        <f t="shared" si="22"/>
        <v>0.33159163428795446</v>
      </c>
      <c r="K40">
        <f t="shared" si="23"/>
        <v>0.43118288503193691</v>
      </c>
      <c r="L40">
        <f t="shared" si="24"/>
        <v>0.1736290787404956</v>
      </c>
      <c r="M40">
        <f t="shared" si="25"/>
        <v>0.23439574565748766</v>
      </c>
      <c r="N40">
        <f t="shared" si="26"/>
        <v>0.66188031033212291</v>
      </c>
      <c r="O40">
        <f t="shared" si="27"/>
        <v>0.78393631471234348</v>
      </c>
      <c r="P40">
        <f t="shared" si="28"/>
        <v>0.41338328812983438</v>
      </c>
      <c r="Q40">
        <f t="shared" si="29"/>
        <v>0.52936157985006016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2.7108456353878992E-2</v>
      </c>
      <c r="U40">
        <f t="shared" si="30"/>
        <v>0.58386218285190616</v>
      </c>
      <c r="V40">
        <f t="shared" si="31"/>
        <v>0.7070827444279455</v>
      </c>
      <c r="W40">
        <f t="shared" si="32"/>
        <v>0.33969083821685697</v>
      </c>
      <c r="X40">
        <f t="shared" si="33"/>
        <v>0.44081221189967867</v>
      </c>
      <c r="Y40">
        <f t="shared" si="34"/>
        <v>0.84200569100815603</v>
      </c>
      <c r="Z40">
        <f t="shared" si="35"/>
        <v>0.92626235934949808</v>
      </c>
      <c r="AA40">
        <f t="shared" si="36"/>
        <v>0.59652217145066233</v>
      </c>
      <c r="AB40">
        <f t="shared" si="37"/>
        <v>0.7226503850198891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4.5521263464755296E-2</v>
      </c>
      <c r="AD40">
        <f t="shared" si="38"/>
        <v>0.14989203459526526</v>
      </c>
      <c r="AE40">
        <f t="shared" si="6"/>
        <v>4.1276035006293496E-2</v>
      </c>
      <c r="AF40">
        <f t="shared" si="7"/>
        <v>2.5667465168948307E-3</v>
      </c>
      <c r="AG40">
        <f t="shared" si="8"/>
        <v>9.3691433372951379E-3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1.1036462489121194E-3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5.1961687470269986E-3</v>
      </c>
      <c r="AJ40">
        <f t="shared" si="11"/>
        <v>7.5624525554105084E-5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6.525969828225997E-5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1.687994370422646E-4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9.9658615249332205E-4</v>
      </c>
      <c r="AN40">
        <f t="shared" si="15"/>
        <v>1.1585221764105213E-2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5.4179632486934921E-5</v>
      </c>
      <c r="AP40">
        <f>AM39*T39*p_Stroke*p_Stroke_rec*(1-I39) + AN39*T39*p_Stroke*p_Stroke_rec*(1-I39) + AO39*(p_recur_Stroke*p_Stroke_rec)*(1-I39) + AP39*(p_recur_Stroke*p_Stroke_rec)*(1-I39) + AQ39*(p_recur_Stroke*p_Stroke_rec)*(1-I39)</f>
        <v>1.3304459973306453E-4</v>
      </c>
      <c r="AQ40">
        <f>AO39*(1-p_recur_Stroke-H39*rr_Stroke*rr_HF)*(1-I39) + AP39*(1-p_recur_Stroke-H39*rr_Stroke*rr_HF)*(1-I39) + AQ39*(1-p_recur_Stroke-H39*rr_Stroke*rr_HF)*(1-I39)</f>
        <v>3.432811374088436E-4</v>
      </c>
      <c r="AR40">
        <f>AR39*(1-AC39-H39*rr_DM) + AD39*(1-T39-H39)*I39</f>
        <v>0.1180834431522783</v>
      </c>
      <c r="AS40">
        <f>AR39*AC39*p_Other + AD39*T39*p_Other*I39 + AE39*(1-T39*p_Stroke-T39*p_MI-H39*rr_Other)*I39 + AS39*(1-AC39*p_Stroke-AC39*p_MI-H39*rr_Other*rr_DM)</f>
        <v>5.1950754306964851E-2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3.7135045833759815E-3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1.2537646705729462E-2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1.6627050518499601E-3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7.5012979431863238E-3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1.7718298922817782E-4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1.4999700491782997E-4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3.4759845635053154E-4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1.4830077250817799E-3</v>
      </c>
      <c r="BB40">
        <f>AM39*(1-T39*p_Stroke - H39*rr_HF)*I39 + AN39*(1-T39*p_Stroke - H39*rr_HF)*I39 + BA39*(1-AC39*p_Stroke - H39*rr_HF*rr_DM) + BB39*(1-AC39*p_Stroke - H39*rr_HF*rr_DM)</f>
        <v>1.6012386588542822E-2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1.2222234059023731E-4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2.9813303531264816E-4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6.7442956263093115E-4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0.52045991915516621</v>
      </c>
      <c r="BG40">
        <f t="shared" si="17"/>
        <v>0.95799999999999985</v>
      </c>
      <c r="BH40">
        <f>(0.9442 - 0.0007*$B40 - dis_BMI*($C40-21.75))*AD40</f>
        <v>0.12746141109984988</v>
      </c>
      <c r="BI40">
        <f>0.959*(0.9442 - 0.0007*$B40 - dis_BMI*($C40-21.75))*AE40</f>
        <v>3.3660204238374347E-2</v>
      </c>
      <c r="BJ40">
        <f>(0.943*(0.9442 - 0.0007*$B40 - dis_BMI*($C40-21.75)) - 0.19*0.5)*AF40</f>
        <v>1.8143935243213778E-3</v>
      </c>
      <c r="BK40">
        <f>(0.943*(0.9442 - 0.0007*$B40 - dis_BMI*($C40-21.75)))*AG40</f>
        <v>7.5129715362577936E-3</v>
      </c>
      <c r="BL40">
        <f>(0.955*(0.9442 - 0.0007*$B40 - dis_BMI*($C40-21.75)) - 0.15*0.5)*AH40</f>
        <v>8.1348532675910802E-4</v>
      </c>
      <c r="BM40">
        <f>(0.955*(0.9442 - 0.0007*$B40 - dis_BMI*($C40-21.75)))*AI40</f>
        <v>4.2197506190403966E-3</v>
      </c>
      <c r="BN40">
        <f>(0.955*0.943*(0.9442 - 0.0007*$B40 - dis_BMI*($C40-21.75)) - 0.19*0.5)*AJ40</f>
        <v>5.0728914382991348E-5</v>
      </c>
      <c r="BO40">
        <f>(0.955*0.943*(0.9442 - 0.0007*$B40 - dis_BMI*($C40-21.75)) - 0.15*0.5)*AK40</f>
        <v>4.5081384593804561E-5</v>
      </c>
      <c r="BP40">
        <f>(0.955*0.943*(0.9442 - 0.0007*$B40 - dis_BMI*($C40-21.75)))*AL40</f>
        <v>1.2926657014108105E-4</v>
      </c>
      <c r="BQ40">
        <f>(0.93*(0.9442 - 0.0007*$B40 - dis_BMI*($C40-21.75)))*AM40</f>
        <v>7.8813019109919252E-4</v>
      </c>
      <c r="BR40">
        <f>(0.93*(0.9442 - 0.0007*$B40 - dis_BMI*($C40-21.75)))*AN40</f>
        <v>9.1619405106393437E-3</v>
      </c>
      <c r="BS40">
        <f>(0.93*0.943*(0.9442 - 0.0007*$B40 - dis_BMI*($C40-21.75)))*AO40</f>
        <v>4.0404604831052953E-5</v>
      </c>
      <c r="BT40">
        <f>(0.93*0.943*(0.9442 - 0.0007*$B40 - dis_BMI*($C40-21.75))-0.19*0.5)*AP40</f>
        <v>8.6579126649666976E-5</v>
      </c>
      <c r="BU40">
        <f>(0.93*0.943*(0.9442 - 0.0007*$B40 - dis_BMI*($C40-21.75)))*AQ40</f>
        <v>2.5600281999519676E-4</v>
      </c>
      <c r="BV40">
        <f>0.962*(0.9442 - 0.0007*$B40 - dis_BMI*($C40-21.75))*AR40</f>
        <v>9.6597135423034441E-2</v>
      </c>
      <c r="BW40">
        <f>0.962*0.959*(0.9442 - 0.0007*$B40 - dis_BMI*($C40-21.75))*AS40</f>
        <v>4.0755451099936481E-2</v>
      </c>
      <c r="BX40">
        <f>0.962*(0.943*(0.9442 - 0.0007*$B40 - dis_BMI*($C40-21.75)) - 0.19*0.5)*AT40</f>
        <v>2.5252683880327797E-3</v>
      </c>
      <c r="BY40">
        <f>0.962*(0.943*(0.9442 - 0.0007*$B40 - dis_BMI*($C40-21.75)))*AU40</f>
        <v>9.6717031880050094E-3</v>
      </c>
      <c r="BZ40">
        <f>0.962*(0.955*(0.9442 - 0.0007*$B40 - dis_BMI*($C40-21.75)) - 0.15*0.5)*AV40</f>
        <v>1.1789899974917449E-3</v>
      </c>
      <c r="CA40">
        <f>0.962*(0.955*(0.9442 - 0.0007*$B40 - dis_BMI*($C40-21.75)))*AW40</f>
        <v>5.8602349287623671E-3</v>
      </c>
      <c r="CB40">
        <f>0.962*(0.955*0.943*(0.9442 - 0.0007*$B40 - dis_BMI*($C40-21.75)) - 0.19*0.5)*AX40</f>
        <v>1.1433784478087946E-4</v>
      </c>
      <c r="CC40">
        <f>0.962*(0.955*0.943*(0.9442 - 0.0007*$B40 - dis_BMI*($C40-21.75)) - 0.15*0.5)*AY40</f>
        <v>9.9680416497669897E-5</v>
      </c>
      <c r="CD40">
        <f>0.962*(0.955*0.943*(0.9442 - 0.0007*$B40 - dis_BMI*($C40-21.75)))*AZ40</f>
        <v>2.560755669989076E-4</v>
      </c>
      <c r="CE40">
        <f>0.962*(0.93*(0.9442 - 0.0007*$B40 - dis_BMI*($C40-21.75)))*BA40</f>
        <v>1.1282402818962966E-3</v>
      </c>
      <c r="CF40">
        <f>0.962*(0.93*(0.9442 - 0.0007*$B40 - dis_BMI*($C40-21.75)))*BB40</f>
        <v>1.2181878255215292E-2</v>
      </c>
      <c r="CG40">
        <f>0.962*(0.93*0.943*(0.9442 - 0.0007*$B40 - dis_BMI*($C40-21.75)))*BC40</f>
        <v>8.7684024989347325E-5</v>
      </c>
      <c r="CH40">
        <f>0.962*(0.93*0.943*(0.9442 - 0.0007*$B40 - dis_BMI*($C40-21.75))-0.19*0.5)*BD40</f>
        <v>1.8663845173226163E-4</v>
      </c>
      <c r="CI40">
        <f>0.962*(0.93*0.943*(0.9442 - 0.0007*$B40 - dis_BMI*($C40-21.75)))*BE40</f>
        <v>4.838452474212295E-4</v>
      </c>
      <c r="CJ40">
        <f t="shared" si="18"/>
        <v>0</v>
      </c>
      <c r="CK40">
        <f t="shared" si="19"/>
        <v>0.35716751358172988</v>
      </c>
      <c r="CL40">
        <f>CK40/(1+r_)^A40</f>
        <v>0.11964502268210814</v>
      </c>
      <c r="CM40">
        <f>AD40*c_SEM</f>
        <v>2041.2297271183222</v>
      </c>
      <c r="CN40">
        <f>AE40*(c_Other+c_SEM)</f>
        <v>1151.4775485705698</v>
      </c>
      <c r="CO40">
        <f>AF40*(c_Stroke1+c_Stroke2+c_SEM)</f>
        <v>96.083589113441093</v>
      </c>
      <c r="CP40">
        <f>AG40*(c_Stroke2 + c_SEM)</f>
        <v>188.48842565970358</v>
      </c>
      <c r="CQ40">
        <f>AH40*(c_MI1+c_MI2 + c_SEM)</f>
        <v>47.201846419722436</v>
      </c>
      <c r="CR40">
        <f>AI40*(c_MI2+c_SEM)</f>
        <v>86.957883981496821</v>
      </c>
      <c r="CS40">
        <f>AJ40*(c_Stroke1+c_Stroke2+c_MI2+c_SEM)</f>
        <v>3.0666501357445153</v>
      </c>
      <c r="CT40">
        <f>AK40*(c_Stroke2+c_MI1+c_MI2+c_SEM)</f>
        <v>3.2152800746686663</v>
      </c>
      <c r="CU40">
        <f>AL40*(c_Stroke2+c_MI2+c_SEM)</f>
        <v>3.9220549196770178</v>
      </c>
      <c r="CV40">
        <f>AM40*(c_HF1+c_SEM)</f>
        <v>40.509233926548553</v>
      </c>
      <c r="CW40">
        <f>AN40*(c_HF2+c_SEM)</f>
        <v>338.55493561244663</v>
      </c>
      <c r="CX40">
        <f>AO40*(c_Stroke2+c_HF1+c_SEM)</f>
        <v>2.5544613124940079</v>
      </c>
      <c r="CY40">
        <f>AP40*(c_Stroke1+c_Stroke2+c_HF2+c_SEM)</f>
        <v>7.0565525252420098</v>
      </c>
      <c r="CZ40">
        <f>AQ40*(c_Stroke2+c_HF2+c_SEM)</f>
        <v>12.26303207165612</v>
      </c>
      <c r="DA40">
        <f>AR40*(c_DM+c_SEM)</f>
        <v>2957.1636668625056</v>
      </c>
      <c r="DB40">
        <f>AS40*(c_Other+c_DM+c_SEM)</f>
        <v>2042.8075608584718</v>
      </c>
      <c r="DC40">
        <f>AT40*(c_Stroke1+c_Stroke2+c_DM+c_SEM)</f>
        <v>181.43812043916708</v>
      </c>
      <c r="DD40">
        <f>AU40*(c_Stroke2+c_DM+c_SEM)</f>
        <v>395.47499003882444</v>
      </c>
      <c r="DE40">
        <f>AV40*(c_MI1+c_MI2+c_DM+c_SEM)</f>
        <v>90.108637579956735</v>
      </c>
      <c r="DF40">
        <f>AW40*(c_MI2+c_DM+c_SEM)</f>
        <v>211.23655008012688</v>
      </c>
      <c r="DG40">
        <f>AX40*(c_Stroke1+c_Stroke2+c_MI2+c_DM+c_SEM)</f>
        <v>9.2092630481237698</v>
      </c>
      <c r="DH40">
        <f>AY40*(c_Stroke2+c_MI1+c_MI2+c_DM+c_SEM)</f>
        <v>9.1039182164827714</v>
      </c>
      <c r="DI40">
        <f>AZ40*(c_Stroke2+c_MI2+c_DM+c_SEM)</f>
        <v>12.047762497109423</v>
      </c>
      <c r="DJ40">
        <f>BA40*(c_HF1+c_DM+c_SEM)</f>
        <v>77.224661268183524</v>
      </c>
      <c r="DK40">
        <f>BB40*(c_HF2+c_DM+c_SEM)</f>
        <v>650.87149005108859</v>
      </c>
      <c r="DL40">
        <f>BC40*(c_Stroke2+c_HF1+c_DM+c_SEM)</f>
        <v>7.1589291553919701</v>
      </c>
      <c r="DM40">
        <f>BD40*(c_Stroke1+c_Stroke2+c_HF2+c_DM+c_SEM)</f>
        <v>19.21884798839455</v>
      </c>
      <c r="DN40">
        <f>BE40*(c_Stroke2+c_HF2+c_DM+c_SEM)</f>
        <v>31.798005018923142</v>
      </c>
      <c r="DO40">
        <f t="shared" si="20"/>
        <v>0</v>
      </c>
      <c r="DP40">
        <f t="shared" si="39"/>
        <v>10717.443624544481</v>
      </c>
      <c r="DQ40">
        <f>DP40/(1+r_)^A40</f>
        <v>3590.1607419270968</v>
      </c>
    </row>
    <row r="41" spans="1:121" x14ac:dyDescent="0.3">
      <c r="A41">
        <v>38</v>
      </c>
      <c r="B41">
        <v>83</v>
      </c>
      <c r="C41">
        <f t="shared" si="40"/>
        <v>32.793999999999997</v>
      </c>
      <c r="D41">
        <f t="shared" si="1"/>
        <v>125</v>
      </c>
      <c r="E41">
        <f t="shared" si="41"/>
        <v>5.4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1"/>
        <v>1.9177515277734612E-2</v>
      </c>
      <c r="J41">
        <f t="shared" si="22"/>
        <v>0.34056043742847442</v>
      </c>
      <c r="K41">
        <f t="shared" si="23"/>
        <v>0.44184329901501773</v>
      </c>
      <c r="L41">
        <f t="shared" si="24"/>
        <v>0.1788969727133668</v>
      </c>
      <c r="M41">
        <f t="shared" si="25"/>
        <v>0.24122213938749293</v>
      </c>
      <c r="N41">
        <f t="shared" si="26"/>
        <v>0.67568952083733147</v>
      </c>
      <c r="O41">
        <f t="shared" si="27"/>
        <v>0.7962989418567975</v>
      </c>
      <c r="P41">
        <f t="shared" si="28"/>
        <v>0.42529290627296379</v>
      </c>
      <c r="Q41">
        <f t="shared" si="29"/>
        <v>0.5428058645349082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2.7848248897125605E-2</v>
      </c>
      <c r="U41">
        <f t="shared" si="30"/>
        <v>0.59591842403072204</v>
      </c>
      <c r="V41">
        <f t="shared" si="31"/>
        <v>0.71889841607739768</v>
      </c>
      <c r="W41">
        <f t="shared" si="32"/>
        <v>0.34881722732742482</v>
      </c>
      <c r="X41">
        <f t="shared" si="33"/>
        <v>0.4516062209962366</v>
      </c>
      <c r="Y41">
        <f t="shared" si="34"/>
        <v>0.8528279303909051</v>
      </c>
      <c r="Z41">
        <f t="shared" si="35"/>
        <v>0.93329682519538959</v>
      </c>
      <c r="AA41">
        <f t="shared" si="36"/>
        <v>0.61036176517494056</v>
      </c>
      <c r="AB41">
        <f t="shared" si="37"/>
        <v>0.73599671604949968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4.6539255208320016E-2</v>
      </c>
      <c r="AD41">
        <f t="shared" si="38"/>
        <v>0.13503636838301239</v>
      </c>
      <c r="AE41">
        <f t="shared" si="6"/>
        <v>3.7999183180701453E-2</v>
      </c>
      <c r="AF41">
        <f t="shared" si="7"/>
        <v>2.3679907413711523E-3</v>
      </c>
      <c r="AG41">
        <f t="shared" si="8"/>
        <v>8.2394721426342406E-3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1.0276167535425286E-3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4.6573297955073518E-3</v>
      </c>
      <c r="AJ41">
        <f t="shared" si="11"/>
        <v>6.8977082687225001E-5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6.0196767836476548E-5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1.3879294290199134E-4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9.1671463229541373E-4</v>
      </c>
      <c r="AN41">
        <f t="shared" si="15"/>
        <v>1.1042081861507748E-2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4.9043032537330108E-5</v>
      </c>
      <c r="AP41">
        <f>AM40*T40*p_Stroke*p_Stroke_rec*(1-I40) + AN40*T40*p_Stroke*p_Stroke_rec*(1-I40) + AO40*(p_recur_Stroke*p_Stroke_rec)*(1-I40) + AP40*(p_recur_Stroke*p_Stroke_rec)*(1-I40) + AQ40*(p_recur_Stroke*p_Stroke_rec)*(1-I40)</f>
        <v>1.2823167461219407E-4</v>
      </c>
      <c r="AQ41">
        <f>AO40*(1-p_recur_Stroke-H40*rr_Stroke*rr_HF)*(1-I40) + AP40*(1-p_recur_Stroke-H40*rr_Stroke*rr_HF)*(1-I40) + AQ40*(1-p_recur_Stroke-H40*rr_Stroke*rr_HF)*(1-I40)</f>
        <v>2.966851207324544E-4</v>
      </c>
      <c r="AR41">
        <f>AR40*(1-AC40-H40*rr_DM) + AD40*(1-T40-H40)*I40</f>
        <v>0.10796303290668109</v>
      </c>
      <c r="AS41">
        <f>AR40*AC40*p_Other + AD40*T40*p_Other*I40 + AE40*(1-T40*p_Stroke-T40*p_MI-H40*rr_Other)*I40 + AS40*(1-AC40*p_Stroke-AC40*p_MI-H40*rr_Other*rr_DM)</f>
        <v>4.8412477767424605E-2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3.4782474913212505E-3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1.1118000736539388E-2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1.5730849689787438E-3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6.8413654585456462E-3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1.6411463427852178E-4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1.3989073296673512E-4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2.8382334313294198E-4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1.3893909015159022E-3</v>
      </c>
      <c r="BB41">
        <f>AM40*(1-T40*p_Stroke - H40*rr_HF)*I40 + AN40*(1-T40*p_Stroke - H40*rr_HF)*I40 + BA40*(1-AC40*p_Stroke - H40*rr_HF*rr_DM) + BB40*(1-AC40*p_Stroke - H40*rr_HF*rr_DM)</f>
        <v>1.5536620620496882E-2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1.1195849191756183E-4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2.918923801538925E-4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5.7915339960497867E-4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0.55808826205456175</v>
      </c>
      <c r="BG41">
        <f t="shared" si="17"/>
        <v>0.95799999999999974</v>
      </c>
      <c r="BH41">
        <f>(0.9442 - 0.0007*$B41 - dis_BMI*($C41-21.75))*AD41</f>
        <v>0.11473429857119471</v>
      </c>
      <c r="BI41">
        <f>0.959*(0.9442 - 0.0007*$B41 - dis_BMI*($C41-21.75))*AE41</f>
        <v>3.0962454661754204E-2</v>
      </c>
      <c r="BJ41">
        <f>(0.943*(0.9442 - 0.0007*$B41 - dis_BMI*($C41-21.75)) - 0.19*0.5)*AF41</f>
        <v>1.6723330214448902E-3</v>
      </c>
      <c r="BK41">
        <f>(0.943*(0.9442 - 0.0007*$B41 - dis_BMI*($C41-21.75)))*AG41</f>
        <v>6.6016667532945057E-3</v>
      </c>
      <c r="BL41">
        <f>(0.955*(0.9442 - 0.0007*$B41 - dis_BMI*($C41-21.75)) - 0.15*0.5)*AH41</f>
        <v>7.5675787286778461E-4</v>
      </c>
      <c r="BM41">
        <f>(0.955*(0.9442 - 0.0007*$B41 - dis_BMI*($C41-21.75)))*AI41</f>
        <v>3.7790520982187272E-3</v>
      </c>
      <c r="BN41">
        <f>(0.955*0.943*(0.9442 - 0.0007*$B41 - dis_BMI*($C41-21.75)) - 0.19*0.5)*AJ41</f>
        <v>4.6226328391199773E-5</v>
      </c>
      <c r="BO41">
        <f>(0.955*0.943*(0.9442 - 0.0007*$B41 - dis_BMI*($C41-21.75)) - 0.15*0.5)*AK41</f>
        <v>4.1545965632433649E-5</v>
      </c>
      <c r="BP41">
        <f>(0.955*0.943*(0.9442 - 0.0007*$B41 - dis_BMI*($C41-21.75)))*AL41</f>
        <v>1.0620010936945327E-4</v>
      </c>
      <c r="BQ41">
        <f>(0.93*(0.9442 - 0.0007*$B41 - dis_BMI*($C41-21.75)))*AM41</f>
        <v>7.2436861843083104E-4</v>
      </c>
      <c r="BR41">
        <f>(0.93*(0.9442 - 0.0007*$B41 - dis_BMI*($C41-21.75)))*AN41</f>
        <v>8.7252208057293848E-3</v>
      </c>
      <c r="BS41">
        <f>(0.93*0.943*(0.9442 - 0.0007*$B41 - dis_BMI*($C41-21.75)))*AO41</f>
        <v>3.6543864601185154E-5</v>
      </c>
      <c r="BT41">
        <f>(0.93*0.943*(0.9442 - 0.0007*$B41 - dis_BMI*($C41-21.75))-0.19*0.5)*AP41</f>
        <v>8.3368382316458418E-5</v>
      </c>
      <c r="BU41">
        <f>(0.93*0.943*(0.9442 - 0.0007*$B41 - dis_BMI*($C41-21.75)))*AQ41</f>
        <v>2.2107158387851437E-4</v>
      </c>
      <c r="BV41">
        <f>0.962*(0.9442 - 0.0007*$B41 - dis_BMI*($C41-21.75))*AR41</f>
        <v>8.8245519384714199E-2</v>
      </c>
      <c r="BW41">
        <f>0.962*0.959*(0.9442 - 0.0007*$B41 - dis_BMI*($C41-21.75))*AS41</f>
        <v>3.7948403086932876E-2</v>
      </c>
      <c r="BX41">
        <f>0.962*(0.943*(0.9442 - 0.0007*$B41 - dis_BMI*($C41-21.75)) - 0.19*0.5)*AT41</f>
        <v>2.3630794198407413E-3</v>
      </c>
      <c r="BY41">
        <f>0.962*(0.943*(0.9442 - 0.0007*$B41 - dis_BMI*($C41-21.75)))*AU41</f>
        <v>8.5695097746361394E-3</v>
      </c>
      <c r="BZ41">
        <f>0.962*(0.955*(0.9442 - 0.0007*$B41 - dis_BMI*($C41-21.75)) - 0.15*0.5)*AV41</f>
        <v>1.1144305914516093E-3</v>
      </c>
      <c r="CA41">
        <f>0.962*(0.955*(0.9442 - 0.0007*$B41 - dis_BMI*($C41-21.75)))*AW41</f>
        <v>5.3402765696643822E-3</v>
      </c>
      <c r="CB41">
        <f>0.962*(0.955*0.943*(0.9442 - 0.0007*$B41 - dis_BMI*($C41-21.75)) - 0.19*0.5)*AX41</f>
        <v>1.0580518700524509E-4</v>
      </c>
      <c r="CC41">
        <f>0.962*(0.955*0.943*(0.9442 - 0.0007*$B41 - dis_BMI*($C41-21.75)) - 0.15*0.5)*AY41</f>
        <v>9.2879464344711773E-5</v>
      </c>
      <c r="CD41">
        <f>0.962*(0.955*0.943*(0.9442 - 0.0007*$B41 - dis_BMI*($C41-21.75)))*AZ41</f>
        <v>2.0892035872220144E-4</v>
      </c>
      <c r="CE41">
        <f>0.962*(0.93*(0.9442 - 0.0007*$B41 - dis_BMI*($C41-21.75)))*BA41</f>
        <v>1.056148499551129E-3</v>
      </c>
      <c r="CF41">
        <f>0.962*(0.93*(0.9442 - 0.0007*$B41 - dis_BMI*($C41-21.75)))*BB41</f>
        <v>1.1810195776098585E-2</v>
      </c>
      <c r="CG41">
        <f>0.962*(0.93*0.943*(0.9442 - 0.0007*$B41 - dis_BMI*($C41-21.75)))*BC41</f>
        <v>8.0254476917755838E-5</v>
      </c>
      <c r="CH41">
        <f>0.962*(0.93*0.943*(0.9442 - 0.0007*$B41 - dis_BMI*($C41-21.75))-0.19*0.5)*BD41</f>
        <v>1.8255927004040873E-4</v>
      </c>
      <c r="CI41">
        <f>0.962*(0.93*0.943*(0.9442 - 0.0007*$B41 - dis_BMI*($C41-21.75)))*BE41</f>
        <v>4.1515076118265199E-4</v>
      </c>
      <c r="CJ41">
        <f t="shared" si="18"/>
        <v>0</v>
      </c>
      <c r="CK41">
        <f t="shared" si="19"/>
        <v>0.32602424125822699</v>
      </c>
      <c r="CL41">
        <f>CK41/(1+r_)^A41</f>
        <v>0.10603160956602167</v>
      </c>
      <c r="CM41">
        <f>AD41*c_SEM</f>
        <v>1838.9252646398627</v>
      </c>
      <c r="CN41">
        <f>AE41*(c_Other+c_SEM)</f>
        <v>1060.0632131920283</v>
      </c>
      <c r="CO41">
        <f>AF41*(c_Stroke1+c_Stroke2+c_SEM)</f>
        <v>88.643365412487711</v>
      </c>
      <c r="CP41">
        <f>AG41*(c_Stroke2 + c_SEM)</f>
        <v>165.76170056551567</v>
      </c>
      <c r="CQ41">
        <f>AH41*(c_MI1+c_MI2 + c_SEM)</f>
        <v>43.950140932260403</v>
      </c>
      <c r="CR41">
        <f>AI41*(c_MI2+c_SEM)</f>
        <v>77.940414127815529</v>
      </c>
      <c r="CS41">
        <f>AJ41*(c_Stroke1+c_Stroke2+c_MI2+c_SEM)</f>
        <v>2.7970896800496612</v>
      </c>
      <c r="CT41">
        <f>AK41*(c_Stroke2+c_MI1+c_MI2+c_SEM)</f>
        <v>2.965834554535363</v>
      </c>
      <c r="CU41">
        <f>AL41*(c_Stroke2+c_MI2+c_SEM)</f>
        <v>3.2248540283277687</v>
      </c>
      <c r="CV41">
        <f>AM41*(c_HF1+c_SEM)</f>
        <v>37.262616373543977</v>
      </c>
      <c r="CW41">
        <f>AN41*(c_HF2+c_SEM)</f>
        <v>322.6827582388409</v>
      </c>
      <c r="CX41">
        <f>AO41*(c_Stroke2+c_HF1+c_SEM)</f>
        <v>2.31228089807004</v>
      </c>
      <c r="CY41">
        <f>AP41*(c_Stroke1+c_Stroke2+c_HF2+c_SEM)</f>
        <v>6.801279789756161</v>
      </c>
      <c r="CZ41">
        <f>AQ41*(c_Stroke2+c_HF2+c_SEM)</f>
        <v>10.598482567925469</v>
      </c>
      <c r="DA41">
        <f>AR41*(c_DM+c_SEM)</f>
        <v>2703.7182330820146</v>
      </c>
      <c r="DB41">
        <f>AS41*(c_Other+c_DM+c_SEM)</f>
        <v>1903.6754507706703</v>
      </c>
      <c r="DC41">
        <f>AT41*(c_Stroke1+c_Stroke2+c_DM+c_SEM)</f>
        <v>169.94369417846497</v>
      </c>
      <c r="DD41">
        <f>AU41*(c_Stroke2+c_DM+c_SEM)</f>
        <v>350.69509723266191</v>
      </c>
      <c r="DE41">
        <f>AV41*(c_MI1+c_MI2+c_DM+c_SEM)</f>
        <v>85.251766808834034</v>
      </c>
      <c r="DF41">
        <f>AW41*(c_MI2+c_DM+c_SEM)</f>
        <v>192.6528513126454</v>
      </c>
      <c r="DG41">
        <f>AX41*(c_Stroke1+c_Stroke2+c_MI2+c_DM+c_SEM)</f>
        <v>8.5300222312604479</v>
      </c>
      <c r="DH41">
        <f>AY41*(c_Stroke2+c_MI1+c_MI2+c_DM+c_SEM)</f>
        <v>8.4905281466830207</v>
      </c>
      <c r="DI41">
        <f>AZ41*(c_Stroke2+c_MI2+c_DM+c_SEM)</f>
        <v>9.8373170729877693</v>
      </c>
      <c r="DJ41">
        <f>BA41*(c_HF1+c_DM+c_SEM)</f>
        <v>72.349752414637578</v>
      </c>
      <c r="DK41">
        <f>BB41*(c_HF2+c_DM+c_SEM)</f>
        <v>631.53255498195722</v>
      </c>
      <c r="DL41">
        <f>BC41*(c_Stroke2+c_HF1+c_DM+c_SEM)</f>
        <v>6.5577447470873489</v>
      </c>
      <c r="DM41">
        <f>BD41*(c_Stroke1+c_Stroke2+c_HF2+c_DM+c_SEM)</f>
        <v>18.816550394240526</v>
      </c>
      <c r="DN41">
        <f>BE41*(c_Stroke2+c_HF2+c_DM+c_SEM)</f>
        <v>27.305924484575534</v>
      </c>
      <c r="DO41">
        <f t="shared" si="20"/>
        <v>0</v>
      </c>
      <c r="DP41">
        <f t="shared" si="39"/>
        <v>9853.2867828597391</v>
      </c>
      <c r="DQ41">
        <f>DP41/(1+r_)^A41</f>
        <v>3204.5465486559483</v>
      </c>
    </row>
    <row r="42" spans="1:121" x14ac:dyDescent="0.3">
      <c r="A42">
        <v>39</v>
      </c>
      <c r="B42">
        <v>84</v>
      </c>
      <c r="C42">
        <f t="shared" si="40"/>
        <v>32.793999999999997</v>
      </c>
      <c r="D42">
        <f t="shared" si="1"/>
        <v>125</v>
      </c>
      <c r="E42">
        <f t="shared" si="41"/>
        <v>5.4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1"/>
        <v>1.9177515277734612E-2</v>
      </c>
      <c r="J42">
        <f t="shared" si="22"/>
        <v>0.34959301619806915</v>
      </c>
      <c r="K42">
        <f t="shared" si="23"/>
        <v>0.4525209868829172</v>
      </c>
      <c r="L42">
        <f t="shared" si="24"/>
        <v>0.1842405987060366</v>
      </c>
      <c r="M42">
        <f t="shared" si="25"/>
        <v>0.24812877311884018</v>
      </c>
      <c r="N42">
        <f t="shared" si="26"/>
        <v>0.68926901901618576</v>
      </c>
      <c r="O42">
        <f t="shared" si="27"/>
        <v>0.80824574874662902</v>
      </c>
      <c r="P42">
        <f t="shared" si="28"/>
        <v>0.43725842962361272</v>
      </c>
      <c r="Q42">
        <f t="shared" si="29"/>
        <v>0.55619787179557523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2.8592589256723207E-2</v>
      </c>
      <c r="U42">
        <f t="shared" si="30"/>
        <v>0.60786700028474727</v>
      </c>
      <c r="V42">
        <f t="shared" si="31"/>
        <v>0.73047008992024465</v>
      </c>
      <c r="W42">
        <f t="shared" si="32"/>
        <v>0.35800471677715884</v>
      </c>
      <c r="X42">
        <f t="shared" si="33"/>
        <v>0.46241146792312848</v>
      </c>
      <c r="Y42">
        <f t="shared" si="34"/>
        <v>0.86315946271129551</v>
      </c>
      <c r="Z42">
        <f t="shared" si="35"/>
        <v>0.93981600121061137</v>
      </c>
      <c r="AA42">
        <f t="shared" si="36"/>
        <v>0.62406512755045096</v>
      </c>
      <c r="AB42">
        <f t="shared" si="37"/>
        <v>0.74902016473390753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4.7552623558659475E-2</v>
      </c>
      <c r="AD42">
        <f t="shared" si="38"/>
        <v>0.12045998158022073</v>
      </c>
      <c r="AE42">
        <f t="shared" si="6"/>
        <v>3.4395243882797244E-2</v>
      </c>
      <c r="AF42">
        <f t="shared" si="7"/>
        <v>2.1486963253732482E-3</v>
      </c>
      <c r="AG42">
        <f t="shared" si="8"/>
        <v>7.0515070885700786E-3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9.4733486130547918E-4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4.1289801028298063E-3</v>
      </c>
      <c r="AJ42">
        <f t="shared" si="11"/>
        <v>6.1873380403519864E-5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5.4257534540239179E-5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1.0934976830438407E-4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8.3546918306894502E-4</v>
      </c>
      <c r="AN42">
        <f t="shared" si="15"/>
        <v>1.031681497391089E-2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4.3328405266276439E-5</v>
      </c>
      <c r="AP42">
        <f>AM41*T41*p_Stroke*p_Stroke_rec*(1-I41) + AN41*T41*p_Stroke*p_Stroke_rec*(1-I41) + AO41*(p_recur_Stroke*p_Stroke_rec)*(1-I41) + AP41*(p_recur_Stroke*p_Stroke_rec)*(1-I41) + AQ41*(p_recur_Stroke*p_Stroke_rec)*(1-I41)</f>
        <v>1.2043974306284261E-4</v>
      </c>
      <c r="AQ42">
        <f>AO41*(1-p_recur_Stroke-H41*rr_Stroke*rr_HF)*(1-I41) + AP41*(1-p_recur_Stroke-H41*rr_Stroke*rr_HF)*(1-I41) + AQ41*(1-p_recur_Stroke-H41*rr_Stroke*rr_HF)*(1-I41)</f>
        <v>2.4316686644362725E-4</v>
      </c>
      <c r="AR42">
        <f>AR41*(1-AC41-H41*rr_DM) + AD41*(1-T41-H41)*I41</f>
        <v>9.7514842303105684E-2</v>
      </c>
      <c r="AS42">
        <f>AR41*AC41*p_Other + AD41*T41*p_Other*I41 + AE41*(1-T41*p_Stroke-T41*p_MI-H41*rr_Other)*I41 + AS41*(1-AC41*p_Stroke-AC41*p_MI-H41*rr_Other*rr_DM)</f>
        <v>4.4206970121850236E-2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3.1933782710230792E-3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9.5413364859685268E-3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1.4689506907280435E-3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6.1505263710356153E-3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1.4896910520950177E-4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1.2689933549355579E-4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2.1938399966879818E-4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1.2856797038069724E-3</v>
      </c>
      <c r="BB42">
        <f>AM41*(1-T41*p_Stroke - H41*rr_HF)*I41 + AN41*(1-T41*p_Stroke - H41*rr_HF)*I41 + BA41*(1-AC41*p_Stroke - H41*rr_HF*rr_DM) + BB41*(1-AC41*p_Stroke - H41*rr_HF*rr_DM)</f>
        <v>1.472696485357974E-2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9.959848836480952E-5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2.7756095968804685E-4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4.6632221287721127E-4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0.59765617340150268</v>
      </c>
      <c r="BG42">
        <f t="shared" si="17"/>
        <v>0.95799999999999996</v>
      </c>
      <c r="BH42">
        <f>(0.9442 - 0.0007*$B42 - dis_BMI*($C42-21.75))*AD42</f>
        <v>0.10226507957043998</v>
      </c>
      <c r="BI42">
        <f>0.959*(0.9442 - 0.0007*$B42 - dis_BMI*($C42-21.75))*AE42</f>
        <v>2.8002807088421032E-2</v>
      </c>
      <c r="BJ42">
        <f>(0.943*(0.9442 - 0.0007*$B42 - dis_BMI*($C42-21.75)) - 0.19*0.5)*AF42</f>
        <v>1.5160435828849477E-3</v>
      </c>
      <c r="BK42">
        <f>(0.943*(0.9442 - 0.0007*$B42 - dis_BMI*($C42-21.75)))*AG42</f>
        <v>5.645185375041285E-3</v>
      </c>
      <c r="BL42">
        <f>(0.955*(0.9442 - 0.0007*$B42 - dis_BMI*($C42-21.75)) - 0.15*0.5)*AH42</f>
        <v>6.9700336161764205E-4</v>
      </c>
      <c r="BM42">
        <f>(0.955*(0.9442 - 0.0007*$B42 - dis_BMI*($C42-21.75)))*AI42</f>
        <v>3.3475781909187742E-3</v>
      </c>
      <c r="BN42">
        <f>(0.955*0.943*(0.9442 - 0.0007*$B42 - dis_BMI*($C42-21.75)) - 0.19*0.5)*AJ42</f>
        <v>4.1426639971236811E-5</v>
      </c>
      <c r="BO42">
        <f>(0.955*0.943*(0.9442 - 0.0007*$B42 - dis_BMI*($C42-21.75)) - 0.15*0.5)*AK42</f>
        <v>3.7412684995000745E-5</v>
      </c>
      <c r="BP42">
        <f>(0.955*0.943*(0.9442 - 0.0007*$B42 - dis_BMI*($C42-21.75)))*AL42</f>
        <v>8.3602160263839963E-5</v>
      </c>
      <c r="BQ42">
        <f>(0.93*(0.9442 - 0.0007*$B42 - dis_BMI*($C42-21.75)))*AM42</f>
        <v>6.5962628309316758E-4</v>
      </c>
      <c r="BR42">
        <f>(0.93*(0.9442 - 0.0007*$B42 - dis_BMI*($C42-21.75)))*AN42</f>
        <v>8.1454139213165792E-3</v>
      </c>
      <c r="BS42">
        <f>(0.93*0.943*(0.9442 - 0.0007*$B42 - dis_BMI*($C42-21.75)))*AO42</f>
        <v>3.2259075300434864E-5</v>
      </c>
      <c r="BT42">
        <f>(0.93*0.943*(0.9442 - 0.0007*$B42 - dis_BMI*($C42-21.75))-0.19*0.5)*AP42</f>
        <v>7.8228608461989137E-5</v>
      </c>
      <c r="BU42">
        <f>(0.93*0.943*(0.9442 - 0.0007*$B42 - dis_BMI*($C42-21.75)))*AQ42</f>
        <v>1.8104377963989367E-4</v>
      </c>
      <c r="BV42">
        <f>0.962*(0.9442 - 0.0007*$B42 - dis_BMI*($C42-21.75))*AR42</f>
        <v>7.9639837093574986E-2</v>
      </c>
      <c r="BW42">
        <f>0.962*0.959*(0.9442 - 0.0007*$B42 - dis_BMI*($C42-21.75))*AS42</f>
        <v>3.4623342942554987E-2</v>
      </c>
      <c r="BX42">
        <f>0.962*(0.943*(0.9442 - 0.0007*$B42 - dis_BMI*($C42-21.75)) - 0.19*0.5)*AT42</f>
        <v>2.1675148583643685E-3</v>
      </c>
      <c r="BY42">
        <f>0.962*(0.943*(0.9442 - 0.0007*$B42 - dis_BMI*($C42-21.75)))*AU42</f>
        <v>7.3481928383433079E-3</v>
      </c>
      <c r="BZ42">
        <f>0.962*(0.955*(0.9442 - 0.0007*$B42 - dis_BMI*($C42-21.75)) - 0.15*0.5)*AV42</f>
        <v>1.0397134044978933E-3</v>
      </c>
      <c r="CA42">
        <f>0.962*(0.955*(0.9442 - 0.0007*$B42 - dis_BMI*($C42-21.75)))*AW42</f>
        <v>4.7970616150379546E-3</v>
      </c>
      <c r="CB42">
        <f>0.962*(0.955*0.943*(0.9442 - 0.0007*$B42 - dis_BMI*($C42-21.75)) - 0.19*0.5)*AX42</f>
        <v>9.5950479011750324E-5</v>
      </c>
      <c r="CC42">
        <f>0.962*(0.955*0.943*(0.9442 - 0.0007*$B42 - dis_BMI*($C42-21.75)) - 0.15*0.5)*AY42</f>
        <v>8.4176960835588395E-5</v>
      </c>
      <c r="CD42">
        <f>0.962*(0.955*0.943*(0.9442 - 0.0007*$B42 - dis_BMI*($C42-21.75)))*AZ42</f>
        <v>1.6135396968682588E-4</v>
      </c>
      <c r="CE42">
        <f>0.962*(0.93*(0.9442 - 0.0007*$B42 - dis_BMI*($C42-21.75)))*BA42</f>
        <v>9.7650703590453417E-4</v>
      </c>
      <c r="CF42">
        <f>0.962*(0.93*(0.9442 - 0.0007*$B42 - dis_BMI*($C42-21.75)))*BB42</f>
        <v>1.118551125483001E-2</v>
      </c>
      <c r="CG42">
        <f>0.962*(0.93*0.943*(0.9442 - 0.0007*$B42 - dis_BMI*($C42-21.75)))*BC42</f>
        <v>7.1335716646112401E-5</v>
      </c>
      <c r="CH42">
        <f>0.962*(0.93*0.943*(0.9442 - 0.0007*$B42 - dis_BMI*($C42-21.75))-0.19*0.5)*BD42</f>
        <v>1.7343200191451738E-4</v>
      </c>
      <c r="CI42">
        <f>0.962*(0.93*0.943*(0.9442 - 0.0007*$B42 - dis_BMI*($C42-21.75)))*BE42</f>
        <v>3.3399532251686572E-4</v>
      </c>
      <c r="CJ42">
        <f t="shared" si="18"/>
        <v>0</v>
      </c>
      <c r="CK42">
        <f t="shared" si="19"/>
        <v>0.29343063581608542</v>
      </c>
      <c r="CL42">
        <f>CK42/(1+r_)^A42</f>
        <v>9.2651763763089451E-2</v>
      </c>
      <c r="CM42">
        <f>AD42*c_SEM</f>
        <v>1640.4240291594458</v>
      </c>
      <c r="CN42">
        <f>AE42*(c_Other+c_SEM)</f>
        <v>959.52411859839469</v>
      </c>
      <c r="CO42">
        <f>AF42*(c_Stroke1+c_Stroke2+c_SEM)</f>
        <v>80.434298244022173</v>
      </c>
      <c r="CP42">
        <f>AG42*(c_Stroke2 + c_SEM)</f>
        <v>141.86221960785284</v>
      </c>
      <c r="CQ42">
        <f>AH42*(c_MI1+c_MI2 + c_SEM)</f>
        <v>40.516564683174039</v>
      </c>
      <c r="CR42">
        <f>AI42*(c_MI2+c_SEM)</f>
        <v>69.098482020856807</v>
      </c>
      <c r="CS42">
        <f>AJ42*(c_Stroke1+c_Stroke2+c_MI2+c_SEM)</f>
        <v>2.5090274487431339</v>
      </c>
      <c r="CT42">
        <f>AK42*(c_Stroke2+c_MI1+c_MI2+c_SEM)</f>
        <v>2.6732144692630442</v>
      </c>
      <c r="CU42">
        <f>AL42*(c_Stroke2+c_MI2+c_SEM)</f>
        <v>2.5407418665523638</v>
      </c>
      <c r="CV42">
        <f>AM42*(c_HF1+c_SEM)</f>
        <v>33.960151353386479</v>
      </c>
      <c r="CW42">
        <f>AN42*(c_HF2+c_SEM)</f>
        <v>301.48828398259792</v>
      </c>
      <c r="CX42">
        <f>AO42*(c_Stroke2+c_HF1+c_SEM)</f>
        <v>2.0428476514944016</v>
      </c>
      <c r="CY42">
        <f>AP42*(c_Stroke1+c_Stroke2+c_HF2+c_SEM)</f>
        <v>6.3880035323101092</v>
      </c>
      <c r="CZ42">
        <f>AQ42*(c_Stroke2+c_HF2+c_SEM)</f>
        <v>8.6866499699656963</v>
      </c>
      <c r="DA42">
        <f>AR42*(c_DM+c_SEM)</f>
        <v>2442.0641957966754</v>
      </c>
      <c r="DB42">
        <f>AS42*(c_Other+c_DM+c_SEM)</f>
        <v>1738.306479131395</v>
      </c>
      <c r="DC42">
        <f>AT42*(c_Stroke1+c_Stroke2+c_DM+c_SEM)</f>
        <v>156.02526894391661</v>
      </c>
      <c r="DD42">
        <f>AU42*(c_Stroke2+c_DM+c_SEM)</f>
        <v>300.96237677690522</v>
      </c>
      <c r="DE42">
        <f>AV42*(c_MI1+c_MI2+c_DM+c_SEM)</f>
        <v>79.608313733315583</v>
      </c>
      <c r="DF42">
        <f>AW42*(c_MI2+c_DM+c_SEM)</f>
        <v>173.19882260836292</v>
      </c>
      <c r="DG42">
        <f>AX42*(c_Stroke1+c_Stroke2+c_MI2+c_DM+c_SEM)</f>
        <v>7.7428182123690643</v>
      </c>
      <c r="DH42">
        <f>AY42*(c_Stroke2+c_MI1+c_MI2+c_DM+c_SEM)</f>
        <v>7.7020282684458756</v>
      </c>
      <c r="DI42">
        <f>AZ42*(c_Stroke2+c_MI2+c_DM+c_SEM)</f>
        <v>7.6038494285205447</v>
      </c>
      <c r="DJ42">
        <f>BA42*(c_HF1+c_DM+c_SEM)</f>
        <v>66.949199216340475</v>
      </c>
      <c r="DK42">
        <f>BB42*(c_HF2+c_DM+c_SEM)</f>
        <v>598.62166736830932</v>
      </c>
      <c r="DL42">
        <f>BC42*(c_Stroke2+c_HF1+c_DM+c_SEM)</f>
        <v>5.8337822589919881</v>
      </c>
      <c r="DM42">
        <f>BD42*(c_Stroke1+c_Stroke2+c_HF2+c_DM+c_SEM)</f>
        <v>17.892689705330252</v>
      </c>
      <c r="DN42">
        <f>BE42*(c_Stroke2+c_HF2+c_DM+c_SEM)</f>
        <v>21.986159692734756</v>
      </c>
      <c r="DO42">
        <f t="shared" si="20"/>
        <v>0</v>
      </c>
      <c r="DP42">
        <f t="shared" si="39"/>
        <v>8916.6462837296713</v>
      </c>
      <c r="DQ42">
        <f>DP42/(1+r_)^A42</f>
        <v>2815.4626824888032</v>
      </c>
    </row>
    <row r="43" spans="1:121" x14ac:dyDescent="0.3">
      <c r="A43">
        <v>40</v>
      </c>
      <c r="B43">
        <v>85</v>
      </c>
      <c r="C43">
        <f t="shared" si="40"/>
        <v>32.793999999999997</v>
      </c>
      <c r="D43">
        <f t="shared" si="1"/>
        <v>125</v>
      </c>
      <c r="E43">
        <f t="shared" si="41"/>
        <v>5.4</v>
      </c>
      <c r="F43">
        <v>7.3550000000000004E-2</v>
      </c>
      <c r="G43">
        <v>9.4969999999999999E-2</v>
      </c>
      <c r="H43">
        <f t="shared" si="3"/>
        <v>7.7834E-2</v>
      </c>
      <c r="I43">
        <f t="shared" si="21"/>
        <v>1.9177515277734612E-2</v>
      </c>
      <c r="J43">
        <f t="shared" si="22"/>
        <v>0.35868499388320607</v>
      </c>
      <c r="K43">
        <f t="shared" si="23"/>
        <v>0.46320908101873837</v>
      </c>
      <c r="L43">
        <f t="shared" si="24"/>
        <v>0.18965897833165324</v>
      </c>
      <c r="M43">
        <f t="shared" si="25"/>
        <v>0.25511354872895209</v>
      </c>
      <c r="N43">
        <f t="shared" si="26"/>
        <v>0.70260413991484283</v>
      </c>
      <c r="O43">
        <f t="shared" si="27"/>
        <v>0.81976958844718517</v>
      </c>
      <c r="P43">
        <f t="shared" si="28"/>
        <v>0.4492700812532191</v>
      </c>
      <c r="Q43">
        <f t="shared" si="29"/>
        <v>0.56952373470530837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2.9341100019518517E-2</v>
      </c>
      <c r="U43">
        <f t="shared" si="30"/>
        <v>0.61969862866525949</v>
      </c>
      <c r="V43">
        <f t="shared" si="31"/>
        <v>0.74179019601731899</v>
      </c>
      <c r="W43">
        <f t="shared" si="32"/>
        <v>0.36724872508851503</v>
      </c>
      <c r="X43">
        <f t="shared" si="33"/>
        <v>0.47322086021311771</v>
      </c>
      <c r="Y43">
        <f t="shared" si="34"/>
        <v>0.87300140914091962</v>
      </c>
      <c r="Z43">
        <f t="shared" si="35"/>
        <v>0.94584010958844722</v>
      </c>
      <c r="AA43">
        <f t="shared" si="36"/>
        <v>0.63761720578307168</v>
      </c>
      <c r="AB43">
        <f t="shared" si="37"/>
        <v>0.761708440739993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4.8560721031820325E-2</v>
      </c>
      <c r="AD43">
        <f t="shared" si="38"/>
        <v>0.10665687949231685</v>
      </c>
      <c r="AE43">
        <f t="shared" si="6"/>
        <v>3.0757221397633944E-2</v>
      </c>
      <c r="AF43">
        <f t="shared" si="7"/>
        <v>1.9151601487385681E-3</v>
      </c>
      <c r="AG43">
        <f t="shared" si="8"/>
        <v>5.9442704738995799E-3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8.6348081451106506E-4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3.6386573793237504E-3</v>
      </c>
      <c r="AJ43">
        <f t="shared" si="11"/>
        <v>5.4539366977645308E-5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4.7694141924538502E-5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8.5419504056905457E-5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7.5324480527069607E-4</v>
      </c>
      <c r="AN43">
        <f t="shared" si="15"/>
        <v>9.499161887670601E-3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3.7296862465694623E-5</v>
      </c>
      <c r="AP43">
        <f>AM42*T42*p_Stroke*p_Stroke_rec*(1-I42) + AN42*T42*p_Stroke*p_Stroke_rec*(1-I42) + AO42*(p_recur_Stroke*p_Stroke_rec)*(1-I42) + AP42*(p_recur_Stroke*p_Stroke_rec)*(1-I42) + AQ42*(p_recur_Stroke*p_Stroke_rec)*(1-I42)</f>
        <v>1.1024354959078634E-4</v>
      </c>
      <c r="AQ43">
        <f>AO42*(1-p_recur_Stroke-H42*rr_Stroke*rr_HF)*(1-I42) + AP42*(1-p_recur_Stroke-H42*rr_Stroke*rr_HF)*(1-I42) + AQ42*(1-p_recur_Stroke-H42*rr_Stroke*rr_HF)*(1-I42)</f>
        <v>1.9507373315917707E-4</v>
      </c>
      <c r="AR43">
        <f>AR42*(1-AC42-H42*rr_DM) + AD42*(1-T42-H42)*I42</f>
        <v>8.7261021014578319E-2</v>
      </c>
      <c r="AS43">
        <f>AR42*AC42*p_Other + AD42*T42*p_Other*I42 + AE42*(1-T42*p_Stroke-T42*p_MI-H42*rr_Other)*I42 + AS42*(1-AC42*p_Stroke-AC42*p_MI-H42*rr_Other*rr_DM)</f>
        <v>3.9778629448081852E-2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2.8693826756616002E-3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8.0412619127993648E-3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1.35168167223649E-3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5.4822513075613631E-3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1.3241045741025007E-4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1.1172260038569491E-4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1.6772387060035807E-4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1.1729454685318096E-3</v>
      </c>
      <c r="BB43">
        <f>AM42*(1-T42*p_Stroke - H42*rr_HF)*I42 + AN42*(1-T42*p_Stroke - H42*rr_HF)*I42 + BA42*(1-AC42*p_Stroke - H42*rr_HF*rr_DM) + BB42*(1-AC42*p_Stroke - H42*rr_HF*rr_DM)</f>
        <v>1.3721404323117746E-2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8.5888914631179118E-5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2.5639730409726062E-4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3.665602429393848E-4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0.63664237522982736</v>
      </c>
      <c r="BG43">
        <f t="shared" si="17"/>
        <v>0.95799999999999996</v>
      </c>
      <c r="BH43">
        <f>(0.9442 - 0.0007*$B43 - dis_BMI*($C43-21.75))*AD43</f>
        <v>9.0472209982379342E-2</v>
      </c>
      <c r="BI43">
        <f>0.959*(0.9442 - 0.0007*$B43 - dis_BMI*($C43-21.75))*AE43</f>
        <v>2.5020272297112268E-2</v>
      </c>
      <c r="BJ43">
        <f>(0.943*(0.9442 - 0.0007*$B43 - dis_BMI*($C43-21.75)) - 0.19*0.5)*AF43</f>
        <v>1.3500045788366769E-3</v>
      </c>
      <c r="BK43">
        <f>(0.943*(0.9442 - 0.0007*$B43 - dis_BMI*($C43-21.75)))*AG43</f>
        <v>4.7548473721505287E-3</v>
      </c>
      <c r="BL43">
        <f>(0.955*(0.9442 - 0.0007*$B43 - dis_BMI*($C43-21.75)) - 0.15*0.5)*AH43</f>
        <v>6.3473035597582945E-4</v>
      </c>
      <c r="BM43">
        <f>(0.955*(0.9442 - 0.0007*$B43 - dis_BMI*($C43-21.75)))*AI43</f>
        <v>2.9476157011262866E-3</v>
      </c>
      <c r="BN43">
        <f>(0.955*0.943*(0.9442 - 0.0007*$B43 - dis_BMI*($C43-21.75)) - 0.19*0.5)*AJ43</f>
        <v>3.6481850735200587E-5</v>
      </c>
      <c r="BO43">
        <f>(0.955*0.943*(0.9442 - 0.0007*$B43 - dis_BMI*($C43-21.75)) - 0.15*0.5)*AK43</f>
        <v>3.2856903776516481E-5</v>
      </c>
      <c r="BP43">
        <f>(0.955*0.943*(0.9442 - 0.0007*$B43 - dis_BMI*($C43-21.75)))*AL43</f>
        <v>6.5252692386846958E-5</v>
      </c>
      <c r="BQ43">
        <f>(0.93*(0.9442 - 0.0007*$B43 - dis_BMI*($C43-21.75)))*AM43</f>
        <v>5.9421747513071794E-4</v>
      </c>
      <c r="BR43">
        <f>(0.93*(0.9442 - 0.0007*$B43 - dis_BMI*($C43-21.75)))*AN43</f>
        <v>7.4936699904900933E-3</v>
      </c>
      <c r="BS43">
        <f>(0.93*0.943*(0.9442 - 0.0007*$B43 - dis_BMI*($C43-21.75)))*AO43</f>
        <v>2.774554539782896E-5</v>
      </c>
      <c r="BT43">
        <f>(0.93*0.943*(0.9442 - 0.0007*$B43 - dis_BMI*($C43-21.75))-0.19*0.5)*AP43</f>
        <v>7.15382494786378E-5</v>
      </c>
      <c r="BU43">
        <f>(0.93*0.943*(0.9442 - 0.0007*$B43 - dis_BMI*($C43-21.75)))*AQ43</f>
        <v>1.4511749143162456E-4</v>
      </c>
      <c r="BV43">
        <f>0.962*(0.9442 - 0.0007*$B43 - dis_BMI*($C43-21.75))*AR43</f>
        <v>7.1206835891233292E-2</v>
      </c>
      <c r="BW43">
        <f>0.962*0.959*(0.9442 - 0.0007*$B43 - dis_BMI*($C43-21.75))*AS43</f>
        <v>3.1129333390808402E-2</v>
      </c>
      <c r="BX43">
        <f>0.962*(0.943*(0.9442 - 0.0007*$B43 - dis_BMI*($C43-21.75)) - 0.19*0.5)*AT43</f>
        <v>1.9457797941912628E-3</v>
      </c>
      <c r="BY43">
        <f>0.962*(0.943*(0.9442 - 0.0007*$B43 - dis_BMI*($C43-21.75)))*AU43</f>
        <v>6.1878146796160317E-3</v>
      </c>
      <c r="BZ43">
        <f>0.962*(0.955*(0.9442 - 0.0007*$B43 - dis_BMI*($C43-21.75)) - 0.15*0.5)*AV43</f>
        <v>9.5584192066919119E-4</v>
      </c>
      <c r="CA43">
        <f>0.962*(0.955*(0.9442 - 0.0007*$B43 - dis_BMI*($C43-21.75)))*AW43</f>
        <v>4.272319361207073E-3</v>
      </c>
      <c r="CB43">
        <f>0.962*(0.955*0.943*(0.9442 - 0.0007*$B43 - dis_BMI*($C43-21.75)) - 0.19*0.5)*AX43</f>
        <v>8.5204812888465138E-5</v>
      </c>
      <c r="CC43">
        <f>0.962*(0.955*0.943*(0.9442 - 0.0007*$B43 - dis_BMI*($C43-21.75)) - 0.15*0.5)*AY43</f>
        <v>7.4041925407987536E-5</v>
      </c>
      <c r="CD43">
        <f>0.962*(0.955*0.943*(0.9442 - 0.0007*$B43 - dis_BMI*($C43-21.75)))*AZ43</f>
        <v>1.2325692771644132E-4</v>
      </c>
      <c r="CE43">
        <f>0.962*(0.93*(0.9442 - 0.0007*$B43 - dis_BMI*($C43-21.75)))*BA43</f>
        <v>8.9014789306712024E-4</v>
      </c>
      <c r="CF43">
        <f>0.962*(0.93*(0.9442 - 0.0007*$B43 - dis_BMI*($C43-21.75)))*BB43</f>
        <v>1.0413168792436575E-2</v>
      </c>
      <c r="CG43">
        <f>0.962*(0.93*0.943*(0.9442 - 0.0007*$B43 - dis_BMI*($C43-21.75)))*BC43</f>
        <v>6.1465745557970065E-5</v>
      </c>
      <c r="CH43">
        <f>0.962*(0.93*0.943*(0.9442 - 0.0007*$B43 - dis_BMI*($C43-21.75))-0.19*0.5)*BD43</f>
        <v>1.600566221608726E-4</v>
      </c>
      <c r="CI43">
        <f>0.962*(0.93*0.943*(0.9442 - 0.0007*$B43 - dis_BMI*($C43-21.75)))*BE43</f>
        <v>2.6232603731146496E-4</v>
      </c>
      <c r="CJ43">
        <f t="shared" si="18"/>
        <v>0</v>
      </c>
      <c r="CK43">
        <f t="shared" si="19"/>
        <v>0.2614141542806806</v>
      </c>
      <c r="CL43">
        <f>CK43/(1+r_)^A43</f>
        <v>8.0138297269841979E-2</v>
      </c>
      <c r="CM43">
        <f>AD43*c_SEM</f>
        <v>1452.453384926371</v>
      </c>
      <c r="CN43">
        <f>AE43*(c_Other+c_SEM)</f>
        <v>858.03420532979419</v>
      </c>
      <c r="CO43">
        <f>AF43*(c_Stroke1+c_Stroke2+c_SEM)</f>
        <v>71.692105007879562</v>
      </c>
      <c r="CP43">
        <f>AG43*(c_Stroke2 + c_SEM)</f>
        <v>119.58683339391175</v>
      </c>
      <c r="CQ43">
        <f>AH43*(c_MI1+c_MI2 + c_SEM)</f>
        <v>36.930210955823739</v>
      </c>
      <c r="CR43">
        <f>AI43*(c_MI2+c_SEM)</f>
        <v>60.892931242982961</v>
      </c>
      <c r="CS43">
        <f>AJ43*(c_Stroke1+c_Stroke2+c_MI2+c_SEM)</f>
        <v>2.211625870310495</v>
      </c>
      <c r="CT43">
        <f>AK43*(c_Stroke2+c_MI1+c_MI2+c_SEM)</f>
        <v>2.3498426784800874</v>
      </c>
      <c r="CU43">
        <f>AL43*(c_Stroke2+c_MI2+c_SEM)</f>
        <v>1.9847221767621983</v>
      </c>
      <c r="CV43">
        <f>AM43*(c_HF1+c_SEM)</f>
        <v>30.617894844643253</v>
      </c>
      <c r="CW43">
        <f>AN43*(c_HF2+c_SEM)</f>
        <v>277.59400784339795</v>
      </c>
      <c r="CX43">
        <f>AO43*(c_Stroke2+c_HF1+c_SEM)</f>
        <v>1.7584724715325701</v>
      </c>
      <c r="CY43">
        <f>AP43*(c_Stroke1+c_Stroke2+c_HF2+c_SEM)</f>
        <v>5.8472076267457167</v>
      </c>
      <c r="CZ43">
        <f>AQ43*(c_Stroke2+c_HF2+c_SEM)</f>
        <v>6.9686189696452825</v>
      </c>
      <c r="DA43">
        <f>AR43*(c_DM+c_SEM)</f>
        <v>2185.2777492680848</v>
      </c>
      <c r="DB43">
        <f>AS43*(c_Other+c_DM+c_SEM)</f>
        <v>1564.1752671574745</v>
      </c>
      <c r="DC43">
        <f>AT43*(c_Stroke1+c_Stroke2+c_DM+c_SEM)</f>
        <v>140.19516815015012</v>
      </c>
      <c r="DD43">
        <f>AU43*(c_Stroke2+c_DM+c_SEM)</f>
        <v>253.64552451543037</v>
      </c>
      <c r="DE43">
        <f>AV43*(c_MI1+c_MI2+c_DM+c_SEM)</f>
        <v>73.253036545184344</v>
      </c>
      <c r="DF43">
        <f>AW43*(c_MI2+c_DM+c_SEM)</f>
        <v>154.38019682092798</v>
      </c>
      <c r="DG43">
        <f>AX43*(c_Stroke1+c_Stroke2+c_MI2+c_DM+c_SEM)</f>
        <v>6.8821659343551573</v>
      </c>
      <c r="DH43">
        <f>AY43*(c_Stroke2+c_MI1+c_MI2+c_DM+c_SEM)</f>
        <v>6.7808915078093666</v>
      </c>
      <c r="DI43">
        <f>AZ43*(c_Stroke2+c_MI2+c_DM+c_SEM)</f>
        <v>5.8133093550084105</v>
      </c>
      <c r="DJ43">
        <f>BA43*(c_HF1+c_DM+c_SEM)</f>
        <v>61.078789382856918</v>
      </c>
      <c r="DK43">
        <f>BB43*(c_HF2+c_DM+c_SEM)</f>
        <v>557.74764292609018</v>
      </c>
      <c r="DL43">
        <f>BC43*(c_Stroke2+c_HF1+c_DM+c_SEM)</f>
        <v>5.0307713966920549</v>
      </c>
      <c r="DM43">
        <f>BD43*(c_Stroke1+c_Stroke2+c_HF2+c_DM+c_SEM)</f>
        <v>16.528395811325808</v>
      </c>
      <c r="DN43">
        <f>BE43*(c_Stroke2+c_HF2+c_DM+c_SEM)</f>
        <v>17.282582334106113</v>
      </c>
      <c r="DO43">
        <f t="shared" si="20"/>
        <v>0</v>
      </c>
      <c r="DP43">
        <f t="shared" si="39"/>
        <v>7976.9935544437758</v>
      </c>
      <c r="DQ43">
        <f>DP43/(1+r_)^A43</f>
        <v>2445.401942923304</v>
      </c>
    </row>
    <row r="44" spans="1:121" x14ac:dyDescent="0.3">
      <c r="A44">
        <v>41</v>
      </c>
      <c r="B44">
        <v>86</v>
      </c>
      <c r="C44">
        <f t="shared" si="40"/>
        <v>32.793999999999997</v>
      </c>
      <c r="D44">
        <f t="shared" si="1"/>
        <v>125</v>
      </c>
      <c r="E44">
        <f>E$4</f>
        <v>5.4</v>
      </c>
      <c r="F44">
        <v>8.1549999999999997E-2</v>
      </c>
      <c r="G44">
        <v>0.10492</v>
      </c>
      <c r="H44">
        <f t="shared" si="3"/>
        <v>8.6223999999999995E-2</v>
      </c>
      <c r="I44">
        <f t="shared" si="21"/>
        <v>1.9177515277734612E-2</v>
      </c>
      <c r="J44">
        <f t="shared" si="22"/>
        <v>0.36783193241585332</v>
      </c>
      <c r="K44">
        <f t="shared" si="23"/>
        <v>0.47390071909508169</v>
      </c>
      <c r="L44">
        <f t="shared" si="24"/>
        <v>0.19515108763088063</v>
      </c>
      <c r="M44">
        <f t="shared" si="25"/>
        <v>0.26217430549292786</v>
      </c>
      <c r="N44">
        <f t="shared" si="26"/>
        <v>0.71568105752149336</v>
      </c>
      <c r="O44">
        <f t="shared" si="27"/>
        <v>0.83086494099975527</v>
      </c>
      <c r="P44">
        <f t="shared" si="28"/>
        <v>0.4613179697162918</v>
      </c>
      <c r="Q44">
        <f t="shared" si="29"/>
        <v>0.58276975558021915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3.0093404040618978E-2</v>
      </c>
      <c r="U44">
        <f t="shared" si="30"/>
        <v>0.63140432400085067</v>
      </c>
      <c r="V44">
        <f t="shared" si="31"/>
        <v>0.75285186433395079</v>
      </c>
      <c r="W44">
        <f t="shared" si="32"/>
        <v>0.37654461194434263</v>
      </c>
      <c r="X44">
        <f t="shared" si="33"/>
        <v>0.48402732179029528</v>
      </c>
      <c r="Y44">
        <f t="shared" si="34"/>
        <v>0.88235672259144327</v>
      </c>
      <c r="Z44">
        <f t="shared" si="35"/>
        <v>0.9513904467446378</v>
      </c>
      <c r="AA44">
        <f t="shared" si="36"/>
        <v>0.65100341054424005</v>
      </c>
      <c r="AB44">
        <f t="shared" si="37"/>
        <v>0.77405049406365123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4.9562921476136564E-2</v>
      </c>
      <c r="AD44">
        <f t="shared" si="38"/>
        <v>9.339972127218428E-2</v>
      </c>
      <c r="AE44">
        <f t="shared" si="6"/>
        <v>2.6995947965402698E-2</v>
      </c>
      <c r="AF44">
        <f t="shared" si="7"/>
        <v>1.6878259459245219E-3</v>
      </c>
      <c r="AG44">
        <f t="shared" si="8"/>
        <v>4.8559032368070878E-3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7.805833531733166E-4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3.1624792177689042E-3</v>
      </c>
      <c r="AJ44">
        <f t="shared" si="11"/>
        <v>4.773541725982408E-5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4.1335786792613913E-5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6.2758784800127592E-5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6.7411714972593132E-4</v>
      </c>
      <c r="AN44">
        <f t="shared" si="15"/>
        <v>8.5634479381523233E-3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3.1715127083144616E-5</v>
      </c>
      <c r="AP44">
        <f>AM43*T43*p_Stroke*p_Stroke_rec*(1-I43) + AN43*T43*p_Stroke*p_Stroke_rec*(1-I43) + AO43*(p_recur_Stroke*p_Stroke_rec)*(1-I43) + AP43*(p_recur_Stroke*p_Stroke_rec)*(1-I43) + AQ43*(p_recur_Stroke*p_Stroke_rec)*(1-I43)</f>
        <v>9.953137014686282E-5</v>
      </c>
      <c r="AQ44">
        <f>AO43*(1-p_recur_Stroke-H43*rr_Stroke*rr_HF)*(1-I43) + AP43*(1-p_recur_Stroke-H43*rr_Stroke*rr_HF)*(1-I43) + AQ43*(1-p_recur_Stroke-H43*rr_Stroke*rr_HF)*(1-I43)</f>
        <v>1.4672030197315664E-4</v>
      </c>
      <c r="AR44">
        <f>AR43*(1-AC43-H43*rr_DM) + AD43*(1-T43-H43)*I43</f>
        <v>7.7039103952815366E-2</v>
      </c>
      <c r="AS44">
        <f>AR43*AC43*p_Other + AD43*T43*p_Other*I43 + AE43*(1-T43*p_Stroke-T43*p_MI-H43*rr_Other)*I43 + AS43*(1-AC43*p_Stroke-AC43*p_MI-H43*rr_Other*rr_DM)</f>
        <v>3.500276999707698E-2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2.5429257459521691E-3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6.5229856862446057E-3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1.2303325288599788E-3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4.7998455448359494E-3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1.1662407771197341E-4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9.6704981936658531E-5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1.1788214535584491E-4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1.0593413300311288E-3</v>
      </c>
      <c r="BB44">
        <f>AM43*(1-T43*p_Stroke - H43*rr_HF)*I43 + AN43*(1-T43*p_Stroke - H43*rr_HF)*I43 + BA43*(1-AC43*p_Stroke - H43*rr_HF*rr_DM) + BB43*(1-AC43*p_Stroke - H43*rr_HF*rr_DM)</f>
        <v>1.2469044662893376E-2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7.298635230419017E-5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2.3324886009592891E-4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2.6521456614970475E-4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0.67588116670054121</v>
      </c>
      <c r="BG44">
        <f t="shared" si="17"/>
        <v>0.95799999999999974</v>
      </c>
      <c r="BH44">
        <f>(0.9442 - 0.0007*$B44 - dis_BMI*($C44-21.75))*AD44</f>
        <v>7.9161382082901896E-2</v>
      </c>
      <c r="BI44">
        <f>0.959*(0.9442 - 0.0007*$B44 - dis_BMI*($C44-21.75))*AE44</f>
        <v>2.1942442922203573E-2</v>
      </c>
      <c r="BJ44">
        <f>(0.943*(0.9442 - 0.0007*$B44 - dis_BMI*($C44-21.75)) - 0.19*0.5)*AF44</f>
        <v>1.1886415931941659E-3</v>
      </c>
      <c r="BK44">
        <f>(0.943*(0.9442 - 0.0007*$B44 - dis_BMI*($C44-21.75)))*AG44</f>
        <v>3.881052383179975E-3</v>
      </c>
      <c r="BL44">
        <f>(0.955*(0.9442 - 0.0007*$B44 - dis_BMI*($C44-21.75)) - 0.15*0.5)*AH44</f>
        <v>5.7327199374394475E-4</v>
      </c>
      <c r="BM44">
        <f>(0.955*(0.9442 - 0.0007*$B44 - dis_BMI*($C44-21.75)))*AI44</f>
        <v>2.5597575910788675E-3</v>
      </c>
      <c r="BN44">
        <f>(0.955*0.943*(0.9442 - 0.0007*$B44 - dis_BMI*($C44-21.75)) - 0.19*0.5)*AJ44</f>
        <v>3.1900538171872927E-5</v>
      </c>
      <c r="BO44">
        <f>(0.955*0.943*(0.9442 - 0.0007*$B44 - dis_BMI*($C44-21.75)) - 0.15*0.5)*AK44</f>
        <v>2.8450520452271771E-5</v>
      </c>
      <c r="BP44">
        <f>(0.955*0.943*(0.9442 - 0.0007*$B44 - dis_BMI*($C44-21.75)))*AL44</f>
        <v>4.790241157231789E-5</v>
      </c>
      <c r="BQ44">
        <f>(0.93*(0.9442 - 0.0007*$B44 - dis_BMI*($C44-21.75)))*AM44</f>
        <v>5.3135664019165465E-4</v>
      </c>
      <c r="BR44">
        <f>(0.93*(0.9442 - 0.0007*$B44 - dis_BMI*($C44-21.75)))*AN44</f>
        <v>6.749932006213928E-3</v>
      </c>
      <c r="BS44">
        <f>(0.93*0.943*(0.9442 - 0.0007*$B44 - dis_BMI*($C44-21.75)))*AO44</f>
        <v>2.3573761481240008E-5</v>
      </c>
      <c r="BT44">
        <f>(0.93*0.943*(0.9442 - 0.0007*$B44 - dis_BMI*($C44-21.75))-0.19*0.5)*AP44</f>
        <v>6.4525897037911463E-5</v>
      </c>
      <c r="BU44">
        <f>(0.93*0.943*(0.9442 - 0.0007*$B44 - dis_BMI*($C44-21.75)))*AQ44</f>
        <v>1.0905677262787625E-4</v>
      </c>
      <c r="BV44">
        <f>0.962*(0.9442 - 0.0007*$B44 - dis_BMI*($C44-21.75))*AR44</f>
        <v>6.2813657573877149E-2</v>
      </c>
      <c r="BW44">
        <f>0.962*0.959*(0.9442 - 0.0007*$B44 - dis_BMI*($C44-21.75))*AS44</f>
        <v>2.7369312053095899E-2</v>
      </c>
      <c r="BX44">
        <f>0.962*(0.943*(0.9442 - 0.0007*$B44 - dis_BMI*($C44-21.75)) - 0.19*0.5)*AT44</f>
        <v>1.7227887029954722E-3</v>
      </c>
      <c r="BY44">
        <f>0.962*(0.943*(0.9442 - 0.0007*$B44 - dis_BMI*($C44-21.75)))*AU44</f>
        <v>5.0153469062176395E-3</v>
      </c>
      <c r="BZ44">
        <f>0.962*(0.955*(0.9442 - 0.0007*$B44 - dis_BMI*($C44-21.75)) - 0.15*0.5)*AV44</f>
        <v>8.6923863046949664E-4</v>
      </c>
      <c r="CA44">
        <f>0.962*(0.955*(0.9442 - 0.0007*$B44 - dis_BMI*($C44-21.75)))*AW44</f>
        <v>3.7374336698728665E-3</v>
      </c>
      <c r="CB44">
        <f>0.962*(0.955*0.943*(0.9442 - 0.0007*$B44 - dis_BMI*($C44-21.75)) - 0.19*0.5)*AX44</f>
        <v>7.4975708943801552E-5</v>
      </c>
      <c r="CC44">
        <f>0.962*(0.955*0.943*(0.9442 - 0.0007*$B44 - dis_BMI*($C44-21.75)) - 0.15*0.5)*AY44</f>
        <v>6.4030652450874437E-5</v>
      </c>
      <c r="CD44">
        <f>0.962*(0.955*0.943*(0.9442 - 0.0007*$B44 - dis_BMI*($C44-21.75)))*AZ44</f>
        <v>8.6557749285572964E-5</v>
      </c>
      <c r="CE44">
        <f>0.962*(0.93*(0.9442 - 0.0007*$B44 - dis_BMI*($C44-21.75)))*BA44</f>
        <v>8.0327032810821326E-4</v>
      </c>
      <c r="CF44">
        <f>0.962*(0.93*(0.9442 - 0.0007*$B44 - dis_BMI*($C44-21.75)))*BB44</f>
        <v>9.4549446090845951E-3</v>
      </c>
      <c r="CG44">
        <f>0.962*(0.93*0.943*(0.9442 - 0.0007*$B44 - dis_BMI*($C44-21.75)))*BC44</f>
        <v>5.2189022215251263E-5</v>
      </c>
      <c r="CH44">
        <f>0.962*(0.93*0.943*(0.9442 - 0.0007*$B44 - dis_BMI*($C44-21.75))-0.19*0.5)*BD44</f>
        <v>1.4546840273601519E-4</v>
      </c>
      <c r="CI44">
        <f>0.962*(0.93*0.943*(0.9442 - 0.0007*$B44 - dis_BMI*($C44-21.75)))*BE44</f>
        <v>1.8964215154783853E-4</v>
      </c>
      <c r="CJ44">
        <f t="shared" si="18"/>
        <v>0</v>
      </c>
      <c r="CK44">
        <f t="shared" si="19"/>
        <v>0.22929210327495217</v>
      </c>
      <c r="CL44">
        <f>CK44/(1+r_)^A44</f>
        <v>6.8243750285777463E-2</v>
      </c>
      <c r="CM44">
        <f>AD44*c_SEM</f>
        <v>1271.9174042846055</v>
      </c>
      <c r="CN44">
        <f>AE44*(c_Other+c_SEM)</f>
        <v>753.10596039083907</v>
      </c>
      <c r="CO44">
        <f>AF44*(c_Stroke1+c_Stroke2+c_SEM)</f>
        <v>63.182076459738553</v>
      </c>
      <c r="CP44">
        <f>AG44*(c_Stroke2 + c_SEM)</f>
        <v>97.691061318084991</v>
      </c>
      <c r="CQ44">
        <f>AH44*(c_MI1+c_MI2 + c_SEM)</f>
        <v>33.384769431869579</v>
      </c>
      <c r="CR44">
        <f>AI44*(c_MI2+c_SEM)</f>
        <v>52.924089709362612</v>
      </c>
      <c r="CS44">
        <f>AJ44*(c_Stroke1+c_Stroke2+c_MI2+c_SEM)</f>
        <v>1.9357189053031263</v>
      </c>
      <c r="CT44">
        <f>AK44*(c_Stroke2+c_MI1+c_MI2+c_SEM)</f>
        <v>2.0365728794852949</v>
      </c>
      <c r="CU44">
        <f>AL44*(c_Stroke2+c_MI2+c_SEM)</f>
        <v>1.4582003648309647</v>
      </c>
      <c r="CV44">
        <f>AM44*(c_HF1+c_SEM)</f>
        <v>27.401513902059655</v>
      </c>
      <c r="CW44">
        <f>AN44*(c_HF2+c_SEM)</f>
        <v>250.24963909662534</v>
      </c>
      <c r="CX44">
        <f>AO44*(c_Stroke2+c_HF1+c_SEM)</f>
        <v>1.4953048117161023</v>
      </c>
      <c r="CY44">
        <f>AP44*(c_Stroke1+c_Stroke2+c_HF2+c_SEM)</f>
        <v>5.279044341219457</v>
      </c>
      <c r="CZ44">
        <f>AQ44*(c_Stroke2+c_HF2+c_SEM)</f>
        <v>5.2412893473870747</v>
      </c>
      <c r="DA44">
        <f>AR44*(c_DM+c_SEM)</f>
        <v>1929.2902802903552</v>
      </c>
      <c r="DB44">
        <f>AS44*(c_Other+c_DM+c_SEM)</f>
        <v>1376.3789218250611</v>
      </c>
      <c r="DC44">
        <f>AT44*(c_Stroke1+c_Stroke2+c_DM+c_SEM)</f>
        <v>124.24480902147702</v>
      </c>
      <c r="DD44">
        <f>AU44*(c_Stroke2+c_DM+c_SEM)</f>
        <v>205.7545375012136</v>
      </c>
      <c r="DE44">
        <f>AV44*(c_MI1+c_MI2+c_DM+c_SEM)</f>
        <v>66.676641069037686</v>
      </c>
      <c r="DF44">
        <f>AW44*(c_MI2+c_DM+c_SEM)</f>
        <v>135.16365054258034</v>
      </c>
      <c r="DG44">
        <f>AX44*(c_Stroke1+c_Stroke2+c_MI2+c_DM+c_SEM)</f>
        <v>6.0616530631575305</v>
      </c>
      <c r="DH44">
        <f>AY44*(c_Stroke2+c_MI1+c_MI2+c_DM+c_SEM)</f>
        <v>5.8694121736635525</v>
      </c>
      <c r="DI44">
        <f>AZ44*(c_Stroke2+c_MI2+c_DM+c_SEM)</f>
        <v>4.0857951580335845</v>
      </c>
      <c r="DJ44">
        <f>BA44*(c_HF1+c_DM+c_SEM)</f>
        <v>55.163081078710974</v>
      </c>
      <c r="DK44">
        <f>BB44*(c_HF2+c_DM+c_SEM)</f>
        <v>506.84172745728995</v>
      </c>
      <c r="DL44">
        <f>BC44*(c_Stroke2+c_HF1+c_DM+c_SEM)</f>
        <v>4.2750296135133308</v>
      </c>
      <c r="DM44">
        <f>BD44*(c_Stroke1+c_Stroke2+c_HF2+c_DM+c_SEM)</f>
        <v>15.036154517223961</v>
      </c>
      <c r="DN44">
        <f>BE44*(c_Stroke2+c_HF2+c_DM+c_SEM)</f>
        <v>12.50433636482628</v>
      </c>
      <c r="DO44">
        <f t="shared" si="20"/>
        <v>0</v>
      </c>
      <c r="DP44">
        <f t="shared" si="39"/>
        <v>7014.6486749192727</v>
      </c>
      <c r="DQ44">
        <f>DP44/(1+r_)^A44</f>
        <v>2087.75586108876</v>
      </c>
    </row>
    <row r="45" spans="1:121" x14ac:dyDescent="0.3">
      <c r="A45">
        <v>42</v>
      </c>
      <c r="B45">
        <v>87</v>
      </c>
      <c r="C45">
        <f t="shared" si="40"/>
        <v>32.793999999999997</v>
      </c>
      <c r="D45">
        <f t="shared" si="1"/>
        <v>125</v>
      </c>
      <c r="E45">
        <f t="shared" ref="E45:E67" si="42">E$4</f>
        <v>5.4</v>
      </c>
      <c r="F45">
        <v>9.1389999999999999E-2</v>
      </c>
      <c r="G45">
        <v>0.11588</v>
      </c>
      <c r="H45">
        <f t="shared" ref="H45:H67" si="43">(PREV_FEMALE*F45 + (1-PREV_FEMALE)*G45)</f>
        <v>9.6287999999999985E-2</v>
      </c>
      <c r="I45">
        <f t="shared" ref="I45:I67" si="44">0.00000146 * EXP(1.87 * E45) * 0.0197 * EXP(0.101*C45)</f>
        <v>1.9177515277734612E-2</v>
      </c>
      <c r="J45">
        <f t="shared" si="22"/>
        <v>0.37702933782124448</v>
      </c>
      <c r="K45">
        <f t="shared" si="23"/>
        <v>0.48458905531068375</v>
      </c>
      <c r="L45">
        <f t="shared" si="24"/>
        <v>0.20071585754400878</v>
      </c>
      <c r="M45">
        <f t="shared" si="25"/>
        <v>0.26930882176316806</v>
      </c>
      <c r="N45">
        <f t="shared" si="26"/>
        <v>0.72848682828780997</v>
      </c>
      <c r="O45">
        <f t="shared" si="27"/>
        <v>0.84152789801672634</v>
      </c>
      <c r="P45">
        <f t="shared" si="28"/>
        <v>0.4733921103637706</v>
      </c>
      <c r="Q45">
        <f t="shared" si="29"/>
        <v>0.59592244557836582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3.0849125101938608E-2</v>
      </c>
      <c r="U45">
        <f t="shared" si="30"/>
        <v>0.6429754167283569</v>
      </c>
      <c r="V45">
        <f t="shared" si="31"/>
        <v>0.76364893118446309</v>
      </c>
      <c r="W45">
        <f t="shared" si="32"/>
        <v>0.38588768404898077</v>
      </c>
      <c r="X45">
        <f t="shared" si="33"/>
        <v>0.49482380480734633</v>
      </c>
      <c r="Y45">
        <f t="shared" si="34"/>
        <v>0.89123010274574432</v>
      </c>
      <c r="Z45">
        <f t="shared" si="35"/>
        <v>0.95648915750785624</v>
      </c>
      <c r="AA45">
        <f t="shared" si="36"/>
        <v>0.66420966220072675</v>
      </c>
      <c r="AB45">
        <f t="shared" si="37"/>
        <v>0.78603654096295816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5.0558620874394465E-2</v>
      </c>
      <c r="AD45">
        <f t="shared" ref="AD45:AD67" si="45">AD44*(1-T44-H44)*(1-I44)</f>
        <v>8.0952878351572097E-2</v>
      </c>
      <c r="AE45">
        <f t="shared" ref="AE45:AE67" si="46">AD44*T44*p_Other*(1-I44) + AE44*(1-T44*(1-p_Other)-H44*rr_Other)*(1-I44)</f>
        <v>2.3298098476355451E-2</v>
      </c>
      <c r="AF45">
        <f t="shared" ref="AF45:AF67" si="47">AD44*T44*p_Stroke*p_Stroke_rec*(1-I44)+AE44*T44*p_Stroke*p_Stroke_rec*(1-I44) + AF44*p_recur_Stroke*p_Stroke_rec*(1-I44) + AG44*p_recur_Stroke*p_Stroke_rec*(1-I44)</f>
        <v>1.4605221113873838E-3</v>
      </c>
      <c r="AG45">
        <f t="shared" ref="AG45:AG67" si="48">AF44*(1-p_recur_Stroke-T44*p_MI-H44*rr_Stroke)*(1-I44) + AG44*(1-p_recur_Stroke-T44*p_MI-H44*rr_Stroke)*(1-I44)</f>
        <v>3.8733951469968517E-3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6.965817574655736E-4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2.7178256764215369E-3</v>
      </c>
      <c r="AJ45">
        <f t="shared" ref="AJ45:AJ67" si="49">AH44*T44*p_Stroke*p_Stroke_rec*(1-I44) + AI44*T44*p_Stroke*p_Stroke_rec*(1-I44) + AJ44*p_recur_Stroke*p_Stroke_rec*(1-I44) + AK44*p_recur_Stroke*p_Stroke_rec*(1-I44) + AL44*p_recur_Stroke*p_Stroke_rec*(1-I44)</f>
        <v>4.1067551211226638E-5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3.4899664988277442E-5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4.4599208667316192E-5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5.9572057113210536E-4</v>
      </c>
      <c r="AN45">
        <f t="shared" ref="AN45:AN67" si="50">AM44*(1-T44*p_Stroke - H44*rr_HF)*(1-I44) + AN44*(1-T44*p_Stroke-H44*rr_HF)*(1-I44)</f>
        <v>7.5758706952790611E-3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2.6258722422539336E-5</v>
      </c>
      <c r="AP45">
        <f>AM44*T44*p_Stroke*p_Stroke_rec*(1-I44) + AN44*T44*p_Stroke*p_Stroke_rec*(1-I44) + AO44*(p_recur_Stroke*p_Stroke_rec)*(1-I44) + AP44*(p_recur_Stroke*p_Stroke_rec)*(1-I44) + AQ44*(p_recur_Stroke*p_Stroke_rec)*(1-I44)</f>
        <v>8.7793589084655585E-5</v>
      </c>
      <c r="AQ45">
        <f>AO44*(1-p_recur_Stroke-H44*rr_Stroke*rr_HF)*(1-I44) + AP44*(1-p_recur_Stroke-H44*rr_Stroke*rr_HF)*(1-I44) + AQ44*(1-p_recur_Stroke-H44*rr_Stroke*rr_HF)*(1-I44)</f>
        <v>1.0600537125784743E-4</v>
      </c>
      <c r="AR45">
        <f>AR44*(1-AC44-H44*rr_DM) + AD44*(1-T44-H44)*I44</f>
        <v>6.7164638043012689E-2</v>
      </c>
      <c r="AS45">
        <f>AR44*AC44*p_Other + AD44*T44*p_Other*I44 + AE44*(1-T44*p_Stroke-T44*p_MI-H44*rr_Other)*I44 + AS44*(1-AC44*p_Stroke-AC44*p_MI-H44*rr_Other*rr_DM)</f>
        <v>3.0183181302679281E-2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2.2044741986345477E-3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5.1411572011310358E-3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1.1014970083403311E-3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4.1405850111483856E-3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1.0061026772481323E-4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8.1136581920766501E-5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7.888087719648692E-5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9.4122627129168039E-4</v>
      </c>
      <c r="BB45">
        <f>AM44*(1-T44*p_Stroke - H44*rr_HF)*I44 + AN44*(1-T44*p_Stroke - H44*rr_HF)*I44 + BA44*(1-AC44*p_Stroke - H44*rr_HF*rr_DM) + BB44*(1-AC44*p_Stroke - H44*rr_HF*rr_DM)</f>
        <v>1.1080871659640047E-2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6.0080453717348869E-5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2.066837782307219E-4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1.8215867477814642E-4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0.71382130177631165</v>
      </c>
      <c r="BG45">
        <f t="shared" ref="BG45:BG67" si="51">SUM(AD45:BF45)</f>
        <v>0.95799999999999985</v>
      </c>
      <c r="BH45">
        <f>(0.9442 - 0.0007*$B45 - dis_BMI*($C45-21.75))*AD45</f>
        <v>6.8555333605844926E-2</v>
      </c>
      <c r="BI45">
        <f>0.959*(0.9442 - 0.0007*$B45 - dis_BMI*($C45-21.75))*AE45</f>
        <v>1.8921172158025759E-2</v>
      </c>
      <c r="BJ45">
        <f>(0.943*(0.9442 - 0.0007*$B45 - dis_BMI*($C45-21.75)) - 0.19*0.5)*AF45</f>
        <v>1.0276001008022704E-3</v>
      </c>
      <c r="BK45">
        <f>(0.943*(0.9442 - 0.0007*$B45 - dis_BMI*($C45-21.75)))*AG45</f>
        <v>3.0932316859967235E-3</v>
      </c>
      <c r="BL45">
        <f>(0.955*(0.9442 - 0.0007*$B45 - dis_BMI*($C45-21.75)) - 0.15*0.5)*AH45</f>
        <v>5.1111431087164181E-4</v>
      </c>
      <c r="BM45">
        <f>(0.955*(0.9442 - 0.0007*$B45 - dis_BMI*($C45-21.75)))*AI45</f>
        <v>2.1980315522569884E-3</v>
      </c>
      <c r="BN45">
        <f>(0.955*0.943*(0.9442 - 0.0007*$B45 - dis_BMI*($C45-21.75)) - 0.19*0.5)*AJ45</f>
        <v>2.7418659928529375E-5</v>
      </c>
      <c r="BO45">
        <f>(0.955*0.943*(0.9442 - 0.0007*$B45 - dis_BMI*($C45-21.75)) - 0.15*0.5)*AK45</f>
        <v>2.399867760430217E-5</v>
      </c>
      <c r="BP45">
        <f>(0.955*0.943*(0.9442 - 0.0007*$B45 - dis_BMI*($C45-21.75)))*AL45</f>
        <v>3.4013488057980397E-5</v>
      </c>
      <c r="BQ45">
        <f>(0.93*(0.9442 - 0.0007*$B45 - dis_BMI*($C45-21.75)))*AM45</f>
        <v>4.6917460736342739E-4</v>
      </c>
      <c r="BR45">
        <f>(0.93*(0.9442 - 0.0007*$B45 - dis_BMI*($C45-21.75)))*AN45</f>
        <v>5.9665660901030626E-3</v>
      </c>
      <c r="BS45">
        <f>(0.93*0.943*(0.9442 - 0.0007*$B45 - dis_BMI*($C45-21.75)))*AO45</f>
        <v>1.9501911761720223E-5</v>
      </c>
      <c r="BT45">
        <f>(0.93*0.943*(0.9442 - 0.0007*$B45 - dis_BMI*($C45-21.75))-0.19*0.5)*AP45</f>
        <v>5.6862431932257788E-5</v>
      </c>
      <c r="BU45">
        <f>(0.93*0.943*(0.9442 - 0.0007*$B45 - dis_BMI*($C45-21.75)))*AQ45</f>
        <v>7.8728407394430117E-5</v>
      </c>
      <c r="BV45">
        <f>0.962*(0.9442 - 0.0007*$B45 - dis_BMI*($C45-21.75))*AR45</f>
        <v>5.4717305664542366E-2</v>
      </c>
      <c r="BW45">
        <f>0.962*0.959*(0.9442 - 0.0007*$B45 - dis_BMI*($C45-21.75))*AS45</f>
        <v>2.3581294662896272E-2</v>
      </c>
      <c r="BX45">
        <f>0.962*(0.943*(0.9442 - 0.0007*$B45 - dis_BMI*($C45-21.75)) - 0.19*0.5)*AT45</f>
        <v>1.4920936911601496E-3</v>
      </c>
      <c r="BY45">
        <f>0.962*(0.943*(0.9442 - 0.0007*$B45 - dis_BMI*($C45-21.75)))*AU45</f>
        <v>3.9496317166389247E-3</v>
      </c>
      <c r="BZ45">
        <f>0.962*(0.955*(0.9442 - 0.0007*$B45 - dis_BMI*($C45-21.75)) - 0.15*0.5)*AV45</f>
        <v>7.7750705489398149E-4</v>
      </c>
      <c r="CA45">
        <f>0.962*(0.955*(0.9442 - 0.0007*$B45 - dis_BMI*($C45-21.75)))*AW45</f>
        <v>3.221432996343105E-3</v>
      </c>
      <c r="CB45">
        <f>0.962*(0.955*0.943*(0.9442 - 0.0007*$B45 - dis_BMI*($C45-21.75)) - 0.19*0.5)*AX45</f>
        <v>6.4619678714347568E-5</v>
      </c>
      <c r="CC45">
        <f>0.962*(0.955*0.943*(0.9442 - 0.0007*$B45 - dis_BMI*($C45-21.75)) - 0.15*0.5)*AY45</f>
        <v>5.3673242609816364E-5</v>
      </c>
      <c r="CD45">
        <f>0.962*(0.955*0.943*(0.9442 - 0.0007*$B45 - dis_BMI*($C45-21.75)))*AZ45</f>
        <v>5.7872310478576629E-5</v>
      </c>
      <c r="CE45">
        <f>0.962*(0.93*(0.9442 - 0.0007*$B45 - dis_BMI*($C45-21.75)))*BA45</f>
        <v>7.1311736935272037E-4</v>
      </c>
      <c r="CF45">
        <f>0.962*(0.93*(0.9442 - 0.0007*$B45 - dis_BMI*($C45-21.75)))*BB45</f>
        <v>8.3953904486893053E-3</v>
      </c>
      <c r="CG45">
        <f>0.962*(0.93*0.943*(0.9442 - 0.0007*$B45 - dis_BMI*($C45-21.75)))*BC45</f>
        <v>4.2925154849359863E-5</v>
      </c>
      <c r="CH45">
        <f>0.962*(0.93*0.943*(0.9442 - 0.0007*$B45 - dis_BMI*($C45-21.75))-0.19*0.5)*BD45</f>
        <v>1.287787158802779E-4</v>
      </c>
      <c r="CI45">
        <f>0.962*(0.93*0.943*(0.9442 - 0.0007*$B45 - dis_BMI*($C45-21.75)))*BE45</f>
        <v>1.3014531079927986E-4</v>
      </c>
      <c r="CJ45">
        <f t="shared" ref="CJ45:CJ67" si="52">0*BF45</f>
        <v>0</v>
      </c>
      <c r="CK45">
        <f t="shared" ref="CK45:CK67" si="53">SUM(BH45:CJ45)</f>
        <v>0.19830853570579252</v>
      </c>
      <c r="CL45">
        <f>CK45/(1+r_)^A45</f>
        <v>5.730308059614235E-2</v>
      </c>
      <c r="CM45">
        <f>AD45*c_SEM</f>
        <v>1102.4162973917089</v>
      </c>
      <c r="CN45">
        <f>AE45*(c_Other+c_SEM)</f>
        <v>649.94705319488799</v>
      </c>
      <c r="CO45">
        <f>AF45*(c_Stroke1+c_Stroke2+c_SEM)</f>
        <v>54.673184717675326</v>
      </c>
      <c r="CP45">
        <f>AG45*(c_Stroke2 + c_SEM)</f>
        <v>77.92496356728266</v>
      </c>
      <c r="CQ45">
        <f>AH45*(c_MI1+c_MI2 + c_SEM)</f>
        <v>29.792105185045116</v>
      </c>
      <c r="CR45">
        <f>AI45*(c_MI2+c_SEM)</f>
        <v>45.482812694914422</v>
      </c>
      <c r="CS45">
        <f>AJ45*(c_Stroke1+c_Stroke2+c_MI2+c_SEM)</f>
        <v>1.6653302691664513</v>
      </c>
      <c r="CT45">
        <f>AK45*(c_Stroke2+c_MI1+c_MI2+c_SEM)</f>
        <v>1.7194715943074412</v>
      </c>
      <c r="CU45">
        <f>AL45*(c_Stroke2+c_MI2+c_SEM)</f>
        <v>1.0362626133850916</v>
      </c>
      <c r="CV45">
        <f>AM45*(c_HF1+c_SEM)</f>
        <v>24.214849775377818</v>
      </c>
      <c r="CW45">
        <f>AN45*(c_HF2+c_SEM)</f>
        <v>221.38966932814</v>
      </c>
      <c r="CX45">
        <f>AO45*(c_Stroke2+c_HF1+c_SEM)</f>
        <v>1.2380462447778846</v>
      </c>
      <c r="CY45">
        <f>AP45*(c_Stroke1+c_Stroke2+c_HF2+c_SEM)</f>
        <v>4.6564841714610479</v>
      </c>
      <c r="CZ45">
        <f>AQ45*(c_Stroke2+c_HF2+c_SEM)</f>
        <v>3.7868298774440841</v>
      </c>
      <c r="DA45">
        <f>AR45*(c_DM+c_SEM)</f>
        <v>1682.0040305111668</v>
      </c>
      <c r="DB45">
        <f>AS45*(c_Other+c_DM+c_SEM)</f>
        <v>1186.8630551839547</v>
      </c>
      <c r="DC45">
        <f>AT45*(c_Stroke1+c_Stroke2+c_DM+c_SEM)</f>
        <v>107.70840487108536</v>
      </c>
      <c r="DD45">
        <f>AU45*(c_Stroke2+c_DM+c_SEM)</f>
        <v>162.16752159527627</v>
      </c>
      <c r="DE45">
        <f>AV45*(c_MI1+c_MI2+c_DM+c_SEM)</f>
        <v>59.694528869995906</v>
      </c>
      <c r="DF45">
        <f>AW45*(c_MI2+c_DM+c_SEM)</f>
        <v>116.59887391393853</v>
      </c>
      <c r="DG45">
        <f>AX45*(c_Stroke1+c_Stroke2+c_MI2+c_DM+c_SEM)</f>
        <v>5.229319275264892</v>
      </c>
      <c r="DH45">
        <f>AY45*(c_Stroke2+c_MI1+c_MI2+c_DM+c_SEM)</f>
        <v>4.9245037030990018</v>
      </c>
      <c r="DI45">
        <f>AZ45*(c_Stroke2+c_MI2+c_DM+c_SEM)</f>
        <v>2.7340112036302369</v>
      </c>
      <c r="DJ45">
        <f>BA45*(c_HF1+c_DM+c_SEM)</f>
        <v>49.012475624971671</v>
      </c>
      <c r="DK45">
        <f>BB45*(c_HF2+c_DM+c_SEM)</f>
        <v>450.41527122104861</v>
      </c>
      <c r="DL45">
        <f>BC45*(c_Stroke2+c_HF1+c_DM+c_SEM)</f>
        <v>3.5190924155862753</v>
      </c>
      <c r="DM45">
        <f>BD45*(c_Stroke1+c_Stroke2+c_HF2+c_DM+c_SEM)</f>
        <v>13.323663079865257</v>
      </c>
      <c r="DN45">
        <f>BE45*(c_Stroke2+c_HF2+c_DM+c_SEM)</f>
        <v>8.5884171984400481</v>
      </c>
      <c r="DO45">
        <f t="shared" ref="DO45:DO67" si="54">BF45*0</f>
        <v>0</v>
      </c>
      <c r="DP45">
        <f t="shared" ref="DP45:DP67" si="55">SUM(CM45:DO45)</f>
        <v>6072.7265292928987</v>
      </c>
      <c r="DQ45">
        <f>DP45/(1+r_)^A45</f>
        <v>1754.7703456530451</v>
      </c>
    </row>
    <row r="46" spans="1:121" x14ac:dyDescent="0.3">
      <c r="A46">
        <v>43</v>
      </c>
      <c r="B46">
        <v>88</v>
      </c>
      <c r="C46">
        <f t="shared" si="40"/>
        <v>32.793999999999997</v>
      </c>
      <c r="D46">
        <f t="shared" si="1"/>
        <v>125</v>
      </c>
      <c r="E46">
        <f t="shared" si="42"/>
        <v>5.4</v>
      </c>
      <c r="F46">
        <v>0.1036</v>
      </c>
      <c r="G46">
        <v>0.13149</v>
      </c>
      <c r="H46">
        <f t="shared" si="43"/>
        <v>0.109178</v>
      </c>
      <c r="I46">
        <f t="shared" si="44"/>
        <v>1.9177515277734612E-2</v>
      </c>
      <c r="J46">
        <f t="shared" si="22"/>
        <v>0.38627266577372632</v>
      </c>
      <c r="K46">
        <f t="shared" si="23"/>
        <v>0.49526727159354222</v>
      </c>
      <c r="L46">
        <f t="shared" si="24"/>
        <v>0.20635217442258114</v>
      </c>
      <c r="M46">
        <f t="shared" si="25"/>
        <v>0.27651481672603617</v>
      </c>
      <c r="N46">
        <f t="shared" si="26"/>
        <v>0.74100942995158392</v>
      </c>
      <c r="O46">
        <f t="shared" si="27"/>
        <v>0.85175613710580744</v>
      </c>
      <c r="P46">
        <f t="shared" si="28"/>
        <v>0.4854824471480873</v>
      </c>
      <c r="Q46">
        <f t="shared" si="29"/>
        <v>0.60896856367078578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3.160788855337477E-2</v>
      </c>
      <c r="U46">
        <f t="shared" si="30"/>
        <v>0.65440356962940593</v>
      </c>
      <c r="V46">
        <f t="shared" si="31"/>
        <v>0.77417594276228507</v>
      </c>
      <c r="W46">
        <f t="shared" si="32"/>
        <v>0.39527320109506281</v>
      </c>
      <c r="X46">
        <f t="shared" si="33"/>
        <v>0.5056033014184883</v>
      </c>
      <c r="Y46">
        <f t="shared" si="34"/>
        <v>0.89962790075843491</v>
      </c>
      <c r="Z46">
        <f t="shared" si="35"/>
        <v>0.96115901459475628</v>
      </c>
      <c r="AA46">
        <f t="shared" si="36"/>
        <v>0.67722243478611466</v>
      </c>
      <c r="AB46">
        <f t="shared" si="37"/>
        <v>0.7976580823432784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5.1547238045785281E-2</v>
      </c>
      <c r="AD46">
        <f t="shared" si="45"/>
        <v>6.9305664283956653E-2</v>
      </c>
      <c r="AE46">
        <f t="shared" si="46"/>
        <v>1.9700681674693833E-2</v>
      </c>
      <c r="AF46">
        <f t="shared" si="47"/>
        <v>1.245037374595618E-3</v>
      </c>
      <c r="AG46">
        <f t="shared" si="48"/>
        <v>2.9916098516908672E-3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6.1426103711813371E-4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2.2996069690002798E-3</v>
      </c>
      <c r="AJ46">
        <f t="shared" si="49"/>
        <v>3.4915980780777347E-5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2.8863178866497803E-5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2.9530137556275967E-5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5.2040187221664177E-4</v>
      </c>
      <c r="AN46">
        <f t="shared" si="50"/>
        <v>6.5534514866590508E-3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2.13243468701058E-5</v>
      </c>
      <c r="AP46">
        <f>AM45*T45*p_Stroke*p_Stroke_rec*(1-I45) + AN45*T45*p_Stroke*p_Stroke_rec*(1-I45) + AO45*(p_recur_Stroke*p_Stroke_rec)*(1-I45) + AP45*(p_recur_Stroke*p_Stroke_rec)*(1-I45) + AQ45*(p_recur_Stroke*p_Stroke_rec)*(1-I45)</f>
        <v>7.6146996272849306E-5</v>
      </c>
      <c r="AQ46">
        <f>AO45*(1-p_recur_Stroke-H45*rr_Stroke*rr_HF)*(1-I45) + AP45*(1-p_recur_Stroke-H45*rr_Stroke*rr_HF)*(1-I45) + AQ45*(1-p_recur_Stroke-H45*rr_Stroke*rr_HF)*(1-I45)</f>
        <v>7.1547069555842813E-5</v>
      </c>
      <c r="AR46">
        <f>AR45*(1-AC45-H45*rr_DM) + AD45*(1-T45-H45)*I45</f>
        <v>5.7686763449231244E-2</v>
      </c>
      <c r="AS46">
        <f>AR45*AC45*p_Other + AD45*T45*p_Other*I45 + AE45*(1-T45*p_Stroke-T45*p_MI-H45*rr_Other)*I45 + AS45*(1-AC45*p_Stroke-AC45*p_MI-H45*rr_Other*rr_DM)</f>
        <v>2.5399115070164163E-2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1.8767481265884853E-3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3.8950318207536918E-3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9.7125098841426959E-4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3.5011527352203538E-3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8.5536858932556606E-5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6.6427569715305361E-5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4.7044685008030197E-5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8.2383081602073124E-4</v>
      </c>
      <c r="BB46">
        <f>AM45*(1-T45*p_Stroke - H45*rr_HF)*I45 + AN45*(1-T45*p_Stroke - H45*rr_HF)*I45 + BA45*(1-AC45*p_Stroke - H45*rr_HF*rr_DM) + BB45*(1-AC45*p_Stroke - H45*rr_HF*rr_DM)</f>
        <v>9.5876126014800573E-3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4.8339775174462894E-5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1.7966481007874031E-4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1.1327439266401246E-4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0.75022516404072026</v>
      </c>
      <c r="BG46">
        <f t="shared" si="51"/>
        <v>0.95799999999999974</v>
      </c>
      <c r="BH46">
        <f>(0.9442 - 0.0007*$B46 - dis_BMI*($C46-21.75))*AD46</f>
        <v>5.8643320501058492E-2</v>
      </c>
      <c r="BI46">
        <f>0.959*(0.9442 - 0.0007*$B46 - dis_BMI*($C46-21.75))*AE46</f>
        <v>1.5986363481459345E-2</v>
      </c>
      <c r="BJ46">
        <f>(0.943*(0.9442 - 0.0007*$B46 - dis_BMI*($C46-21.75)) - 0.19*0.5)*AF46</f>
        <v>8.7516662211736818E-4</v>
      </c>
      <c r="BK46">
        <f>(0.943*(0.9442 - 0.0007*$B46 - dis_BMI*($C46-21.75)))*AG46</f>
        <v>2.3870772286985909E-3</v>
      </c>
      <c r="BL46">
        <f>(0.955*(0.9442 - 0.0007*$B46 - dis_BMI*($C46-21.75)) - 0.15*0.5)*AH46</f>
        <v>4.5030115060115515E-4</v>
      </c>
      <c r="BM46">
        <f>(0.955*(0.9442 - 0.0007*$B46 - dis_BMI*($C46-21.75)))*AI46</f>
        <v>1.8582614185610514E-3</v>
      </c>
      <c r="BN46">
        <f>(0.955*0.943*(0.9442 - 0.0007*$B46 - dis_BMI*($C46-21.75)) - 0.19*0.5)*AJ46</f>
        <v>2.3289566630227317E-5</v>
      </c>
      <c r="BO46">
        <f>(0.955*0.943*(0.9442 - 0.0007*$B46 - dis_BMI*($C46-21.75)) - 0.15*0.5)*AK46</f>
        <v>1.9829506027341522E-5</v>
      </c>
      <c r="BP46">
        <f>(0.955*0.943*(0.9442 - 0.0007*$B46 - dis_BMI*($C46-21.75)))*AL46</f>
        <v>2.2502478567328279E-5</v>
      </c>
      <c r="BQ46">
        <f>(0.93*(0.9442 - 0.0007*$B46 - dis_BMI*($C46-21.75)))*AM46</f>
        <v>4.0951670415774124E-4</v>
      </c>
      <c r="BR46">
        <f>(0.93*(0.9442 - 0.0007*$B46 - dis_BMI*($C46-21.75)))*AN46</f>
        <v>5.1570680217634338E-3</v>
      </c>
      <c r="BS46">
        <f>(0.93*0.943*(0.9442 - 0.0007*$B46 - dis_BMI*($C46-21.75)))*AO46</f>
        <v>1.5824143113316777E-5</v>
      </c>
      <c r="BT46">
        <f>(0.93*0.943*(0.9442 - 0.0007*$B46 - dis_BMI*($C46-21.75))-0.19*0.5)*AP46</f>
        <v>4.9272383427040876E-5</v>
      </c>
      <c r="BU46">
        <f>(0.93*0.943*(0.9442 - 0.0007*$B46 - dis_BMI*($C46-21.75)))*AQ46</f>
        <v>5.3092883682981911E-5</v>
      </c>
      <c r="BV46">
        <f>0.962*(0.9442 - 0.0007*$B46 - dis_BMI*($C46-21.75))*AR46</f>
        <v>4.695707838104838E-2</v>
      </c>
      <c r="BW46">
        <f>0.962*0.959*(0.9442 - 0.0007*$B46 - dis_BMI*($C46-21.75))*AS46</f>
        <v>1.9827231951434609E-2</v>
      </c>
      <c r="BX46">
        <f>0.962*(0.943*(0.9442 - 0.0007*$B46 - dis_BMI*($C46-21.75)) - 0.19*0.5)*AT46</f>
        <v>1.2690812281208011E-3</v>
      </c>
      <c r="BY46">
        <f>0.962*(0.943*(0.9442 - 0.0007*$B46 - dis_BMI*($C46-21.75)))*AU46</f>
        <v>2.9898375860327457E-3</v>
      </c>
      <c r="BZ46">
        <f>0.962*(0.955*(0.9442 - 0.0007*$B46 - dis_BMI*($C46-21.75)) - 0.15*0.5)*AV46</f>
        <v>6.8494647316452251E-4</v>
      </c>
      <c r="CA46">
        <f>0.962*(0.955*(0.9442 - 0.0007*$B46 - dis_BMI*($C46-21.75)))*AW46</f>
        <v>2.7216941698663976E-3</v>
      </c>
      <c r="CB46">
        <f>0.962*(0.955*0.943*(0.9442 - 0.0007*$B46 - dis_BMI*($C46-21.75)) - 0.19*0.5)*AX46</f>
        <v>5.4886499257041954E-5</v>
      </c>
      <c r="CC46">
        <f>0.962*(0.955*0.943*(0.9442 - 0.0007*$B46 - dis_BMI*($C46-21.75)) - 0.15*0.5)*AY46</f>
        <v>4.3902694015044348E-5</v>
      </c>
      <c r="CD46">
        <f>0.962*(0.955*0.943*(0.9442 - 0.0007*$B46 - dis_BMI*($C46-21.75)))*AZ46</f>
        <v>3.4486611433737667E-5</v>
      </c>
      <c r="CE46">
        <f>0.962*(0.93*(0.9442 - 0.0007*$B46 - dis_BMI*($C46-21.75)))*BA46</f>
        <v>6.2365710737486986E-4</v>
      </c>
      <c r="CF46">
        <f>0.962*(0.93*(0.9442 - 0.0007*$B46 - dis_BMI*($C46-21.75)))*BB46</f>
        <v>7.2580226733342237E-3</v>
      </c>
      <c r="CG46">
        <f>0.962*(0.93*0.943*(0.9442 - 0.0007*$B46 - dis_BMI*($C46-21.75)))*BC46</f>
        <v>3.4508347436500382E-5</v>
      </c>
      <c r="CH46">
        <f>0.962*(0.93*0.943*(0.9442 - 0.0007*$B46 - dis_BMI*($C46-21.75))-0.19*0.5)*BD46</f>
        <v>1.1183787040568915E-4</v>
      </c>
      <c r="CI46">
        <f>0.962*(0.93*0.943*(0.9442 - 0.0007*$B46 - dis_BMI*($C46-21.75)))*BE46</f>
        <v>8.0863265987495242E-5</v>
      </c>
      <c r="CJ46">
        <f t="shared" si="52"/>
        <v>0</v>
      </c>
      <c r="CK46">
        <f t="shared" si="53"/>
        <v>0.16864292094877747</v>
      </c>
      <c r="CL46">
        <f>CK46/(1+r_)^A46</f>
        <v>4.7311580170458008E-2</v>
      </c>
      <c r="CM46">
        <f>AD46*c_SEM</f>
        <v>943.80453621892173</v>
      </c>
      <c r="CN46">
        <f>AE46*(c_Other+c_SEM)</f>
        <v>549.58991667893383</v>
      </c>
      <c r="CO46">
        <f>AF46*(c_Stroke1+c_Stroke2+c_SEM)</f>
        <v>46.606729080612368</v>
      </c>
      <c r="CP46">
        <f>AG46*(c_Stroke2 + c_SEM)</f>
        <v>60.185206996316865</v>
      </c>
      <c r="CQ46">
        <f>AH46*(c_MI1+c_MI2 + c_SEM)</f>
        <v>26.271330296505461</v>
      </c>
      <c r="CR46">
        <f>AI46*(c_MI2+c_SEM)</f>
        <v>38.48392262621968</v>
      </c>
      <c r="CS46">
        <f>AJ46*(c_Stroke1+c_Stroke2+c_MI2+c_SEM)</f>
        <v>1.4158779366413021</v>
      </c>
      <c r="CT46">
        <f>AK46*(c_Stroke2+c_MI1+c_MI2+c_SEM)</f>
        <v>1.4220599595734802</v>
      </c>
      <c r="CU46">
        <f>AL46*(c_Stroke2+c_MI2+c_SEM)</f>
        <v>0.68613274612007213</v>
      </c>
      <c r="CV46">
        <f>AM46*(c_HF1+c_SEM)</f>
        <v>21.153295301862055</v>
      </c>
      <c r="CW46">
        <f>AN46*(c_HF2+c_SEM)</f>
        <v>191.51151279463744</v>
      </c>
      <c r="CX46">
        <f>AO46*(c_Stroke2+c_HF1+c_SEM)</f>
        <v>1.0054003062317483</v>
      </c>
      <c r="CY46">
        <f>AP46*(c_Stroke1+c_Stroke2+c_HF2+c_SEM)</f>
        <v>4.0387605353156539</v>
      </c>
      <c r="CZ46">
        <f>AQ46*(c_Stroke2+c_HF2+c_SEM)</f>
        <v>2.5558759657433727</v>
      </c>
      <c r="DA46">
        <f>AR46*(c_DM+c_SEM)</f>
        <v>1444.6496170590981</v>
      </c>
      <c r="DB46">
        <f>AS46*(c_Other+c_DM+c_SEM)</f>
        <v>998.7440027889952</v>
      </c>
      <c r="DC46">
        <f>AT46*(c_Stroke1+c_Stroke2+c_DM+c_SEM)</f>
        <v>91.696036716986796</v>
      </c>
      <c r="DD46">
        <f>AU46*(c_Stroke2+c_DM+c_SEM)</f>
        <v>122.8609887220337</v>
      </c>
      <c r="DE46">
        <f>AV46*(c_MI1+c_MI2+c_DM+c_SEM)</f>
        <v>52.635976066122929</v>
      </c>
      <c r="DF46">
        <f>AW46*(c_MI2+c_DM+c_SEM)</f>
        <v>98.592461023805157</v>
      </c>
      <c r="DG46">
        <f>AX46*(c_Stroke1+c_Stroke2+c_MI2+c_DM+c_SEM)</f>
        <v>4.4458637798785619</v>
      </c>
      <c r="DH46">
        <f>AY46*(c_Stroke2+c_MI1+c_MI2+c_DM+c_SEM)</f>
        <v>4.031754916300744</v>
      </c>
      <c r="DI46">
        <f>AZ46*(c_Stroke2+c_MI2+c_DM+c_SEM)</f>
        <v>1.6305687823783266</v>
      </c>
      <c r="DJ46">
        <f>BA46*(c_HF1+c_DM+c_SEM)</f>
        <v>42.899342082647536</v>
      </c>
      <c r="DK46">
        <f>BB46*(c_HF2+c_DM+c_SEM)</f>
        <v>389.71727702496139</v>
      </c>
      <c r="DL46">
        <f>BC46*(c_Stroke2+c_HF1+c_DM+c_SEM)</f>
        <v>2.8314056512938151</v>
      </c>
      <c r="DM46">
        <f>BD46*(c_Stroke1+c_Stroke2+c_HF2+c_DM+c_SEM)</f>
        <v>11.581912316915915</v>
      </c>
      <c r="DN46">
        <f>BE46*(c_Stroke2+c_HF2+c_DM+c_SEM)</f>
        <v>5.340661065322859</v>
      </c>
      <c r="DO46">
        <f t="shared" si="54"/>
        <v>0</v>
      </c>
      <c r="DP46">
        <f t="shared" si="55"/>
        <v>5160.3884254403765</v>
      </c>
      <c r="DQ46">
        <f>DP46/(1+r_)^A46</f>
        <v>1447.7105195247498</v>
      </c>
    </row>
    <row r="47" spans="1:121" x14ac:dyDescent="0.3">
      <c r="A47">
        <v>44</v>
      </c>
      <c r="B47">
        <v>89</v>
      </c>
      <c r="C47">
        <f t="shared" si="40"/>
        <v>32.793999999999997</v>
      </c>
      <c r="D47">
        <f t="shared" si="1"/>
        <v>125</v>
      </c>
      <c r="E47">
        <f t="shared" si="42"/>
        <v>5.4</v>
      </c>
      <c r="F47">
        <v>0.11525000000000001</v>
      </c>
      <c r="G47">
        <v>0.14443</v>
      </c>
      <c r="H47">
        <f t="shared" si="43"/>
        <v>0.121086</v>
      </c>
      <c r="I47">
        <f t="shared" si="44"/>
        <v>1.9177515277734612E-2</v>
      </c>
      <c r="J47">
        <f t="shared" si="22"/>
        <v>0.39555732725097525</v>
      </c>
      <c r="K47">
        <f t="shared" si="23"/>
        <v>0.50592858874202218</v>
      </c>
      <c r="L47">
        <f t="shared" si="24"/>
        <v>0.21205888058058731</v>
      </c>
      <c r="M47">
        <f t="shared" si="25"/>
        <v>0.28378995223411019</v>
      </c>
      <c r="N47">
        <f t="shared" si="26"/>
        <v>0.75323779542700542</v>
      </c>
      <c r="O47">
        <f t="shared" si="27"/>
        <v>0.86154888650858907</v>
      </c>
      <c r="P47">
        <f t="shared" si="28"/>
        <v>0.49757887484888075</v>
      </c>
      <c r="Q47">
        <f t="shared" si="29"/>
        <v>0.62189515479535351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3.2369321934739417E-2</v>
      </c>
      <c r="U47">
        <f t="shared" si="30"/>
        <v>0.66568079341687247</v>
      </c>
      <c r="V47">
        <f t="shared" si="31"/>
        <v>0.78442815578435221</v>
      </c>
      <c r="W47">
        <f t="shared" si="32"/>
        <v>0.40469638182517786</v>
      </c>
      <c r="X47">
        <f t="shared" si="33"/>
        <v>0.51635885545729621</v>
      </c>
      <c r="Y47">
        <f t="shared" si="34"/>
        <v>0.90755801481765375</v>
      </c>
      <c r="Z47">
        <f t="shared" si="35"/>
        <v>0.96542320578427843</v>
      </c>
      <c r="AA47">
        <f t="shared" si="36"/>
        <v>0.69002879746583623</v>
      </c>
      <c r="AB47">
        <f t="shared" si="37"/>
        <v>0.80890791452883226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5.2528215248633707E-2</v>
      </c>
      <c r="AD47">
        <f t="shared" si="45"/>
        <v>5.8406414313985813E-2</v>
      </c>
      <c r="AE47">
        <f t="shared" si="46"/>
        <v>1.6221457466870322E-2</v>
      </c>
      <c r="AF47">
        <f t="shared" si="47"/>
        <v>1.0426346017357155E-3</v>
      </c>
      <c r="AG47">
        <f t="shared" si="48"/>
        <v>2.2078428839888871E-3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5.3387974697016196E-4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1.9037880387458626E-3</v>
      </c>
      <c r="AJ47">
        <f t="shared" si="49"/>
        <v>2.9218666065836597E-5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2.3261512149200432E-5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1.7020050148656613E-5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4.4808648398893546E-4</v>
      </c>
      <c r="AN47">
        <f t="shared" si="50"/>
        <v>5.5091083343814743E-3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1.688306899243585E-5</v>
      </c>
      <c r="AP47">
        <f>AM46*T46*p_Stroke*p_Stroke_rec*(1-I46) + AN46*T46*p_Stroke*p_Stroke_rec*(1-I46) + AO46*(p_recur_Stroke*p_Stroke_rec)*(1-I46) + AP46*(p_recur_Stroke*p_Stroke_rec)*(1-I46) + AQ46*(p_recur_Stroke*p_Stroke_rec)*(1-I46)</f>
        <v>6.470602206244741E-5</v>
      </c>
      <c r="AQ47">
        <f>AO46*(1-p_recur_Stroke-H46*rr_Stroke*rr_HF)*(1-I46) + AP46*(1-p_recur_Stroke-H46*rr_Stroke*rr_HF)*(1-I46) + AQ46*(1-p_recur_Stroke-H46*rr_Stroke*rr_HF)*(1-I46)</f>
        <v>4.2779865196427257E-5</v>
      </c>
      <c r="AR47">
        <f>AR46*(1-AC46-H46*rr_DM) + AD46*(1-T46-H46)*I46</f>
        <v>4.8612316284755729E-2</v>
      </c>
      <c r="AS47">
        <f>AR46*AC46*p_Other + AD46*T46*p_Other*I46 + AE46*(1-T46*p_Stroke-T46*p_MI-H46*rr_Other)*I46 + AS46*(1-AC46*p_Stroke-AC46*p_MI-H46*rr_Other*rr_DM)</f>
        <v>2.0703538054670675E-2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1.5638411451840972E-3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2.7886509833271083E-3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8.4084646419115884E-4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2.8801864137243411E-3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7.1324180193261012E-5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5.2745757966630267E-5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2.1225116551987761E-5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7.0788676450056205E-4</v>
      </c>
      <c r="BB47">
        <f>AM46*(1-T46*p_Stroke - H46*rr_HF)*I46 + AN46*(1-T46*p_Stroke - H46*rr_HF)*I46 + BA46*(1-AC46*p_Stroke - H46*rr_HF*rr_DM) + BB46*(1-AC46*p_Stroke - H46*rr_HF*rr_DM)</f>
        <v>8.0166092095017138E-3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3.7744656009820572E-5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1.5250409439392755E-4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5.7067316153403439E-5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0.78502643250359316</v>
      </c>
      <c r="BG47">
        <f t="shared" si="51"/>
        <v>0.95799999999999974</v>
      </c>
      <c r="BH47">
        <f>(0.9442 - 0.0007*$B47 - dis_BMI*($C47-21.75))*AD47</f>
        <v>4.9379983332548019E-2</v>
      </c>
      <c r="BI47">
        <f>0.959*(0.9442 - 0.0007*$B47 - dis_BMI*($C47-21.75))*AE47</f>
        <v>1.315221420614854E-2</v>
      </c>
      <c r="BJ47">
        <f>(0.943*(0.9442 - 0.0007*$B47 - dis_BMI*($C47-21.75)) - 0.19*0.5)*AF47</f>
        <v>7.3220461708369369E-4</v>
      </c>
      <c r="BK47">
        <f>(0.943*(0.9442 - 0.0007*$B47 - dis_BMI*($C47-21.75)))*AG47</f>
        <v>1.7602333761711356E-3</v>
      </c>
      <c r="BL47">
        <f>(0.955*(0.9442 - 0.0007*$B47 - dis_BMI*($C47-21.75)) - 0.15*0.5)*AH47</f>
        <v>3.9101850991450486E-4</v>
      </c>
      <c r="BM47">
        <f>(0.955*(0.9442 - 0.0007*$B47 - dis_BMI*($C47-21.75)))*AI47</f>
        <v>1.5371362324409633E-3</v>
      </c>
      <c r="BN47">
        <f>(0.955*0.943*(0.9442 - 0.0007*$B47 - dis_BMI*($C47-21.75)) - 0.19*0.5)*AJ47</f>
        <v>1.9470939280941676E-5</v>
      </c>
      <c r="BO47">
        <f>(0.955*0.943*(0.9442 - 0.0007*$B47 - dis_BMI*($C47-21.75)) - 0.15*0.5)*AK47</f>
        <v>1.5966399585192326E-5</v>
      </c>
      <c r="BP47">
        <f>(0.955*0.943*(0.9442 - 0.0007*$B47 - dis_BMI*($C47-21.75)))*AL47</f>
        <v>1.2958844955928552E-5</v>
      </c>
      <c r="BQ47">
        <f>(0.93*(0.9442 - 0.0007*$B47 - dis_BMI*($C47-21.75)))*AM47</f>
        <v>3.5231828789431886E-4</v>
      </c>
      <c r="BR47">
        <f>(0.93*(0.9442 - 0.0007*$B47 - dis_BMI*($C47-21.75)))*AN47</f>
        <v>4.3316629390712253E-3</v>
      </c>
      <c r="BS47">
        <f>(0.93*0.943*(0.9442 - 0.0007*$B47 - dis_BMI*($C47-21.75)))*AO47</f>
        <v>1.2518042758307387E-5</v>
      </c>
      <c r="BT47">
        <f>(0.93*0.943*(0.9442 - 0.0007*$B47 - dis_BMI*($C47-21.75))-0.19*0.5)*AP47</f>
        <v>4.1829557701683102E-5</v>
      </c>
      <c r="BU47">
        <f>(0.93*0.943*(0.9442 - 0.0007*$B47 - dis_BMI*($C47-21.75)))*AQ47</f>
        <v>3.1719362277286938E-5</v>
      </c>
      <c r="BV47">
        <f>0.962*(0.9442 - 0.0007*$B47 - dis_BMI*($C47-21.75))*AR47</f>
        <v>3.9537734528666428E-2</v>
      </c>
      <c r="BW47">
        <f>0.962*0.959*(0.9442 - 0.0007*$B47 - dis_BMI*($C47-21.75))*AS47</f>
        <v>1.6148368165869193E-2</v>
      </c>
      <c r="BX47">
        <f>0.962*(0.943*(0.9442 - 0.0007*$B47 - dis_BMI*($C47-21.75)) - 0.19*0.5)*AT47</f>
        <v>1.056496437192549E-3</v>
      </c>
      <c r="BY47">
        <f>0.962*(0.943*(0.9442 - 0.0007*$B47 - dis_BMI*($C47-21.75)))*AU47</f>
        <v>2.1388056465640685E-3</v>
      </c>
      <c r="BZ47">
        <f>0.962*(0.955*(0.9442 - 0.0007*$B47 - dis_BMI*($C47-21.75)) - 0.15*0.5)*AV47</f>
        <v>5.9244173447879048E-4</v>
      </c>
      <c r="CA47">
        <f>0.962*(0.955*(0.9442 - 0.0007*$B47 - dis_BMI*($C47-21.75)))*AW47</f>
        <v>2.2371207971251801E-3</v>
      </c>
      <c r="CB47">
        <f>0.962*(0.955*0.943*(0.9442 - 0.0007*$B47 - dis_BMI*($C47-21.75)) - 0.19*0.5)*AX47</f>
        <v>4.5723385355342053E-5</v>
      </c>
      <c r="CC47">
        <f>0.962*(0.955*0.943*(0.9442 - 0.0007*$B47 - dis_BMI*($C47-21.75)) - 0.15*0.5)*AY47</f>
        <v>3.4828250575205346E-5</v>
      </c>
      <c r="CD47">
        <f>0.962*(0.955*0.943*(0.9442 - 0.0007*$B47 - dis_BMI*($C47-21.75)))*AZ47</f>
        <v>1.554642779921513E-5</v>
      </c>
      <c r="CE47">
        <f>0.962*(0.93*(0.9442 - 0.0007*$B47 - dis_BMI*($C47-21.75)))*BA47</f>
        <v>5.3544171996921836E-4</v>
      </c>
      <c r="CF47">
        <f>0.962*(0.93*(0.9442 - 0.0007*$B47 - dis_BMI*($C47-21.75)))*BB47</f>
        <v>6.0637198471779957E-3</v>
      </c>
      <c r="CG47">
        <f>0.962*(0.93*0.943*(0.9442 - 0.0007*$B47 - dis_BMI*($C47-21.75)))*BC47</f>
        <v>2.6922512000318147E-5</v>
      </c>
      <c r="CH47">
        <f>0.962*(0.93*0.943*(0.9442 - 0.0007*$B47 - dis_BMI*($C47-21.75))-0.19*0.5)*BD47</f>
        <v>9.4840786461201332E-5</v>
      </c>
      <c r="CI47">
        <f>0.962*(0.93*0.943*(0.9442 - 0.0007*$B47 - dis_BMI*($C47-21.75)))*BE47</f>
        <v>4.0704980953229713E-5</v>
      </c>
      <c r="CJ47">
        <f t="shared" si="52"/>
        <v>0</v>
      </c>
      <c r="CK47">
        <f t="shared" si="53"/>
        <v>0.14033992986801971</v>
      </c>
      <c r="CL47">
        <f>CK47/(1+r_)^A47</f>
        <v>3.8224636850917003E-2</v>
      </c>
      <c r="CM47">
        <f>AD47*c_SEM</f>
        <v>795.37855012785883</v>
      </c>
      <c r="CN47">
        <f>AE47*(c_Other+c_SEM)</f>
        <v>452.52999895328139</v>
      </c>
      <c r="CO47">
        <f>AF47*(c_Stroke1+c_Stroke2+c_SEM)</f>
        <v>39.029983681374773</v>
      </c>
      <c r="CP47">
        <f>AG47*(c_Stroke2 + c_SEM)</f>
        <v>44.417383140088432</v>
      </c>
      <c r="CQ47">
        <f>AH47*(c_MI1+c_MI2 + c_SEM)</f>
        <v>22.833502898166856</v>
      </c>
      <c r="CR47">
        <f>AI47*(c_MI2+c_SEM)</f>
        <v>31.859892828412011</v>
      </c>
      <c r="CS47">
        <f>AJ47*(c_Stroke1+c_Stroke2+c_MI2+c_SEM)</f>
        <v>1.1848461276357398</v>
      </c>
      <c r="CT47">
        <f>AK47*(c_Stroke2+c_MI1+c_MI2+c_SEM)</f>
        <v>1.1460714420789562</v>
      </c>
      <c r="CU47">
        <f>AL47*(c_Stroke2+c_MI2+c_SEM)</f>
        <v>0.39546086520403639</v>
      </c>
      <c r="CV47">
        <f>AM47*(c_HF1+c_SEM)</f>
        <v>18.213819401182249</v>
      </c>
      <c r="CW47">
        <f>AN47*(c_HF2+c_SEM)</f>
        <v>160.99267285562982</v>
      </c>
      <c r="CX47">
        <f>AO47*(c_Stroke2+c_HF1+c_SEM)</f>
        <v>0.79600293685536538</v>
      </c>
      <c r="CY47">
        <f>AP47*(c_Stroke1+c_Stroke2+c_HF2+c_SEM)</f>
        <v>3.4319427041701482</v>
      </c>
      <c r="CZ47">
        <f>AQ47*(c_Stroke2+c_HF2+c_SEM)</f>
        <v>1.5282251244119709</v>
      </c>
      <c r="DA47">
        <f>AR47*(c_DM+c_SEM)</f>
        <v>1217.3982367191377</v>
      </c>
      <c r="DB47">
        <f>AS47*(c_Other+c_DM+c_SEM)</f>
        <v>814.10452338576022</v>
      </c>
      <c r="DC47">
        <f>AT47*(c_Stroke1+c_Stroke2+c_DM+c_SEM)</f>
        <v>76.407714512549802</v>
      </c>
      <c r="DD47">
        <f>AU47*(c_Stroke2+c_DM+c_SEM)</f>
        <v>87.962417967086978</v>
      </c>
      <c r="DE47">
        <f>AV47*(c_MI1+c_MI2+c_DM+c_SEM)</f>
        <v>45.568833280375664</v>
      </c>
      <c r="DF47">
        <f>AW47*(c_MI2+c_DM+c_SEM)</f>
        <v>81.106049410477439</v>
      </c>
      <c r="DG47">
        <f>AX47*(c_Stroke1+c_Stroke2+c_MI2+c_DM+c_SEM)</f>
        <v>3.7071455897249344</v>
      </c>
      <c r="DH47">
        <f>AY47*(c_Stroke2+c_MI1+c_MI2+c_DM+c_SEM)</f>
        <v>3.2013510340266573</v>
      </c>
      <c r="DI47">
        <f>AZ47*(c_Stroke2+c_MI2+c_DM+c_SEM)</f>
        <v>0.73566253969189577</v>
      </c>
      <c r="DJ47">
        <f>BA47*(c_HF1+c_DM+c_SEM)</f>
        <v>36.861787487837766</v>
      </c>
      <c r="DK47">
        <f>BB47*(c_HF2+c_DM+c_SEM)</f>
        <v>325.85913114782568</v>
      </c>
      <c r="DL47">
        <f>BC47*(c_Stroke2+c_HF1+c_DM+c_SEM)</f>
        <v>2.2108177364632202</v>
      </c>
      <c r="DM47">
        <f>BD47*(c_Stroke1+c_Stroke2+c_HF2+c_DM+c_SEM)</f>
        <v>9.8310239410101445</v>
      </c>
      <c r="DN47">
        <f>BE47*(c_Stroke2+c_HF2+c_DM+c_SEM)</f>
        <v>2.6906098220006651</v>
      </c>
      <c r="DO47">
        <f t="shared" si="54"/>
        <v>0</v>
      </c>
      <c r="DP47">
        <f t="shared" si="55"/>
        <v>4281.3836576603189</v>
      </c>
      <c r="DQ47">
        <f>DP47/(1+r_)^A47</f>
        <v>1166.1280983068921</v>
      </c>
    </row>
    <row r="48" spans="1:121" x14ac:dyDescent="0.3">
      <c r="A48">
        <v>45</v>
      </c>
      <c r="B48">
        <v>90</v>
      </c>
      <c r="C48">
        <f t="shared" si="40"/>
        <v>32.793999999999997</v>
      </c>
      <c r="D48">
        <f t="shared" si="1"/>
        <v>125</v>
      </c>
      <c r="E48">
        <f t="shared" si="42"/>
        <v>5.4</v>
      </c>
      <c r="F48">
        <v>0.12912000000000001</v>
      </c>
      <c r="G48">
        <v>0.16005</v>
      </c>
      <c r="H48">
        <f t="shared" si="43"/>
        <v>0.13530600000000001</v>
      </c>
      <c r="I48">
        <f t="shared" si="44"/>
        <v>1.9177515277734612E-2</v>
      </c>
      <c r="J48">
        <f t="shared" si="22"/>
        <v>0.40487869427649636</v>
      </c>
      <c r="K48">
        <f t="shared" si="23"/>
        <v>0.51656627747538209</v>
      </c>
      <c r="L48">
        <f t="shared" si="24"/>
        <v>0.21783477488520198</v>
      </c>
      <c r="M48">
        <f t="shared" si="25"/>
        <v>0.29113183471239434</v>
      </c>
      <c r="N48">
        <f t="shared" si="26"/>
        <v>0.76516184156568789</v>
      </c>
      <c r="O48">
        <f t="shared" si="27"/>
        <v>0.87090688043058972</v>
      </c>
      <c r="P48">
        <f t="shared" si="28"/>
        <v>0.50967126164500298</v>
      </c>
      <c r="Q48">
        <f t="shared" si="29"/>
        <v>0.63468958700640632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3.3133055576707003E-2</v>
      </c>
      <c r="U48">
        <f t="shared" si="30"/>
        <v>0.67679946112068801</v>
      </c>
      <c r="V48">
        <f t="shared" si="31"/>
        <v>0.79440153529489332</v>
      </c>
      <c r="W48">
        <f t="shared" si="32"/>
        <v>0.41415241017716986</v>
      </c>
      <c r="X48">
        <f t="shared" si="33"/>
        <v>0.52708357398868189</v>
      </c>
      <c r="Y48">
        <f t="shared" si="34"/>
        <v>0.91502977783597017</v>
      </c>
      <c r="Z48">
        <f t="shared" si="35"/>
        <v>0.96930513096763093</v>
      </c>
      <c r="AA48">
        <f t="shared" si="36"/>
        <v>0.70261645326196764</v>
      </c>
      <c r="AB48">
        <f t="shared" si="37"/>
        <v>0.81978013242108982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5.3501018685373151E-2</v>
      </c>
      <c r="AD48">
        <f t="shared" si="45"/>
        <v>4.8495433056188919E-2</v>
      </c>
      <c r="AE48">
        <f t="shared" si="46"/>
        <v>1.3038098510213184E-2</v>
      </c>
      <c r="AF48">
        <f t="shared" si="47"/>
        <v>8.5332048314285523E-4</v>
      </c>
      <c r="AG48">
        <f t="shared" si="48"/>
        <v>1.5745579031150412E-3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4.5536928431150957E-4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1.5472575937974787E-3</v>
      </c>
      <c r="AJ48">
        <f t="shared" si="49"/>
        <v>2.3901919571225909E-5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1.8096102188951048E-5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8.6627998160002233E-6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3.7844988154923969E-4</v>
      </c>
      <c r="AN48">
        <f t="shared" si="50"/>
        <v>4.5118010582882164E-3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1.2891666066677149E-5</v>
      </c>
      <c r="AP48">
        <f>AM47*T47*p_Stroke*p_Stroke_rec*(1-I47) + AN47*T47*p_Stroke*p_Stroke_rec*(1-I47) + AO47*(p_recur_Stroke*p_Stroke_rec)*(1-I47) + AP47*(p_recur_Stroke*p_Stroke_rec)*(1-I47) + AQ47*(p_recur_Stroke*p_Stroke_rec)*(1-I47)</f>
        <v>5.3487424318872632E-5</v>
      </c>
      <c r="AQ48">
        <f>AO47*(1-p_recur_Stroke-H47*rr_Stroke*rr_HF)*(1-I47) + AP47*(1-p_recur_Stroke-H47*rr_Stroke*rr_HF)*(1-I47) + AQ47*(1-p_recur_Stroke-H47*rr_Stroke*rr_HF)*(1-I47)</f>
        <v>2.3203953551455801E-5</v>
      </c>
      <c r="AR48">
        <f>AR47*(1-AC47-H47*rr_DM) + AD47*(1-T47-H47)*I47</f>
        <v>4.0237792648301525E-2</v>
      </c>
      <c r="AS48">
        <f>AR47*AC47*p_Other + AD47*T47*p_Other*I47 + AE47*(1-T47*p_Stroke-T47*p_MI-H47*rr_Other)*I47 + AS47*(1-AC47*p_Stroke-AC47*p_MI-H47*rr_Other*rr_DM)</f>
        <v>1.6395921008909273E-2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1.2676433310382564E-3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1.9136516988771308E-3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7.109491134616074E-4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2.3142422385817188E-3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5.7867086020848478E-5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4.0167985382106291E-5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5.5828535832681759E-6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5.9365312031918927E-4</v>
      </c>
      <c r="BB48">
        <f>AM47*(1-T47*p_Stroke - H47*rr_HF)*I47 + AN47*(1-T47*p_Stroke - H47*rr_HF)*I47 + BA47*(1-AC47*p_Stroke - H47*rr_HF*rr_DM) + BB47*(1-AC47*p_Stroke - H47*rr_HF*rr_DM)</f>
        <v>6.4962328116663741E-3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2.8240998709803283E-5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1.2532201976018568E-4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2.1909530095603741E-5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0.81679629191917325</v>
      </c>
      <c r="BG48">
        <f t="shared" si="51"/>
        <v>0.95799999999999974</v>
      </c>
      <c r="BH48">
        <f>(0.9442 - 0.0007*$B48 - dis_BMI*($C48-21.75))*AD48</f>
        <v>4.096674985229426E-2</v>
      </c>
      <c r="BI48">
        <f>0.959*(0.9442 - 0.0007*$B48 - dis_BMI*($C48-21.75))*AE48</f>
        <v>1.0562422451101044E-2</v>
      </c>
      <c r="BJ48">
        <f>(0.943*(0.9442 - 0.0007*$B48 - dis_BMI*($C48-21.75)) - 0.19*0.5)*AF48</f>
        <v>5.9869287345249984E-4</v>
      </c>
      <c r="BK48">
        <f>(0.943*(0.9442 - 0.0007*$B48 - dis_BMI*($C48-21.75)))*AG48</f>
        <v>1.2542987717819071E-3</v>
      </c>
      <c r="BL48">
        <f>(0.955*(0.9442 - 0.0007*$B48 - dis_BMI*($C48-21.75)) - 0.15*0.5)*AH48</f>
        <v>3.3321229988008712E-4</v>
      </c>
      <c r="BM48">
        <f>(0.955*(0.9442 - 0.0007*$B48 - dis_BMI*($C48-21.75)))*AI48</f>
        <v>1.2482358816330111E-3</v>
      </c>
      <c r="BN48">
        <f>(0.955*0.943*(0.9442 - 0.0007*$B48 - dis_BMI*($C48-21.75)) - 0.19*0.5)*AJ48</f>
        <v>1.5912860861667022E-5</v>
      </c>
      <c r="BO48">
        <f>(0.955*0.943*(0.9442 - 0.0007*$B48 - dis_BMI*($C48-21.75)) - 0.15*0.5)*AK48</f>
        <v>1.240952162728464E-5</v>
      </c>
      <c r="BP48">
        <f>(0.955*0.943*(0.9442 - 0.0007*$B48 - dis_BMI*($C48-21.75)))*AL48</f>
        <v>6.5902821904799672E-6</v>
      </c>
      <c r="BQ48">
        <f>(0.93*(0.9442 - 0.0007*$B48 - dis_BMI*($C48-21.75)))*AM48</f>
        <v>2.9731853921828106E-4</v>
      </c>
      <c r="BR48">
        <f>(0.93*(0.9442 - 0.0007*$B48 - dis_BMI*($C48-21.75)))*AN48</f>
        <v>3.5445700085896675E-3</v>
      </c>
      <c r="BS48">
        <f>(0.93*0.943*(0.9442 - 0.0007*$B48 - dis_BMI*($C48-21.75)))*AO48</f>
        <v>9.5506813817065593E-6</v>
      </c>
      <c r="BT48">
        <f>(0.93*0.943*(0.9442 - 0.0007*$B48 - dis_BMI*($C48-21.75))-0.19*0.5)*AP48</f>
        <v>3.4544398997867623E-5</v>
      </c>
      <c r="BU48">
        <f>(0.93*0.943*(0.9442 - 0.0007*$B48 - dis_BMI*($C48-21.75)))*AQ48</f>
        <v>1.7190452034644894E-5</v>
      </c>
      <c r="BV48">
        <f>0.962*(0.9442 - 0.0007*$B48 - dis_BMI*($C48-21.75))*AR48</f>
        <v>3.2699407878777238E-2</v>
      </c>
      <c r="BW48">
        <f>0.962*0.959*(0.9442 - 0.0007*$B48 - dis_BMI*($C48-21.75))*AS48</f>
        <v>1.2777919998225354E-2</v>
      </c>
      <c r="BX48">
        <f>0.962*(0.943*(0.9442 - 0.0007*$B48 - dis_BMI*($C48-21.75)) - 0.19*0.5)*AT48</f>
        <v>8.5558678095369687E-4</v>
      </c>
      <c r="BY48">
        <f>0.962*(0.943*(0.9442 - 0.0007*$B48 - dis_BMI*($C48-21.75)))*AU48</f>
        <v>1.4664941275782857E-3</v>
      </c>
      <c r="BZ48">
        <f>0.962*(0.955*(0.9442 - 0.0007*$B48 - dis_BMI*($C48-21.75)) - 0.15*0.5)*AV48</f>
        <v>5.0046173832175086E-4</v>
      </c>
      <c r="CA48">
        <f>0.962*(0.955*(0.9442 - 0.0007*$B48 - dis_BMI*($C48-21.75)))*AW48</f>
        <v>1.7960479525134479E-3</v>
      </c>
      <c r="CB48">
        <f>0.962*(0.955*0.943*(0.9442 - 0.0007*$B48 - dis_BMI*($C48-21.75)) - 0.19*0.5)*AX48</f>
        <v>3.7061429812111497E-5</v>
      </c>
      <c r="CC48">
        <f>0.962*(0.955*0.943*(0.9442 - 0.0007*$B48 - dis_BMI*($C48-21.75)) - 0.15*0.5)*AY48</f>
        <v>2.6498733812974591E-5</v>
      </c>
      <c r="CD48">
        <f>0.962*(0.955*0.943*(0.9442 - 0.0007*$B48 - dis_BMI*($C48-21.75)))*AZ48</f>
        <v>4.0857994220188242E-6</v>
      </c>
      <c r="CE48">
        <f>0.962*(0.93*(0.9442 - 0.0007*$B48 - dis_BMI*($C48-21.75)))*BA48</f>
        <v>4.4866422696773398E-4</v>
      </c>
      <c r="CF48">
        <f>0.962*(0.93*(0.9442 - 0.0007*$B48 - dis_BMI*($C48-21.75)))*BB48</f>
        <v>4.9096470192586811E-3</v>
      </c>
      <c r="CG48">
        <f>0.962*(0.93*0.943*(0.9442 - 0.0007*$B48 - dis_BMI*($C48-21.75)))*BC48</f>
        <v>2.0127064226960138E-5</v>
      </c>
      <c r="CH48">
        <f>0.962*(0.93*0.943*(0.9442 - 0.0007*$B48 - dis_BMI*($C48-21.75))-0.19*0.5)*BD48</f>
        <v>7.7862512551386459E-5</v>
      </c>
      <c r="CI48">
        <f>0.962*(0.93*0.943*(0.9442 - 0.0007*$B48 - dis_BMI*($C48-21.75)))*BE48</f>
        <v>1.5614692807009593E-5</v>
      </c>
      <c r="CJ48">
        <f t="shared" si="52"/>
        <v>0</v>
      </c>
      <c r="CK48">
        <f t="shared" si="53"/>
        <v>0.11453717883027305</v>
      </c>
      <c r="CL48">
        <f>CK48/(1+r_)^A48</f>
        <v>3.0288053939750783E-2</v>
      </c>
      <c r="CM48">
        <f>AD48*c_SEM</f>
        <v>660.41080735918069</v>
      </c>
      <c r="CN48">
        <f>AE48*(c_Other+c_SEM)</f>
        <v>363.72383413941719</v>
      </c>
      <c r="CO48">
        <f>AF48*(c_Stroke1+c_Stroke2+c_SEM)</f>
        <v>31.943198965969643</v>
      </c>
      <c r="CP48">
        <f>AG48*(c_Stroke2 + c_SEM)</f>
        <v>31.676955894868399</v>
      </c>
      <c r="CQ48">
        <f>AH48*(c_MI1+c_MI2 + c_SEM)</f>
        <v>19.475688920718952</v>
      </c>
      <c r="CR48">
        <f>AI48*(c_MI2+c_SEM)</f>
        <v>25.893355832200804</v>
      </c>
      <c r="CS48">
        <f>AJ48*(c_Stroke1+c_Stroke2+c_MI2+c_SEM)</f>
        <v>0.96924674053278181</v>
      </c>
      <c r="CT48">
        <f>AK48*(c_Stroke2+c_MI1+c_MI2+c_SEM)</f>
        <v>0.8915768587474292</v>
      </c>
      <c r="CU48">
        <f>AL48*(c_Stroke2+c_MI2+c_SEM)</f>
        <v>0.20128015372476518</v>
      </c>
      <c r="CV48">
        <f>AM48*(c_HF1+c_SEM)</f>
        <v>15.383230785213495</v>
      </c>
      <c r="CW48">
        <f>AN48*(c_HF2+c_SEM)</f>
        <v>131.84836232635655</v>
      </c>
      <c r="CX48">
        <f>AO48*(c_Stroke2+c_HF1+c_SEM)</f>
        <v>0.60781627171169417</v>
      </c>
      <c r="CY48">
        <f>AP48*(c_Stroke1+c_Stroke2+c_HF2+c_SEM)</f>
        <v>2.8369194984486854</v>
      </c>
      <c r="CZ48">
        <f>AQ48*(c_Stroke2+c_HF2+c_SEM)</f>
        <v>0.82891483271865563</v>
      </c>
      <c r="DA48">
        <f>AR48*(c_DM+c_SEM)</f>
        <v>1007.6750412914151</v>
      </c>
      <c r="DB48">
        <f>AS48*(c_Other+c_DM+c_SEM)</f>
        <v>644.72040591233042</v>
      </c>
      <c r="DC48">
        <f>AT48*(c_Stroke1+c_Stroke2+c_DM+c_SEM)</f>
        <v>61.935785511198169</v>
      </c>
      <c r="DD48">
        <f>AU48*(c_Stroke2+c_DM+c_SEM)</f>
        <v>60.36231553768134</v>
      </c>
      <c r="DE48">
        <f>AV48*(c_MI1+c_MI2+c_DM+c_SEM)</f>
        <v>38.529176254938349</v>
      </c>
      <c r="DF48">
        <f>AW48*(c_MI2+c_DM+c_SEM)</f>
        <v>65.169061438461199</v>
      </c>
      <c r="DG48">
        <f>AX48*(c_Stroke1+c_Stroke2+c_MI2+c_DM+c_SEM)</f>
        <v>3.0076996630196207</v>
      </c>
      <c r="DH48">
        <f>AY48*(c_Stroke2+c_MI1+c_MI2+c_DM+c_SEM)</f>
        <v>2.4379557047815594</v>
      </c>
      <c r="DI48">
        <f>AZ48*(c_Stroke2+c_MI2+c_DM+c_SEM)</f>
        <v>0.19350170519607499</v>
      </c>
      <c r="DJ48">
        <f>BA48*(c_HF1+c_DM+c_SEM)</f>
        <v>30.913298934381142</v>
      </c>
      <c r="DK48">
        <f>BB48*(c_HF2+c_DM+c_SEM)</f>
        <v>264.05887132861477</v>
      </c>
      <c r="DL48">
        <f>BC48*(c_Stroke2+c_HF1+c_DM+c_SEM)</f>
        <v>1.6541600174293076</v>
      </c>
      <c r="DM48">
        <f>BD48*(c_Stroke1+c_Stroke2+c_HF2+c_DM+c_SEM)</f>
        <v>8.0787586818206094</v>
      </c>
      <c r="DN48">
        <f>BE48*(c_Stroke2+c_HF2+c_DM+c_SEM)</f>
        <v>1.0329905249475251</v>
      </c>
      <c r="DO48">
        <f t="shared" si="54"/>
        <v>0</v>
      </c>
      <c r="DP48">
        <f t="shared" si="55"/>
        <v>3476.4602110860242</v>
      </c>
      <c r="DQ48">
        <f>DP48/(1+r_)^A48</f>
        <v>919.31035379178184</v>
      </c>
    </row>
    <row r="49" spans="1:121" x14ac:dyDescent="0.3">
      <c r="A49">
        <v>46</v>
      </c>
      <c r="B49">
        <v>91</v>
      </c>
      <c r="C49">
        <f t="shared" si="40"/>
        <v>32.793999999999997</v>
      </c>
      <c r="D49">
        <f t="shared" si="1"/>
        <v>125</v>
      </c>
      <c r="E49">
        <f t="shared" si="42"/>
        <v>5.4</v>
      </c>
      <c r="F49">
        <v>0.14421999999999999</v>
      </c>
      <c r="G49">
        <v>0.17713000000000001</v>
      </c>
      <c r="H49">
        <f t="shared" si="43"/>
        <v>0.15080199999999999</v>
      </c>
      <c r="I49">
        <f t="shared" si="44"/>
        <v>1.9177515277734612E-2</v>
      </c>
      <c r="J49">
        <f t="shared" si="22"/>
        <v>0.41423210573999314</v>
      </c>
      <c r="K49">
        <f t="shared" si="23"/>
        <v>0.52717366936527976</v>
      </c>
      <c r="L49">
        <f t="shared" si="24"/>
        <v>0.22367861338699335</v>
      </c>
      <c r="M49">
        <f t="shared" si="25"/>
        <v>0.2985380171367108</v>
      </c>
      <c r="N49">
        <f t="shared" si="26"/>
        <v>0.77677249263026338</v>
      </c>
      <c r="O49">
        <f t="shared" si="27"/>
        <v>0.8798323056255416</v>
      </c>
      <c r="P49">
        <f t="shared" si="28"/>
        <v>0.52174947195548227</v>
      </c>
      <c r="Q49">
        <f t="shared" si="29"/>
        <v>0.64733958743649178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3.3898723179182889E-2</v>
      </c>
      <c r="U49">
        <f t="shared" si="30"/>
        <v>0.6877523212279153</v>
      </c>
      <c r="V49">
        <f t="shared" si="31"/>
        <v>0.80409274968975541</v>
      </c>
      <c r="W49">
        <f t="shared" si="32"/>
        <v>0.42363644150153024</v>
      </c>
      <c r="X49">
        <f t="shared" si="33"/>
        <v>0.53777063870451469</v>
      </c>
      <c r="Y49">
        <f t="shared" si="34"/>
        <v>0.9220538385956899</v>
      </c>
      <c r="Z49">
        <f t="shared" si="35"/>
        <v>0.97282821098507433</v>
      </c>
      <c r="AA49">
        <f t="shared" si="36"/>
        <v>0.71497377482038349</v>
      </c>
      <c r="AB49">
        <f t="shared" si="37"/>
        <v>0.83027012511028897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5.4465138911682864E-2</v>
      </c>
      <c r="AD49">
        <f t="shared" si="45"/>
        <v>3.9553538215991287E-2</v>
      </c>
      <c r="AE49">
        <f t="shared" si="46"/>
        <v>1.0176612460543457E-2</v>
      </c>
      <c r="AF49">
        <f t="shared" si="47"/>
        <v>6.8603292033756922E-4</v>
      </c>
      <c r="AG49">
        <f t="shared" si="48"/>
        <v>1.0696949355510493E-3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3.8173406402573594E-4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1.2266482888744264E-3</v>
      </c>
      <c r="AJ49">
        <f t="shared" si="49"/>
        <v>1.9256763203687457E-5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1.371811141257356E-5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2.8202492219114717E-6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3.1404681144666573E-4</v>
      </c>
      <c r="AN49">
        <f t="shared" si="50"/>
        <v>3.5787526440474718E-3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9.6138747436301365E-6</v>
      </c>
      <c r="AP49">
        <f>AM48*T48*p_Stroke*p_Stroke_rec*(1-I48) + AN48*T48*p_Stroke*p_Stroke_rec*(1-I48) + AO48*(p_recur_Stroke*p_Stroke_rec)*(1-I48) + AP48*(p_recur_Stroke*p_Stroke_rec)*(1-I48) + AQ48*(p_recur_Stroke*p_Stroke_rec)*(1-I48)</f>
        <v>4.3328122778840442E-5</v>
      </c>
      <c r="AQ49">
        <f>AO48*(1-p_recur_Stroke-H48*rr_Stroke*rr_HF)*(1-I48) + AP48*(1-p_recur_Stroke-H48*rr_Stroke*rr_HF)*(1-I48) + AQ48*(1-p_recur_Stroke-H48*rr_Stroke*rr_HF)*(1-I48)</f>
        <v>9.5962567785216406E-6</v>
      </c>
      <c r="AR49">
        <f>AR48*(1-AC48-H48*rr_DM) + AD48*(1-T48-H48)*I48</f>
        <v>3.2597322660514579E-2</v>
      </c>
      <c r="AS49">
        <f>AR48*AC48*p_Other + AD48*T48*p_Other*I48 + AE48*(1-T48*p_Stroke-T48*p_MI-H48*rr_Other)*I48 + AS48*(1-AC48*p_Stroke-AC48*p_MI-H48*rr_Other*rr_DM)</f>
        <v>1.2536830056671111E-2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1.0057684449796731E-3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1.2336115882603995E-3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5.8823818303639273E-4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1.8020213713841673E-3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4.6063569771429625E-5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2.9688186841028171E-5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-4.4640116144801041E-6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4.8687889575792822E-4</v>
      </c>
      <c r="BB49">
        <f>AM48*(1-T48*p_Stroke - H48*rr_HF)*I48 + AN48*(1-T48*p_Stroke - H48*rr_HF)*I48 + BA48*(1-AC48*p_Stroke - H48*rr_HF*rr_DM) + BB48*(1-AC48*p_Stroke - H48*rr_HF*rr_DM)</f>
        <v>5.0647932321711215E-3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2.0570277637750316E-5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1.0048263269346362E-4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-9.3570662248051214E-7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0.84540773689956084</v>
      </c>
      <c r="BG49">
        <f t="shared" si="51"/>
        <v>0.95799999999999974</v>
      </c>
      <c r="BH49">
        <f>(0.9442 - 0.0007*$B49 - dis_BMI*($C49-21.75))*AD49</f>
        <v>3.3385353788190887E-2</v>
      </c>
      <c r="BI49">
        <f>0.959*(0.9442 - 0.0007*$B49 - dis_BMI*($C49-21.75))*AE49</f>
        <v>8.237444232663994E-3</v>
      </c>
      <c r="BJ49">
        <f>(0.943*(0.9442 - 0.0007*$B49 - dis_BMI*($C49-21.75)) - 0.19*0.5)*AF49</f>
        <v>4.8087043731284419E-4</v>
      </c>
      <c r="BK49">
        <f>(0.943*(0.9442 - 0.0007*$B49 - dis_BMI*($C49-21.75)))*AG49</f>
        <v>8.5141691962896339E-4</v>
      </c>
      <c r="BL49">
        <f>(0.955*(0.9442 - 0.0007*$B49 - dis_BMI*($C49-21.75)) - 0.15*0.5)*AH49</f>
        <v>2.7907521315460025E-4</v>
      </c>
      <c r="BM49">
        <f>(0.955*(0.9442 - 0.0007*$B49 - dis_BMI*($C49-21.75)))*AI49</f>
        <v>9.8876724921011521E-4</v>
      </c>
      <c r="BN49">
        <f>(0.955*0.943*(0.9442 - 0.0007*$B49 - dis_BMI*($C49-21.75)) - 0.19*0.5)*AJ49</f>
        <v>1.2808177945061105E-5</v>
      </c>
      <c r="BO49">
        <f>(0.955*0.943*(0.9442 - 0.0007*$B49 - dis_BMI*($C49-21.75)) - 0.15*0.5)*AK49</f>
        <v>9.3986376936510943E-6</v>
      </c>
      <c r="BP49">
        <f>(0.955*0.943*(0.9442 - 0.0007*$B49 - dis_BMI*($C49-21.75)))*AL49</f>
        <v>2.1437453550200956E-6</v>
      </c>
      <c r="BQ49">
        <f>(0.93*(0.9442 - 0.0007*$B49 - dis_BMI*($C49-21.75)))*AM49</f>
        <v>2.4651762832241544E-4</v>
      </c>
      <c r="BR49">
        <f>(0.93*(0.9442 - 0.0007*$B49 - dis_BMI*($C49-21.75)))*AN49</f>
        <v>2.809216912915493E-3</v>
      </c>
      <c r="BS49">
        <f>(0.93*0.943*(0.9442 - 0.0007*$B49 - dis_BMI*($C49-21.75)))*AO49</f>
        <v>7.1164556113414944E-6</v>
      </c>
      <c r="BT49">
        <f>(0.93*0.943*(0.9442 - 0.0007*$B49 - dis_BMI*($C49-21.75))-0.19*0.5)*AP49</f>
        <v>2.7956501498583954E-5</v>
      </c>
      <c r="BU49">
        <f>(0.93*0.943*(0.9442 - 0.0007*$B49 - dis_BMI*($C49-21.75)))*AQ49</f>
        <v>7.1034143069766913E-6</v>
      </c>
      <c r="BV49">
        <f>0.962*(0.9442 - 0.0007*$B49 - dis_BMI*($C49-21.75))*AR49</f>
        <v>2.6468397445723373E-2</v>
      </c>
      <c r="BW49">
        <f>0.962*0.959*(0.9442 - 0.0007*$B49 - dis_BMI*($C49-21.75))*AS49</f>
        <v>9.7622980309454103E-3</v>
      </c>
      <c r="BX49">
        <f>0.962*(0.943*(0.9442 - 0.0007*$B49 - dis_BMI*($C49-21.75)) - 0.19*0.5)*AT49</f>
        <v>6.7819752423677905E-4</v>
      </c>
      <c r="BY49">
        <f>0.962*(0.943*(0.9442 - 0.0007*$B49 - dis_BMI*($C49-21.75)))*AU49</f>
        <v>9.4457369978285979E-4</v>
      </c>
      <c r="BZ49">
        <f>0.962*(0.955*(0.9442 - 0.0007*$B49 - dis_BMI*($C49-21.75)) - 0.15*0.5)*AV49</f>
        <v>4.1370296428636224E-4</v>
      </c>
      <c r="CA49">
        <f>0.962*(0.955*(0.9442 - 0.0007*$B49 - dis_BMI*($C49-21.75)))*AW49</f>
        <v>1.3973623089850351E-3</v>
      </c>
      <c r="CB49">
        <f>0.962*(0.955*0.943*(0.9442 - 0.0007*$B49 - dis_BMI*($C49-21.75)) - 0.19*0.5)*AX49</f>
        <v>2.947384029568743E-5</v>
      </c>
      <c r="CC49">
        <f>0.962*(0.955*0.943*(0.9442 - 0.0007*$B49 - dis_BMI*($C49-21.75)) - 0.15*0.5)*AY49</f>
        <v>1.9567229072217972E-5</v>
      </c>
      <c r="CD49">
        <f>0.962*(0.955*0.943*(0.9442 - 0.0007*$B49 - dis_BMI*($C49-21.75)))*AZ49</f>
        <v>-3.2642701693053273E-6</v>
      </c>
      <c r="CE49">
        <f>0.962*(0.93*(0.9442 - 0.0007*$B49 - dis_BMI*($C49-21.75)))*BA49</f>
        <v>3.6766273590049093E-4</v>
      </c>
      <c r="CF49">
        <f>0.962*(0.93*(0.9442 - 0.0007*$B49 - dis_BMI*($C49-21.75)))*BB49</f>
        <v>3.8246384321331556E-3</v>
      </c>
      <c r="CG49">
        <f>0.962*(0.93*0.943*(0.9442 - 0.0007*$B49 - dis_BMI*($C49-21.75)))*BC49</f>
        <v>1.464807350874736E-5</v>
      </c>
      <c r="CH49">
        <f>0.962*(0.93*0.943*(0.9442 - 0.0007*$B49 - dis_BMI*($C49-21.75))-0.19*0.5)*BD49</f>
        <v>6.2370471394622759E-5</v>
      </c>
      <c r="CI49">
        <f>0.962*(0.93*0.943*(0.9442 - 0.0007*$B49 - dis_BMI*($C49-21.75)))*BE49</f>
        <v>-6.6631572164892067E-7</v>
      </c>
      <c r="CJ49">
        <f t="shared" si="52"/>
        <v>0</v>
      </c>
      <c r="CK49">
        <f t="shared" si="53"/>
        <v>9.1324151484183713E-2</v>
      </c>
      <c r="CL49">
        <f>CK49/(1+r_)^A49</f>
        <v>2.3446245567905061E-2</v>
      </c>
      <c r="CM49">
        <f>AD49*c_SEM</f>
        <v>538.64008342536931</v>
      </c>
      <c r="CN49">
        <f>AE49*(c_Other+c_SEM)</f>
        <v>283.89695781178085</v>
      </c>
      <c r="CO49">
        <f>AF49*(c_Stroke1+c_Stroke2+c_SEM)</f>
        <v>25.680956339916566</v>
      </c>
      <c r="CP49">
        <f>AG49*(c_Stroke2 + c_SEM)</f>
        <v>21.520122713416011</v>
      </c>
      <c r="CQ49">
        <f>AH49*(c_MI1+c_MI2 + c_SEM)</f>
        <v>16.326384184316701</v>
      </c>
      <c r="CR49">
        <f>AI49*(c_MI2+c_SEM)</f>
        <v>20.527959114313525</v>
      </c>
      <c r="CS49">
        <f>AJ49*(c_Stroke1+c_Stroke2+c_MI2+c_SEM)</f>
        <v>0.78088100467273003</v>
      </c>
      <c r="CT49">
        <f>AK49*(c_Stroke2+c_MI1+c_MI2+c_SEM)</f>
        <v>0.67587763118608679</v>
      </c>
      <c r="CU49">
        <f>AL49*(c_Stroke2+c_MI2+c_SEM)</f>
        <v>6.5528490671113049E-2</v>
      </c>
      <c r="CV49">
        <f>AM49*(c_HF1+c_SEM)</f>
        <v>12.765374791684069</v>
      </c>
      <c r="CW49">
        <f>AN49*(c_HF2+c_SEM)</f>
        <v>104.58188851699927</v>
      </c>
      <c r="CX49">
        <f>AO49*(c_Stroke2+c_HF1+c_SEM)</f>
        <v>0.45327496641267367</v>
      </c>
      <c r="CY49">
        <f>AP49*(c_Stroke1+c_Stroke2+c_HF2+c_SEM)</f>
        <v>2.298080304066918</v>
      </c>
      <c r="CZ49">
        <f>AQ49*(c_Stroke2+c_HF2+c_SEM)</f>
        <v>0.34280708089912859</v>
      </c>
      <c r="DA49">
        <f>AR49*(c_DM+c_SEM)</f>
        <v>816.33475138726658</v>
      </c>
      <c r="DB49">
        <f>AS49*(c_Other+c_DM+c_SEM)</f>
        <v>492.97323148842145</v>
      </c>
      <c r="DC49">
        <f>AT49*(c_Stroke1+c_Stroke2+c_DM+c_SEM)</f>
        <v>49.140840453261845</v>
      </c>
      <c r="DD49">
        <f>AU49*(c_Stroke2+c_DM+c_SEM)</f>
        <v>38.911810328497779</v>
      </c>
      <c r="DE49">
        <f>AV49*(c_MI1+c_MI2+c_DM+c_SEM)</f>
        <v>31.878980091474268</v>
      </c>
      <c r="DF49">
        <f>AW49*(c_MI2+c_DM+c_SEM)</f>
        <v>50.744921818178156</v>
      </c>
      <c r="DG49">
        <f>AX49*(c_Stroke1+c_Stroke2+c_MI2+c_DM+c_SEM)</f>
        <v>2.3942001024398261</v>
      </c>
      <c r="DH49">
        <f>AY49*(c_Stroke2+c_MI1+c_MI2+c_DM+c_SEM)</f>
        <v>1.8018948121293639</v>
      </c>
      <c r="DI49">
        <f>AZ49*(c_Stroke2+c_MI2+c_DM+c_SEM)</f>
        <v>-0.1547226425578804</v>
      </c>
      <c r="DJ49">
        <f>BA49*(c_HF1+c_DM+c_SEM)</f>
        <v>25.353244738802598</v>
      </c>
      <c r="DK49">
        <f>BB49*(c_HF2+c_DM+c_SEM)</f>
        <v>205.87371530129175</v>
      </c>
      <c r="DL49">
        <f>BC49*(c_Stroke2+c_HF1+c_DM+c_SEM)</f>
        <v>1.2048628720759493</v>
      </c>
      <c r="DM49">
        <f>BD49*(c_Stroke1+c_Stroke2+c_HF2+c_DM+c_SEM)</f>
        <v>6.4775124339514392</v>
      </c>
      <c r="DN49">
        <f>BE49*(c_Stroke2+c_HF2+c_DM+c_SEM)</f>
        <v>-4.4116695836711184E-2</v>
      </c>
      <c r="DO49">
        <f t="shared" si="54"/>
        <v>0</v>
      </c>
      <c r="DP49">
        <f t="shared" si="55"/>
        <v>2751.4473028651005</v>
      </c>
      <c r="DQ49">
        <f>DP49/(1+r_)^A49</f>
        <v>706.39702731098214</v>
      </c>
    </row>
    <row r="50" spans="1:121" x14ac:dyDescent="0.3">
      <c r="A50">
        <v>47</v>
      </c>
      <c r="B50">
        <v>92</v>
      </c>
      <c r="C50">
        <f t="shared" si="40"/>
        <v>32.793999999999997</v>
      </c>
      <c r="D50">
        <f t="shared" si="1"/>
        <v>125</v>
      </c>
      <c r="E50">
        <f t="shared" si="42"/>
        <v>5.4</v>
      </c>
      <c r="F50">
        <v>0.15822</v>
      </c>
      <c r="G50">
        <v>0.19409999999999999</v>
      </c>
      <c r="H50">
        <f t="shared" si="43"/>
        <v>0.16539599999999999</v>
      </c>
      <c r="I50">
        <f t="shared" si="44"/>
        <v>1.9177515277734612E-2</v>
      </c>
      <c r="J50">
        <f t="shared" si="22"/>
        <v>0.42361287328493025</v>
      </c>
      <c r="K50">
        <f t="shared" si="23"/>
        <v>0.53774416762002275</v>
      </c>
      <c r="L50">
        <f t="shared" si="24"/>
        <v>0.22958910998947801</v>
      </c>
      <c r="M50">
        <f t="shared" si="25"/>
        <v>0.30600600108235565</v>
      </c>
      <c r="N50">
        <f t="shared" si="26"/>
        <v>0.78806169836279605</v>
      </c>
      <c r="O50">
        <f t="shared" si="27"/>
        <v>0.8883287398748545</v>
      </c>
      <c r="P50">
        <f t="shared" si="28"/>
        <v>0.53380338946950789</v>
      </c>
      <c r="Q50">
        <f t="shared" si="29"/>
        <v>0.65983327689134763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3.4665962365649672E-2</v>
      </c>
      <c r="U50">
        <f t="shared" si="30"/>
        <v>0.69853250953773394</v>
      </c>
      <c r="V50">
        <f t="shared" si="31"/>
        <v>0.81349916303783809</v>
      </c>
      <c r="W50">
        <f t="shared" si="32"/>
        <v>0.43314360883906822</v>
      </c>
      <c r="X50">
        <f t="shared" si="33"/>
        <v>0.54841331713273811</v>
      </c>
      <c r="Y50">
        <f t="shared" si="34"/>
        <v>0.92864203771215237</v>
      </c>
      <c r="Z50">
        <f t="shared" si="35"/>
        <v>0.97601570987485153</v>
      </c>
      <c r="AA50">
        <f t="shared" si="36"/>
        <v>0.72708983702123664</v>
      </c>
      <c r="AB50">
        <f t="shared" si="37"/>
        <v>0.84037456407161137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5.5420091152115408E-2</v>
      </c>
      <c r="AD50">
        <f t="shared" si="45"/>
        <v>3.1629535144694645E-2</v>
      </c>
      <c r="AE50">
        <f t="shared" si="46"/>
        <v>7.69257147923561E-3</v>
      </c>
      <c r="AF50">
        <f t="shared" si="47"/>
        <v>5.3998713599886041E-4</v>
      </c>
      <c r="AG50">
        <f t="shared" si="48"/>
        <v>6.8973911375001915E-4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3.1338810109643179E-4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9.4626404015810031E-4</v>
      </c>
      <c r="AJ50">
        <f t="shared" si="49"/>
        <v>1.5191625746594978E-5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1.0069600096132596E-5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-6.9782717285827774E-7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2.5501897399574162E-4</v>
      </c>
      <c r="AN50">
        <f t="shared" si="50"/>
        <v>2.7404495108217181E-3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6.9477310606362446E-6</v>
      </c>
      <c r="AP50">
        <f>AM49*T49*p_Stroke*p_Stroke_rec*(1-I49) + AN49*T49*p_Stroke*p_Stroke_rec*(1-I49) + AO49*(p_recur_Stroke*p_Stroke_rec)*(1-I49) + AP49*(p_recur_Stroke*p_Stroke_rec)*(1-I49) + AQ49*(p_recur_Stroke*p_Stroke_rec)*(1-I49)</f>
        <v>3.4159257980680204E-5</v>
      </c>
      <c r="AQ50">
        <f>AO49*(1-p_recur_Stroke-H49*rr_Stroke*rr_HF)*(1-I49) + AP49*(1-p_recur_Stroke-H49*rr_Stroke*rr_HF)*(1-I49) + AQ49*(1-p_recur_Stroke-H49*rr_Stroke*rr_HF)*(1-I49)</f>
        <v>1.2845184943760971E-6</v>
      </c>
      <c r="AR50">
        <f>AR49*(1-AC49-H49*rr_DM) + AD49*(1-T49-H49)*I49</f>
        <v>2.578723824253976E-2</v>
      </c>
      <c r="AS50">
        <f>AR49*AC49*p_Other + AD49*T49*p_Other*I49 + AE49*(1-T49*p_Stroke-T49*p_MI-H49*rr_Other)*I49 + AS49*(1-AC49*p_Stroke-AC49*p_MI-H49*rr_Other*rr_DM)</f>
        <v>9.2255343693108359E-3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7.7794878423266209E-4</v>
      </c>
      <c r="AU50">
        <f>AF49*(1-p_recur_Stroke-T49*p_MI-H49*rr_Stroke)*I49 + AG49*(1-p_recur_Stroke-T49*p_MI-H49*rr_Stroke)*I49 + AT49*(1-p_recur_Stroke-AC49*p_MI-H49*rr_Stroke*rr_DM) + AU49*(1-p_recur_Stroke-AC49*p_MI-H49*rr_Stroke*rr_DM)</f>
        <v>7.4174564547500844E-4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4.74218247529139E-4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1.3555312216088494E-3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3.5714520286703061E-5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2.1136135429092822E-5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-9.4052801523580505E-6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3.8861241146054959E-4</v>
      </c>
      <c r="BB50">
        <f>AM49*(1-T49*p_Stroke - H49*rr_HF)*I49 + AN49*(1-T49*p_Stroke - H49*rr_HF)*I49 + BA49*(1-AC49*p_Stroke - H49*rr_HF*rr_DM) + BB49*(1-AC49*p_Stroke - H49*rr_HF*rr_DM)</f>
        <v>3.7834426010825576E-3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1.4445795870734931E-5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7.7910878425696458E-5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-1.2937629703368533E-5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0.87046495565064719</v>
      </c>
      <c r="BG50">
        <f t="shared" si="51"/>
        <v>0.95799999999999974</v>
      </c>
      <c r="BH50">
        <f>(0.9442 - 0.0007*$B50 - dis_BMI*($C50-21.75))*AD50</f>
        <v>2.6674920286046927E-2</v>
      </c>
      <c r="BI50">
        <f>0.959*(0.9442 - 0.0007*$B50 - dis_BMI*($C50-21.75))*AE50</f>
        <v>6.2215768310208376E-3</v>
      </c>
      <c r="BJ50">
        <f>(0.943*(0.9442 - 0.0007*$B50 - dis_BMI*($C50-21.75)) - 0.19*0.5)*AF50</f>
        <v>3.7814412280727516E-4</v>
      </c>
      <c r="BK50">
        <f>(0.943*(0.9442 - 0.0007*$B50 - dis_BMI*($C50-21.75)))*AG50</f>
        <v>5.4853818916608167E-4</v>
      </c>
      <c r="BL50">
        <f>(0.955*(0.9442 - 0.0007*$B50 - dis_BMI*($C50-21.75)) - 0.15*0.5)*AH50</f>
        <v>2.288998705708134E-4</v>
      </c>
      <c r="BM50">
        <f>(0.955*(0.9442 - 0.0007*$B50 - dis_BMI*($C50-21.75)))*AI50</f>
        <v>7.6212468591966404E-4</v>
      </c>
      <c r="BN50">
        <f>(0.955*0.943*(0.9442 - 0.0007*$B50 - dis_BMI*($C50-21.75)) - 0.19*0.5)*AJ50</f>
        <v>1.0094771738677146E-5</v>
      </c>
      <c r="BO50">
        <f>(0.955*0.943*(0.9442 - 0.0007*$B50 - dis_BMI*($C50-21.75)) - 0.15*0.5)*AK50</f>
        <v>6.892599129178516E-6</v>
      </c>
      <c r="BP50">
        <f>(0.955*0.943*(0.9442 - 0.0007*$B50 - dis_BMI*($C50-21.75)))*AL50</f>
        <v>-5.2999681770153969E-7</v>
      </c>
      <c r="BQ50">
        <f>(0.93*(0.9442 - 0.0007*$B50 - dis_BMI*($C50-21.75)))*AM50</f>
        <v>2.0001647250365704E-4</v>
      </c>
      <c r="BR50">
        <f>(0.93*(0.9442 - 0.0007*$B50 - dis_BMI*($C50-21.75)))*AN50</f>
        <v>2.1493892616715081E-3</v>
      </c>
      <c r="BS50">
        <f>(0.93*0.943*(0.9442 - 0.0007*$B50 - dis_BMI*($C50-21.75)))*AO50</f>
        <v>5.1386372573643878E-6</v>
      </c>
      <c r="BT50">
        <f>(0.93*0.943*(0.9442 - 0.0007*$B50 - dis_BMI*($C50-21.75))-0.19*0.5)*AP50</f>
        <v>2.201952656609779E-5</v>
      </c>
      <c r="BU50">
        <f>(0.93*0.943*(0.9442 - 0.0007*$B50 - dis_BMI*($C50-21.75)))*AQ50</f>
        <v>9.5004750980821044E-7</v>
      </c>
      <c r="BV50">
        <f>0.962*(0.9442 - 0.0007*$B50 - dis_BMI*($C50-21.75))*AR50</f>
        <v>2.0921375086867072E-2</v>
      </c>
      <c r="BW50">
        <f>0.962*0.959*(0.9442 - 0.0007*$B50 - dis_BMI*($C50-21.75))*AS50</f>
        <v>7.1778690573459022E-3</v>
      </c>
      <c r="BX50">
        <f>0.962*(0.943*(0.9442 - 0.0007*$B50 - dis_BMI*($C50-21.75)) - 0.19*0.5)*AT50</f>
        <v>5.2408293611709827E-4</v>
      </c>
      <c r="BY50">
        <f>0.962*(0.943*(0.9442 - 0.0007*$B50 - dis_BMI*($C50-21.75)))*AU50</f>
        <v>5.6748200078341653E-4</v>
      </c>
      <c r="BZ50">
        <f>0.962*(0.955*(0.9442 - 0.0007*$B50 - dis_BMI*($C50-21.75)) - 0.15*0.5)*AV50</f>
        <v>3.3320873475441853E-4</v>
      </c>
      <c r="CA50">
        <f>0.962*(0.955*(0.9442 - 0.0007*$B50 - dis_BMI*($C50-21.75)))*AW50</f>
        <v>1.0502635413568331E-3</v>
      </c>
      <c r="CB50">
        <f>0.962*(0.955*0.943*(0.9442 - 0.0007*$B50 - dis_BMI*($C50-21.75)) - 0.19*0.5)*AX50</f>
        <v>2.2830327609040512E-5</v>
      </c>
      <c r="CC50">
        <f>0.962*(0.955*0.943*(0.9442 - 0.0007*$B50 - dis_BMI*($C50-21.75)) - 0.15*0.5)*AY50</f>
        <v>1.391782759851458E-5</v>
      </c>
      <c r="CD50">
        <f>0.962*(0.955*0.943*(0.9442 - 0.0007*$B50 - dis_BMI*($C50-21.75)))*AZ50</f>
        <v>-6.8718266240431191E-6</v>
      </c>
      <c r="CE50">
        <f>0.962*(0.93*(0.9442 - 0.0007*$B50 - dis_BMI*($C50-21.75)))*BA50</f>
        <v>2.9321420660915722E-4</v>
      </c>
      <c r="CF50">
        <f>0.962*(0.93*(0.9442 - 0.0007*$B50 - dis_BMI*($C50-21.75)))*BB50</f>
        <v>2.8546672412194073E-3</v>
      </c>
      <c r="CG50">
        <f>0.962*(0.93*0.943*(0.9442 - 0.0007*$B50 - dis_BMI*($C50-21.75)))*BC50</f>
        <v>1.0278305171170707E-5</v>
      </c>
      <c r="CH50">
        <f>0.962*(0.93*0.943*(0.9442 - 0.0007*$B50 - dis_BMI*($C50-21.75))-0.19*0.5)*BD50</f>
        <v>4.8313969619577625E-5</v>
      </c>
      <c r="CI50">
        <f>0.962*(0.93*0.943*(0.9442 - 0.0007*$B50 - dis_BMI*($C50-21.75)))*BE50</f>
        <v>-9.2052322677642353E-6</v>
      </c>
      <c r="CJ50">
        <f t="shared" si="52"/>
        <v>0</v>
      </c>
      <c r="CK50">
        <f t="shared" si="53"/>
        <v>7.1009601481250004E-2</v>
      </c>
      <c r="CL50">
        <f>CK50/(1+r_)^A50</f>
        <v>1.7699765566755038E-2</v>
      </c>
      <c r="CM50">
        <f>AD50*c_SEM</f>
        <v>430.73100960045167</v>
      </c>
      <c r="CN50">
        <f>AE50*(c_Other+c_SEM)</f>
        <v>214.5996665562358</v>
      </c>
      <c r="CO50">
        <f>AF50*(c_Stroke1+c_Stroke2+c_SEM)</f>
        <v>20.21387844898134</v>
      </c>
      <c r="CP50">
        <f>AG50*(c_Stroke2 + c_SEM)</f>
        <v>13.876171490422886</v>
      </c>
      <c r="CQ50">
        <f>AH50*(c_MI1+c_MI2 + c_SEM)</f>
        <v>13.403295695793291</v>
      </c>
      <c r="CR50">
        <f>AI50*(c_MI2+c_SEM)</f>
        <v>15.835728712045809</v>
      </c>
      <c r="CS50">
        <f>AJ50*(c_Stroke1+c_Stroke2+c_MI2+c_SEM)</f>
        <v>0.61603561565017295</v>
      </c>
      <c r="CT50">
        <f>AK50*(c_Stroke2+c_MI1+c_MI2+c_SEM)</f>
        <v>0.49611912713635686</v>
      </c>
      <c r="CU50">
        <f>AL50*(c_Stroke2+c_MI2+c_SEM)</f>
        <v>-1.6214014361362085E-2</v>
      </c>
      <c r="CV50">
        <f>AM50*(c_HF1+c_SEM)</f>
        <v>10.366011254978906</v>
      </c>
      <c r="CW50">
        <f>AN50*(c_HF2+c_SEM)</f>
        <v>80.084156054743062</v>
      </c>
      <c r="CX50">
        <f>AO50*(c_Stroke2+c_HF1+c_SEM)</f>
        <v>0.32757162404687767</v>
      </c>
      <c r="CY50">
        <f>AP50*(c_Stroke1+c_Stroke2+c_HF2+c_SEM)</f>
        <v>1.8117728840372973</v>
      </c>
      <c r="CZ50">
        <f>AQ50*(c_Stroke2+c_HF2+c_SEM)</f>
        <v>4.588685417459732E-2</v>
      </c>
      <c r="DA50">
        <f>AR50*(c_DM+c_SEM)</f>
        <v>645.78980730792318</v>
      </c>
      <c r="DB50">
        <f>AS50*(c_Other+c_DM+c_SEM)</f>
        <v>362.76646247004066</v>
      </c>
      <c r="DC50">
        <f>AT50*(c_Stroke1+c_Stroke2+c_DM+c_SEM)</f>
        <v>38.009799648823638</v>
      </c>
      <c r="DD50">
        <f>AU50*(c_Stroke2+c_DM+c_SEM)</f>
        <v>23.396882895218191</v>
      </c>
      <c r="DE50">
        <f>AV50*(c_MI1+c_MI2+c_DM+c_SEM)</f>
        <v>25.699783706594157</v>
      </c>
      <c r="DF50">
        <f>AW50*(c_MI2+c_DM+c_SEM)</f>
        <v>38.1717592005052</v>
      </c>
      <c r="DG50">
        <f>AX50*(c_Stroke1+c_Stroke2+c_MI2+c_DM+c_SEM)</f>
        <v>1.8562979064216782</v>
      </c>
      <c r="DH50">
        <f>AY50*(c_Stroke2+c_MI1+c_MI2+c_DM+c_SEM)</f>
        <v>1.2828366037333596</v>
      </c>
      <c r="DI50">
        <f>AZ50*(c_Stroke2+c_MI2+c_DM+c_SEM)</f>
        <v>-0.32598701008073006</v>
      </c>
      <c r="DJ50">
        <f>BA50*(c_HF1+c_DM+c_SEM)</f>
        <v>20.236214101985198</v>
      </c>
      <c r="DK50">
        <f>BB50*(c_HF2+c_DM+c_SEM)</f>
        <v>153.78937484880379</v>
      </c>
      <c r="DL50">
        <f>BC50*(c_Stroke2+c_HF1+c_DM+c_SEM)</f>
        <v>0.84613360153655715</v>
      </c>
      <c r="DM50">
        <f>BD50*(c_Stroke1+c_Stroke2+c_HF2+c_DM+c_SEM)</f>
        <v>5.0224468668340965</v>
      </c>
      <c r="DN50">
        <f>BE50*(c_Stroke2+c_HF2+c_DM+c_SEM)</f>
        <v>-0.60998336525441965</v>
      </c>
      <c r="DO50">
        <f t="shared" si="54"/>
        <v>0</v>
      </c>
      <c r="DP50">
        <f t="shared" si="55"/>
        <v>2118.3229186874214</v>
      </c>
      <c r="DQ50">
        <f>DP50/(1+r_)^A50</f>
        <v>528.01055453538709</v>
      </c>
    </row>
    <row r="51" spans="1:121" x14ac:dyDescent="0.3">
      <c r="A51">
        <v>48</v>
      </c>
      <c r="B51">
        <v>93</v>
      </c>
      <c r="C51">
        <f t="shared" si="40"/>
        <v>32.793999999999997</v>
      </c>
      <c r="D51">
        <f t="shared" si="1"/>
        <v>125</v>
      </c>
      <c r="E51">
        <f t="shared" si="42"/>
        <v>5.4</v>
      </c>
      <c r="F51">
        <v>0.17560000000000001</v>
      </c>
      <c r="G51">
        <v>0.21640000000000001</v>
      </c>
      <c r="H51">
        <f t="shared" si="43"/>
        <v>0.18376000000000001</v>
      </c>
      <c r="I51">
        <f t="shared" si="44"/>
        <v>1.9177515277734612E-2</v>
      </c>
      <c r="J51">
        <f t="shared" si="22"/>
        <v>0.43301628725230612</v>
      </c>
      <c r="K51">
        <f t="shared" si="23"/>
        <v>0.54827125769361795</v>
      </c>
      <c r="L51">
        <f t="shared" si="24"/>
        <v>0.23556493715782334</v>
      </c>
      <c r="M51">
        <f t="shared" si="25"/>
        <v>0.31353323884092388</v>
      </c>
      <c r="N51">
        <f t="shared" si="26"/>
        <v>0.79902244657187171</v>
      </c>
      <c r="O51">
        <f t="shared" si="27"/>
        <v>0.89640108307285615</v>
      </c>
      <c r="P51">
        <f t="shared" si="28"/>
        <v>0.54582294028319578</v>
      </c>
      <c r="Q51">
        <f t="shared" si="29"/>
        <v>0.67215920290522446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3.5434415212199748E-2</v>
      </c>
      <c r="U51">
        <f t="shared" si="30"/>
        <v>0.70913355969783953</v>
      </c>
      <c r="V51">
        <f t="shared" si="31"/>
        <v>0.82261882479091097</v>
      </c>
      <c r="W51">
        <f t="shared" si="32"/>
        <v>0.44266902924674434</v>
      </c>
      <c r="X51">
        <f t="shared" si="33"/>
        <v>0.55900497363022916</v>
      </c>
      <c r="Y51">
        <f t="shared" si="34"/>
        <v>0.9348072797974124</v>
      </c>
      <c r="Z51">
        <f t="shared" si="35"/>
        <v>0.97889057186005834</v>
      </c>
      <c r="AA51">
        <f t="shared" si="36"/>
        <v>0.73895444625377227</v>
      </c>
      <c r="AB51">
        <f t="shared" si="37"/>
        <v>0.85009138414120722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5.6365415524907793E-2</v>
      </c>
      <c r="AD51">
        <f t="shared" si="45"/>
        <v>2.4816445145039039E-2</v>
      </c>
      <c r="AE51">
        <f t="shared" si="46"/>
        <v>5.6477899844238413E-3</v>
      </c>
      <c r="AF51">
        <f t="shared" si="47"/>
        <v>4.160667813924955E-4</v>
      </c>
      <c r="AG51">
        <f t="shared" si="48"/>
        <v>4.2779968906054189E-4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2.5146958161941484E-4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7.1238791865352021E-4</v>
      </c>
      <c r="AJ51">
        <f t="shared" si="49"/>
        <v>1.1722542955180211E-5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7.161507261436277E-6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-2.2176843428188315E-6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2.0220440879844498E-4</v>
      </c>
      <c r="AN51">
        <f t="shared" si="50"/>
        <v>2.0301917313210278E-3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4.8710737311702904E-6</v>
      </c>
      <c r="AP51">
        <f>AM50*T50*p_Stroke*p_Stroke_rec*(1-I50) + AN50*T50*p_Stroke*p_Stroke_rec*(1-I50) + AO50*(p_recur_Stroke*p_Stroke_rec)*(1-I50) + AP50*(p_recur_Stroke*p_Stroke_rec)*(1-I50) + AQ50*(p_recur_Stroke*p_Stroke_rec)*(1-I50)</f>
        <v>2.6141602001187851E-5</v>
      </c>
      <c r="AQ51">
        <f>AO50*(1-p_recur_Stroke-H50*rr_Stroke*rr_HF)*(1-I50) + AP50*(1-p_recur_Stroke-H50*rr_Stroke*rr_HF)*(1-I50) + AQ50*(1-p_recur_Stroke-H50*rr_Stroke*rr_HF)*(1-I50)</f>
        <v>-2.5859714415742815E-6</v>
      </c>
      <c r="AR51">
        <f>AR50*(1-AC50-H50*rr_DM) + AD50*(1-T50-H50)*I50</f>
        <v>1.9938458313654036E-2</v>
      </c>
      <c r="AS51">
        <f>AR50*AC50*p_Other + AD50*T50*p_Other*I50 + AE50*(1-T50*p_Stroke-T50*p_MI-H50*rr_Other)*I50 + AS50*(1-AC50*p_Stroke-AC50*p_MI-H50*rr_Other*rr_DM)</f>
        <v>6.5578905460688067E-3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5.8650038194836692E-4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4.2242759965442167E-4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3.7165046781376132E-4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9.8850630301060239E-4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2.6924447396334584E-5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1.4513010021605289E-5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-1.0231865882213297E-5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3.0107682010671615E-4</v>
      </c>
      <c r="BB51">
        <f>AM50*(1-T50*p_Stroke - H50*rr_HF)*I50 + AN50*(1-T50*p_Stroke - H50*rr_HF)*I50 + BA50*(1-AC50*p_Stroke - H50*rr_HF*rr_DM) + BB50*(1-AC50*p_Stroke - H50*rr_HF*rr_DM)</f>
        <v>2.7143144443085845E-3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9.7987856183150482E-6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5.8204231339064713E-5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-1.6214250279020718E-5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0.89148673245474752</v>
      </c>
      <c r="BG51">
        <f t="shared" si="51"/>
        <v>0.95799999999999985</v>
      </c>
      <c r="BH51">
        <f>(0.9442 - 0.0007*$B51 - dis_BMI*($C51-21.75))*AD51</f>
        <v>2.0911696620403843E-2</v>
      </c>
      <c r="BI51">
        <f>0.959*(0.9442 - 0.0007*$B51 - dis_BMI*($C51-21.75))*AE51</f>
        <v>4.5640127088362415E-3</v>
      </c>
      <c r="BJ51">
        <f>(0.943*(0.9442 - 0.0007*$B51 - dis_BMI*($C51-21.75)) - 0.19*0.5)*AF51</f>
        <v>2.9109008801237655E-4</v>
      </c>
      <c r="BK51">
        <f>(0.943*(0.9442 - 0.0007*$B51 - dis_BMI*($C51-21.75)))*AG51</f>
        <v>3.3993967612412683E-4</v>
      </c>
      <c r="BL51">
        <f>(0.955*(0.9442 - 0.0007*$B51 - dis_BMI*($C51-21.75)) - 0.15*0.5)*AH51</f>
        <v>1.8350623913388395E-4</v>
      </c>
      <c r="BM51">
        <f>(0.955*(0.9442 - 0.0007*$B51 - dis_BMI*($C51-21.75)))*AI51</f>
        <v>5.7328372965520535E-4</v>
      </c>
      <c r="BN51">
        <f>(0.955*0.943*(0.9442 - 0.0007*$B51 - dis_BMI*($C51-21.75)) - 0.19*0.5)*AJ51</f>
        <v>7.7821909019632956E-6</v>
      </c>
      <c r="BO51">
        <f>(0.955*0.943*(0.9442 - 0.0007*$B51 - dis_BMI*($C51-21.75)) - 0.15*0.5)*AK51</f>
        <v>4.8975071709030325E-6</v>
      </c>
      <c r="BP51">
        <f>(0.955*0.943*(0.9442 - 0.0007*$B51 - dis_BMI*($C51-21.75)))*AL51</f>
        <v>-1.6829239601563645E-6</v>
      </c>
      <c r="BQ51">
        <f>(0.93*(0.9442 - 0.0007*$B51 - dis_BMI*($C51-21.75)))*AM51</f>
        <v>1.5846131955930988E-4</v>
      </c>
      <c r="BR51">
        <f>(0.93*(0.9442 - 0.0007*$B51 - dis_BMI*($C51-21.75)))*AN51</f>
        <v>1.5909982508057164E-3</v>
      </c>
      <c r="BS51">
        <f>(0.93*0.943*(0.9442 - 0.0007*$B51 - dis_BMI*($C51-21.75)))*AO51</f>
        <v>3.599722674118828E-6</v>
      </c>
      <c r="BT51">
        <f>(0.93*0.943*(0.9442 - 0.0007*$B51 - dis_BMI*($C51-21.75))-0.19*0.5)*AP51</f>
        <v>1.683518732447681E-5</v>
      </c>
      <c r="BU51">
        <f>(0.93*0.943*(0.9442 - 0.0007*$B51 - dis_BMI*($C51-21.75)))*AQ51</f>
        <v>-1.9110324636006342E-6</v>
      </c>
      <c r="BV51">
        <f>0.962*(0.9442 - 0.0007*$B51 - dis_BMI*($C51-21.75))*AR51</f>
        <v>1.6162790573701662E-2</v>
      </c>
      <c r="BW51">
        <f>0.962*0.959*(0.9442 - 0.0007*$B51 - dis_BMI*($C51-21.75))*AS51</f>
        <v>5.0980905158651375E-3</v>
      </c>
      <c r="BX51">
        <f>0.962*(0.943*(0.9442 - 0.0007*$B51 - dis_BMI*($C51-21.75)) - 0.19*0.5)*AT51</f>
        <v>3.9473691755575574E-4</v>
      </c>
      <c r="BY51">
        <f>0.962*(0.943*(0.9442 - 0.0007*$B51 - dis_BMI*($C51-21.75)))*AU51</f>
        <v>3.2291539402964518E-4</v>
      </c>
      <c r="BZ51">
        <f>0.962*(0.955*(0.9442 - 0.0007*$B51 - dis_BMI*($C51-21.75)) - 0.15*0.5)*AV51</f>
        <v>2.6090063208740076E-4</v>
      </c>
      <c r="CA51">
        <f>0.962*(0.955*(0.9442 - 0.0007*$B51 - dis_BMI*($C51-21.75)))*AW51</f>
        <v>7.652574838175973E-4</v>
      </c>
      <c r="CB51">
        <f>0.962*(0.955*0.943*(0.9442 - 0.0007*$B51 - dis_BMI*($C51-21.75)) - 0.19*0.5)*AX51</f>
        <v>1.7194989614047964E-5</v>
      </c>
      <c r="CC51">
        <f>0.962*(0.955*0.943*(0.9442 - 0.0007*$B51 - dis_BMI*($C51-21.75)) - 0.15*0.5)*AY51</f>
        <v>9.5477977569909788E-6</v>
      </c>
      <c r="CD51">
        <f>0.962*(0.955*0.943*(0.9442 - 0.0007*$B51 - dis_BMI*($C51-21.75)))*AZ51</f>
        <v>-7.4695540501120281E-6</v>
      </c>
      <c r="CE51">
        <f>0.962*(0.93*(0.9442 - 0.0007*$B51 - dis_BMI*($C51-21.75)))*BA51</f>
        <v>2.2697866642894176E-4</v>
      </c>
      <c r="CF51">
        <f>0.962*(0.93*(0.9442 - 0.0007*$B51 - dis_BMI*($C51-21.75)))*BB51</f>
        <v>2.0462932769769655E-3</v>
      </c>
      <c r="CG51">
        <f>0.962*(0.93*0.943*(0.9442 - 0.0007*$B51 - dis_BMI*($C51-21.75)))*BC51</f>
        <v>6.9661315004773679E-6</v>
      </c>
      <c r="CH51">
        <f>0.962*(0.93*0.943*(0.9442 - 0.0007*$B51 - dis_BMI*($C51-21.75))-0.19*0.5)*BD51</f>
        <v>3.6059141685197112E-5</v>
      </c>
      <c r="CI51">
        <f>0.962*(0.93*0.943*(0.9442 - 0.0007*$B51 - dis_BMI*($C51-21.75)))*BE51</f>
        <v>-1.1526999775787789E-5</v>
      </c>
      <c r="CJ51">
        <f t="shared" si="52"/>
        <v>0</v>
      </c>
      <c r="CK51">
        <f t="shared" si="53"/>
        <v>5.3971244251372306E-2</v>
      </c>
      <c r="CL51">
        <f>CK51/(1+r_)^A51</f>
        <v>1.3060976394555007E-2</v>
      </c>
      <c r="CM51">
        <f>AD51*c_SEM</f>
        <v>337.95034998514166</v>
      </c>
      <c r="CN51">
        <f>AE51*(c_Other+c_SEM)</f>
        <v>157.5563971954719</v>
      </c>
      <c r="CO51">
        <f>AF51*(c_Stroke1+c_Stroke2+c_SEM)</f>
        <v>15.575043894646678</v>
      </c>
      <c r="CP51">
        <f>AG51*(c_Stroke2 + c_SEM)</f>
        <v>8.6064741445199822</v>
      </c>
      <c r="CQ51">
        <f>AH51*(c_MI1+c_MI2 + c_SEM)</f>
        <v>10.755102536280754</v>
      </c>
      <c r="CR51">
        <f>AI51*(c_MI2+c_SEM)</f>
        <v>11.921811818666662</v>
      </c>
      <c r="CS51">
        <f>AJ51*(c_Stroke1+c_Stroke2+c_MI2+c_SEM)</f>
        <v>0.47536083937551277</v>
      </c>
      <c r="CT51">
        <f>AK51*(c_Stroke2+c_MI1+c_MI2+c_SEM)</f>
        <v>0.35284030126370391</v>
      </c>
      <c r="CU51">
        <f>AL51*(c_Stroke2+c_MI2+c_SEM)</f>
        <v>-5.1527895705395552E-2</v>
      </c>
      <c r="CV51">
        <f>AM51*(c_HF1+c_SEM)</f>
        <v>8.2192048088391925</v>
      </c>
      <c r="CW51">
        <f>AN51*(c_HF2+c_SEM)</f>
        <v>59.328292964394393</v>
      </c>
      <c r="CX51">
        <f>AO51*(c_Stroke2+c_HF1+c_SEM)</f>
        <v>0.22966138427721686</v>
      </c>
      <c r="CY51">
        <f>AP51*(c_Stroke1+c_Stroke2+c_HF2+c_SEM)</f>
        <v>1.3865244285410026</v>
      </c>
      <c r="CZ51">
        <f>AQ51*(c_Stroke2+c_HF2+c_SEM)</f>
        <v>-9.2378657807358058E-2</v>
      </c>
      <c r="DA51">
        <f>AR51*(c_DM+c_SEM)</f>
        <v>499.31881154883803</v>
      </c>
      <c r="DB51">
        <f>AS51*(c_Other+c_DM+c_SEM)</f>
        <v>257.86937205251763</v>
      </c>
      <c r="DC51">
        <f>AT51*(c_Stroke1+c_Stroke2+c_DM+c_SEM)</f>
        <v>28.655822161615259</v>
      </c>
      <c r="DD51">
        <f>AU51*(c_Stroke2+c_DM+c_SEM)</f>
        <v>13.324633775899423</v>
      </c>
      <c r="DE51">
        <f>AV51*(c_MI1+c_MI2+c_DM+c_SEM)</f>
        <v>20.141225452698979</v>
      </c>
      <c r="DF51">
        <f>AW51*(c_MI2+c_DM+c_SEM)</f>
        <v>27.836337492778565</v>
      </c>
      <c r="DG51">
        <f>AX51*(c_Stroke1+c_Stroke2+c_MI2+c_DM+c_SEM)</f>
        <v>1.3994250778718864</v>
      </c>
      <c r="DH51">
        <f>AY51*(c_Stroke2+c_MI1+c_MI2+c_DM+c_SEM)</f>
        <v>0.88085263025131133</v>
      </c>
      <c r="DI51">
        <f>AZ51*(c_Stroke2+c_MI2+c_DM+c_SEM)</f>
        <v>-0.35463647147751287</v>
      </c>
      <c r="DJ51">
        <f>BA51*(c_HF1+c_DM+c_SEM)</f>
        <v>15.677973253417031</v>
      </c>
      <c r="DK51">
        <f>BB51*(c_HF2+c_DM+c_SEM)</f>
        <v>110.33145353225534</v>
      </c>
      <c r="DL51">
        <f>BC51*(c_Stroke2+c_HF1+c_DM+c_SEM)</f>
        <v>0.57394427002156734</v>
      </c>
      <c r="DM51">
        <f>BD51*(c_Stroke1+c_Stroke2+c_HF2+c_DM+c_SEM)</f>
        <v>3.7520775690414676</v>
      </c>
      <c r="DN51">
        <f>BE51*(c_Stroke2+c_HF2+c_DM+c_SEM)</f>
        <v>-0.76446947215526884</v>
      </c>
      <c r="DO51">
        <f t="shared" si="54"/>
        <v>0</v>
      </c>
      <c r="DP51">
        <f t="shared" si="55"/>
        <v>1590.8559806214798</v>
      </c>
      <c r="DQ51">
        <f>DP51/(1+r_)^A51</f>
        <v>384.98523979286409</v>
      </c>
    </row>
    <row r="52" spans="1:121" x14ac:dyDescent="0.3">
      <c r="A52">
        <v>49</v>
      </c>
      <c r="B52">
        <v>94</v>
      </c>
      <c r="C52">
        <f t="shared" si="40"/>
        <v>32.793999999999997</v>
      </c>
      <c r="D52">
        <f t="shared" si="1"/>
        <v>125</v>
      </c>
      <c r="E52">
        <f t="shared" si="42"/>
        <v>5.4</v>
      </c>
      <c r="F52">
        <v>0.19406999999999999</v>
      </c>
      <c r="G52">
        <v>0.23441000000000001</v>
      </c>
      <c r="H52">
        <f t="shared" si="43"/>
        <v>0.20213799999999998</v>
      </c>
      <c r="I52">
        <f t="shared" si="44"/>
        <v>1.9177515277734612E-2</v>
      </c>
      <c r="J52">
        <f t="shared" si="22"/>
        <v>0.44243762266944653</v>
      </c>
      <c r="K52">
        <f t="shared" si="23"/>
        <v>0.55874851769210188</v>
      </c>
      <c r="L52">
        <f t="shared" si="24"/>
        <v>0.24160472666645727</v>
      </c>
      <c r="M52">
        <f t="shared" si="25"/>
        <v>0.32111713560308575</v>
      </c>
      <c r="N52">
        <f t="shared" si="26"/>
        <v>0.80964877020474413</v>
      </c>
      <c r="O52">
        <f t="shared" si="27"/>
        <v>0.90405548168875949</v>
      </c>
      <c r="P52">
        <f t="shared" si="28"/>
        <v>0.55779811605905594</v>
      </c>
      <c r="Q52">
        <f t="shared" si="29"/>
        <v>0.68430637109101677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3.6203728750118729E-2</v>
      </c>
      <c r="U52">
        <f t="shared" si="30"/>
        <v>0.71954941239486947</v>
      </c>
      <c r="V52">
        <f t="shared" si="31"/>
        <v>0.83145045698699649</v>
      </c>
      <c r="W52">
        <f t="shared" si="32"/>
        <v>0.4522078101593624</v>
      </c>
      <c r="X52">
        <f t="shared" si="33"/>
        <v>0.56953908013026622</v>
      </c>
      <c r="Y52">
        <f t="shared" si="34"/>
        <v>0.94056340320617893</v>
      </c>
      <c r="Z52">
        <f t="shared" si="35"/>
        <v>0.98147527409279534</v>
      </c>
      <c r="AA52">
        <f t="shared" si="36"/>
        <v>0.75055816619824545</v>
      </c>
      <c r="AB52">
        <f t="shared" si="37"/>
        <v>0.85941975752871835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5.7300677179007262E-2</v>
      </c>
      <c r="AD52">
        <f t="shared" si="45"/>
        <v>1.9005219722113893E-2</v>
      </c>
      <c r="AE52">
        <f t="shared" si="46"/>
        <v>3.9914445067842337E-3</v>
      </c>
      <c r="AF52">
        <f t="shared" si="47"/>
        <v>3.1541419424210181E-4</v>
      </c>
      <c r="AG52">
        <f t="shared" si="48"/>
        <v>2.4585140211018104E-4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1.9754548463286114E-4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5.1750601682082017E-4</v>
      </c>
      <c r="AJ52">
        <f t="shared" si="49"/>
        <v>8.8930148731527474E-6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4.9966394314907143E-6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-2.9892756330295457E-6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1.5682952639939709E-4</v>
      </c>
      <c r="AN52">
        <f t="shared" si="50"/>
        <v>1.4394478121044412E-3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3.3615730969604578E-6</v>
      </c>
      <c r="AP52">
        <f>AM51*T51*p_Stroke*p_Stroke_rec*(1-I51) + AN51*T51*p_Stroke*p_Stroke_rec*(1-I51) + AO51*(p_recur_Stroke*p_Stroke_rec)*(1-I51) + AP51*(p_recur_Stroke*p_Stroke_rec)*(1-I51) + AQ51*(p_recur_Stroke*p_Stroke_rec)*(1-I51)</f>
        <v>1.9495456279562346E-5</v>
      </c>
      <c r="AQ52">
        <f>AO51*(1-p_recur_Stroke-H51*rr_Stroke*rr_HF)*(1-I51) + AP51*(1-p_recur_Stroke-H51*rr_Stroke*rr_HF)*(1-I51) + AQ51*(1-p_recur_Stroke-H51*rr_Stroke*rr_HF)*(1-I51)</f>
        <v>-4.6508438558600526E-6</v>
      </c>
      <c r="AR52">
        <f>AR51*(1-AC51-H51*rr_DM) + AD51*(1-T51-H51)*I51</f>
        <v>1.497274330291693E-2</v>
      </c>
      <c r="AS52">
        <f>AR51*AC51*p_Other + AD51*T51*p_Other*I51 + AE51*(1-T51*p_Stroke-T51*p_MI-H51*rr_Other)*I51 + AS51*(1-AC51*p_Stroke-AC51*p_MI-H51*rr_Other*rr_DM)</f>
        <v>4.4546123576510478E-3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4.33572664091814E-4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2.1280304643420871E-4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2.8380047410045297E-4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6.888966501331765E-4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1.9841461442042476E-5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9.7625771211529816E-6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-1.0018701817422407E-5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2.2694547562662025E-4</v>
      </c>
      <c r="BB52">
        <f>AM51*(1-T51*p_Stroke - H51*rr_HF)*I51 + AN51*(1-T51*p_Stroke - H51*rr_HF)*I51 + BA51*(1-AC51*p_Stroke - H51*rr_HF*rr_DM) + BB51*(1-AC51*p_Stroke - H51*rr_HF*rr_DM)</f>
        <v>1.8446957047122715E-3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6.534855330323738E-6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4.2063000609339422E-5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-1.6861603736628501E-5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0.90893224350598423</v>
      </c>
      <c r="BG52">
        <f t="shared" si="51"/>
        <v>0.95799999999999974</v>
      </c>
      <c r="BH52">
        <f>(0.9442 - 0.0007*$B52 - dis_BMI*($C52-21.75))*AD52</f>
        <v>1.6001535970088462E-2</v>
      </c>
      <c r="BI52">
        <f>0.959*(0.9442 - 0.0007*$B52 - dis_BMI*($C52-21.75))*AE52</f>
        <v>3.222830611102373E-3</v>
      </c>
      <c r="BJ52">
        <f>(0.943*(0.9442 - 0.0007*$B52 - dis_BMI*($C52-21.75)) - 0.19*0.5)*AF52</f>
        <v>2.2046297017194494E-4</v>
      </c>
      <c r="BK52">
        <f>(0.943*(0.9442 - 0.0007*$B52 - dis_BMI*($C52-21.75)))*AG52</f>
        <v>1.9519700931207342E-4</v>
      </c>
      <c r="BL52">
        <f>(0.955*(0.9442 - 0.0007*$B52 - dis_BMI*($C52-21.75)) - 0.15*0.5)*AH52</f>
        <v>1.4402386105227574E-4</v>
      </c>
      <c r="BM52">
        <f>(0.955*(0.9442 - 0.0007*$B52 - dis_BMI*($C52-21.75)))*AI52</f>
        <v>4.1610942452106767E-4</v>
      </c>
      <c r="BN52">
        <f>(0.955*0.943*(0.9442 - 0.0007*$B52 - dis_BMI*($C52-21.75)) - 0.19*0.5)*AJ52</f>
        <v>5.8981589369363931E-6</v>
      </c>
      <c r="BO52">
        <f>(0.955*0.943*(0.9442 - 0.0007*$B52 - dis_BMI*($C52-21.75)) - 0.15*0.5)*AK52</f>
        <v>3.4138790642023527E-6</v>
      </c>
      <c r="BP52">
        <f>(0.955*0.943*(0.9442 - 0.0007*$B52 - dis_BMI*($C52-21.75)))*AL52</f>
        <v>-2.2665734827338183E-6</v>
      </c>
      <c r="BQ52">
        <f>(0.93*(0.9442 - 0.0007*$B52 - dis_BMI*($C52-21.75)))*AM52</f>
        <v>1.2280033645634017E-4</v>
      </c>
      <c r="BR52">
        <f>(0.93*(0.9442 - 0.0007*$B52 - dis_BMI*($C52-21.75)))*AN52</f>
        <v>1.1271134951182742E-3</v>
      </c>
      <c r="BS52">
        <f>(0.93*0.943*(0.9442 - 0.0007*$B52 - dis_BMI*($C52-21.75)))*AO52</f>
        <v>2.4821383112526607E-6</v>
      </c>
      <c r="BT52">
        <f>(0.93*0.943*(0.9442 - 0.0007*$B52 - dis_BMI*($C52-21.75))-0.19*0.5)*AP52</f>
        <v>1.2543102465168889E-5</v>
      </c>
      <c r="BU52">
        <f>(0.93*0.943*(0.9442 - 0.0007*$B52 - dis_BMI*($C52-21.75)))*AQ52</f>
        <v>-3.4341177125442938E-6</v>
      </c>
      <c r="BV52">
        <f>0.962*(0.9442 - 0.0007*$B52 - dis_BMI*($C52-21.75))*AR52</f>
        <v>1.2127330915522531E-2</v>
      </c>
      <c r="BW52">
        <f>0.962*0.959*(0.9442 - 0.0007*$B52 - dis_BMI*($C52-21.75))*AS52</f>
        <v>3.4601296655430726E-3</v>
      </c>
      <c r="BX52">
        <f>0.962*(0.943*(0.9442 - 0.0007*$B52 - dis_BMI*($C52-21.75)) - 0.19*0.5)*AT52</f>
        <v>2.9153545950643978E-4</v>
      </c>
      <c r="BY52">
        <f>0.962*(0.943*(0.9442 - 0.0007*$B52 - dis_BMI*($C52-21.75)))*AU52</f>
        <v>1.6253742789541613E-4</v>
      </c>
      <c r="BZ52">
        <f>0.962*(0.955*(0.9442 - 0.0007*$B52 - dis_BMI*($C52-21.75)) - 0.15*0.5)*AV52</f>
        <v>1.9904695164079186E-4</v>
      </c>
      <c r="CA52">
        <f>0.962*(0.955*(0.9442 - 0.0007*$B52 - dis_BMI*($C52-21.75)))*AW52</f>
        <v>5.3287002838560893E-4</v>
      </c>
      <c r="CB52">
        <f>0.962*(0.955*0.943*(0.9442 - 0.0007*$B52 - dis_BMI*($C52-21.75)) - 0.19*0.5)*AX52</f>
        <v>1.2659489182609627E-5</v>
      </c>
      <c r="CC52">
        <f>0.962*(0.955*0.943*(0.9442 - 0.0007*$B52 - dis_BMI*($C52-21.75)) - 0.15*0.5)*AY52</f>
        <v>6.416669502692161E-6</v>
      </c>
      <c r="CD52">
        <f>0.962*(0.955*0.943*(0.9442 - 0.0007*$B52 - dis_BMI*($C52-21.75)))*AZ52</f>
        <v>-7.3078624541415539E-6</v>
      </c>
      <c r="CE52">
        <f>0.962*(0.93*(0.9442 - 0.0007*$B52 - dis_BMI*($C52-21.75)))*BA52</f>
        <v>1.7094969366212946E-4</v>
      </c>
      <c r="CF52">
        <f>0.962*(0.93*(0.9442 - 0.0007*$B52 - dis_BMI*($C52-21.75)))*BB52</f>
        <v>1.3895415396570211E-3</v>
      </c>
      <c r="CG52">
        <f>0.962*(0.93*0.943*(0.9442 - 0.0007*$B52 - dis_BMI*($C52-21.75)))*BC52</f>
        <v>4.6418859749298903E-6</v>
      </c>
      <c r="CH52">
        <f>0.962*(0.93*0.943*(0.9442 - 0.0007*$B52 - dis_BMI*($C52-21.75))-0.19*0.5)*BD52</f>
        <v>2.6034358947286684E-5</v>
      </c>
      <c r="CI52">
        <f>0.962*(0.93*0.943*(0.9442 - 0.0007*$B52 - dis_BMI*($C52-21.75)))*BE52</f>
        <v>-1.1977257023072272E-5</v>
      </c>
      <c r="CJ52">
        <f t="shared" si="52"/>
        <v>0</v>
      </c>
      <c r="CK52">
        <f t="shared" si="53"/>
        <v>3.9833119231348427E-2</v>
      </c>
      <c r="CL52">
        <f>CK52/(1+r_)^A52</f>
        <v>9.3588030019833793E-3</v>
      </c>
      <c r="CM52">
        <f>AD52*c_SEM</f>
        <v>258.81308217574701</v>
      </c>
      <c r="CN52">
        <f>AE52*(c_Other+c_SEM)</f>
        <v>111.34932740575977</v>
      </c>
      <c r="CO52">
        <f>AF52*(c_Stroke1+c_Stroke2+c_SEM)</f>
        <v>11.807214947258839</v>
      </c>
      <c r="CP52">
        <f>AG52*(c_Stroke2 + c_SEM)</f>
        <v>4.9460385076526219</v>
      </c>
      <c r="CQ52">
        <f>AH52*(c_MI1+c_MI2 + c_SEM)</f>
        <v>8.448822832262838</v>
      </c>
      <c r="CR52">
        <f>AI52*(c_MI2+c_SEM)</f>
        <v>8.6604631914964258</v>
      </c>
      <c r="CS52">
        <f>AJ52*(c_Stroke1+c_Stroke2+c_MI2+c_SEM)</f>
        <v>0.36062064612121708</v>
      </c>
      <c r="CT52">
        <f>AK52*(c_Stroke2+c_MI1+c_MI2+c_SEM)</f>
        <v>0.24617942815011601</v>
      </c>
      <c r="CU52">
        <f>AL52*(c_Stroke2+c_MI2+c_SEM)</f>
        <v>-6.9455819333441499E-2</v>
      </c>
      <c r="CV52">
        <f>AM52*(c_HF1+c_SEM)</f>
        <v>6.3748065890826933</v>
      </c>
      <c r="CW52">
        <f>AN52*(c_HF2+c_SEM)</f>
        <v>42.064983413128083</v>
      </c>
      <c r="CX52">
        <f>AO52*(c_Stroke2+c_HF1+c_SEM)</f>
        <v>0.15849144837549167</v>
      </c>
      <c r="CY52">
        <f>AP52*(c_Stroke1+c_Stroke2+c_HF2+c_SEM)</f>
        <v>1.0340195056117072</v>
      </c>
      <c r="CZ52">
        <f>AQ52*(c_Stroke2+c_HF2+c_SEM)</f>
        <v>-0.16614209506288866</v>
      </c>
      <c r="DA52">
        <f>AR52*(c_DM+c_SEM)</f>
        <v>374.96241053494867</v>
      </c>
      <c r="DB52">
        <f>AS52*(c_Other+c_DM+c_SEM)</f>
        <v>175.1642671275545</v>
      </c>
      <c r="DC52">
        <f>AT52*(c_Stroke1+c_Stroke2+c_DM+c_SEM)</f>
        <v>21.183926794861939</v>
      </c>
      <c r="DD52">
        <f>AU52*(c_Stroke2+c_DM+c_SEM)</f>
        <v>6.7124464936742454</v>
      </c>
      <c r="DE52">
        <f>AV52*(c_MI1+c_MI2+c_DM+c_SEM)</f>
        <v>15.380282893399949</v>
      </c>
      <c r="DF52">
        <f>AW52*(c_MI2+c_DM+c_SEM)</f>
        <v>19.399329667750251</v>
      </c>
      <c r="DG52">
        <f>AX52*(c_Stroke1+c_Stroke2+c_MI2+c_DM+c_SEM)</f>
        <v>1.0312797999115997</v>
      </c>
      <c r="DH52">
        <f>AY52*(c_Stroke2+c_MI1+c_MI2+c_DM+c_SEM)</f>
        <v>0.59252985579125905</v>
      </c>
      <c r="DI52">
        <f>AZ52*(c_Stroke2+c_MI2+c_DM+c_SEM)</f>
        <v>-0.34724820499186065</v>
      </c>
      <c r="DJ52">
        <f>BA52*(c_HF1+c_DM+c_SEM)</f>
        <v>11.817731752304995</v>
      </c>
      <c r="DK52">
        <f>BB52*(c_HF2+c_DM+c_SEM)</f>
        <v>74.98319100514442</v>
      </c>
      <c r="DL52">
        <f>BC52*(c_Stroke2+c_HF1+c_DM+c_SEM)</f>
        <v>0.38276608126305228</v>
      </c>
      <c r="DM52">
        <f>BD52*(c_Stroke1+c_Stroke2+c_HF2+c_DM+c_SEM)</f>
        <v>2.7115492712804565</v>
      </c>
      <c r="DN52">
        <f>BE52*(c_Stroke2+c_HF2+c_DM+c_SEM)</f>
        <v>-0.79499089297456049</v>
      </c>
      <c r="DO52">
        <f t="shared" si="54"/>
        <v>0</v>
      </c>
      <c r="DP52">
        <f t="shared" si="55"/>
        <v>1157.2079243561693</v>
      </c>
      <c r="DQ52">
        <f>DP52/(1+r_)^A52</f>
        <v>271.88633994448173</v>
      </c>
    </row>
    <row r="53" spans="1:121" x14ac:dyDescent="0.3">
      <c r="A53">
        <v>50</v>
      </c>
      <c r="B53">
        <v>95</v>
      </c>
      <c r="C53">
        <f t="shared" si="40"/>
        <v>32.793999999999997</v>
      </c>
      <c r="D53">
        <f t="shared" si="1"/>
        <v>125</v>
      </c>
      <c r="E53">
        <f t="shared" si="42"/>
        <v>5.4</v>
      </c>
      <c r="F53">
        <v>0.21340000000000001</v>
      </c>
      <c r="G53">
        <v>0.25403999999999999</v>
      </c>
      <c r="H53">
        <f t="shared" si="43"/>
        <v>0.221528</v>
      </c>
      <c r="I53">
        <f t="shared" si="44"/>
        <v>1.9177515277734612E-2</v>
      </c>
      <c r="J53">
        <f t="shared" si="22"/>
        <v>0.45187214527239217</v>
      </c>
      <c r="K53">
        <f t="shared" si="23"/>
        <v>0.56916962855015374</v>
      </c>
      <c r="L53">
        <f t="shared" si="24"/>
        <v>0.24770707038527551</v>
      </c>
      <c r="M53">
        <f t="shared" si="25"/>
        <v>0.32875505170494135</v>
      </c>
      <c r="N53">
        <f t="shared" si="26"/>
        <v>0.8199357489137622</v>
      </c>
      <c r="O53">
        <f t="shared" si="27"/>
        <v>0.91129924742650437</v>
      </c>
      <c r="P53">
        <f t="shared" si="28"/>
        <v>0.56971899712258389</v>
      </c>
      <c r="Q53">
        <f t="shared" si="29"/>
        <v>0.69626427462820051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3.6973555441041576E-2</v>
      </c>
      <c r="U53">
        <f t="shared" si="30"/>
        <v>0.72977442317763697</v>
      </c>
      <c r="V53">
        <f t="shared" si="31"/>
        <v>0.83999343906546775</v>
      </c>
      <c r="W53">
        <f t="shared" si="32"/>
        <v>0.46175505577458953</v>
      </c>
      <c r="X53">
        <f t="shared" si="33"/>
        <v>0.58000922661612231</v>
      </c>
      <c r="Y53">
        <f t="shared" si="34"/>
        <v>0.94592504872637462</v>
      </c>
      <c r="Z53">
        <f t="shared" si="35"/>
        <v>0.98379169586819681</v>
      </c>
      <c r="AA53">
        <f t="shared" si="36"/>
        <v>0.76189233998083283</v>
      </c>
      <c r="AB53">
        <f t="shared" si="37"/>
        <v>0.86836006118132902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5.8225466346635169E-2</v>
      </c>
      <c r="AD53">
        <f t="shared" si="45"/>
        <v>1.4197879005753023E-2</v>
      </c>
      <c r="AE53">
        <f t="shared" si="46"/>
        <v>2.7187292131253403E-3</v>
      </c>
      <c r="AF53">
        <f t="shared" si="47"/>
        <v>2.3356764702288227E-4</v>
      </c>
      <c r="AG53">
        <f t="shared" si="48"/>
        <v>1.3175891221500161E-4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1.5101679554831445E-4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3.6343022263998249E-4</v>
      </c>
      <c r="AJ53">
        <f t="shared" si="49"/>
        <v>6.5530744025307941E-6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3.3753237323194278E-6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-2.9267882743396679E-6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1.1818147558303001E-4</v>
      </c>
      <c r="AN53">
        <f t="shared" si="50"/>
        <v>9.7663343372417786E-4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2.2427099259846826E-6</v>
      </c>
      <c r="AP53">
        <f>AM52*T52*p_Stroke*p_Stroke_rec*(1-I52) + AN52*T52*p_Stroke*p_Stroke_rec*(1-I52) + AO52*(p_recur_Stroke*p_Stroke_rec)*(1-I52) + AP52*(p_recur_Stroke*p_Stroke_rec)*(1-I52) + AQ52*(p_recur_Stroke*p_Stroke_rec)*(1-I52)</f>
        <v>1.3965518493211205E-5</v>
      </c>
      <c r="AQ53">
        <f>AO52*(1-p_recur_Stroke-H52*rr_Stroke*rr_HF)*(1-I52) + AP52*(1-p_recur_Stroke-H52*rr_Stroke*rr_HF)*(1-I52) + AQ52*(1-p_recur_Stroke-H52*rr_Stroke*rr_HF)*(1-I52)</f>
        <v>-4.8481733565675247E-6</v>
      </c>
      <c r="AR53">
        <f>AR52*(1-AC52-H52*rr_DM) + AD52*(1-T52-H52)*I52</f>
        <v>1.0911854321318965E-2</v>
      </c>
      <c r="AS53">
        <f>AR52*AC52*p_Other + AD52*T52*p_Other*I52 + AE52*(1-T52*p_Stroke-T52*p_MI-H52*rr_Other)*I52 + AS52*(1-AC52*p_Stroke-AC52*p_MI-H52*rr_Other*rr_DM)</f>
        <v>2.8973028543643848E-3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3.1147996036315616E-4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9.2938323092589531E-5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2.0962436318496599E-4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4.5983431764928036E-4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1.4084130801791544E-5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6.3249233965711009E-6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-8.3555577373210208E-6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1.650774183684566E-4</v>
      </c>
      <c r="BB53">
        <f>AM52*(1-T52*p_Stroke - H52*rr_HF)*I52 + AN52*(1-T52*p_Stroke - H52*rr_HF)*I52 + BA52*(1-AC52*p_Stroke - H52*rr_HF*rr_DM) + BB52*(1-AC52*p_Stroke - H52*rr_HF*rr_DM)</f>
        <v>1.1869750590111688E-3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4.1833654524103571E-6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2.8895026044813645E-5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-1.4192806040021155E-5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0.92282441593019371</v>
      </c>
      <c r="BG53">
        <f t="shared" si="51"/>
        <v>0.95799999999999985</v>
      </c>
      <c r="BH53">
        <f>(0.9442 - 0.0007*$B53 - dis_BMI*($C53-21.75))*AD53</f>
        <v>1.1944033863408959E-2</v>
      </c>
      <c r="BI53">
        <f>0.959*(0.9442 - 0.0007*$B53 - dis_BMI*($C53-21.75))*AE53</f>
        <v>2.1933710964237973E-3</v>
      </c>
      <c r="BJ53">
        <f>(0.943*(0.9442 - 0.0007*$B53 - dis_BMI*($C53-21.75)) - 0.19*0.5)*AF53</f>
        <v>1.6310105317711741E-4</v>
      </c>
      <c r="BK53">
        <f>(0.943*(0.9442 - 0.0007*$B53 - dis_BMI*($C53-21.75)))*AG53</f>
        <v>1.0452477675506076E-4</v>
      </c>
      <c r="BL53">
        <f>(0.955*(0.9442 - 0.0007*$B53 - dis_BMI*($C53-21.75)) - 0.15*0.5)*AH53</f>
        <v>1.1000038228341088E-4</v>
      </c>
      <c r="BM53">
        <f>(0.955*(0.9442 - 0.0007*$B53 - dis_BMI*($C53-21.75)))*AI53</f>
        <v>2.9197923539421106E-4</v>
      </c>
      <c r="BN53">
        <f>(0.955*0.943*(0.9442 - 0.0007*$B53 - dis_BMI*($C53-21.75)) - 0.19*0.5)*AJ53</f>
        <v>4.3420974330492971E-6</v>
      </c>
      <c r="BO53">
        <f>(0.955*0.943*(0.9442 - 0.0007*$B53 - dis_BMI*($C53-21.75)) - 0.15*0.5)*AK53</f>
        <v>2.304011603926536E-6</v>
      </c>
      <c r="BP53">
        <f>(0.955*0.943*(0.9442 - 0.0007*$B53 - dis_BMI*($C53-21.75)))*AL53</f>
        <v>-2.2173483446314363E-6</v>
      </c>
      <c r="BQ53">
        <f>(0.93*(0.9442 - 0.0007*$B53 - dis_BMI*($C53-21.75)))*AM53</f>
        <v>9.2461282252935347E-5</v>
      </c>
      <c r="BR53">
        <f>(0.93*(0.9442 - 0.0007*$B53 - dis_BMI*($C53-21.75)))*AN53</f>
        <v>7.6408573448368043E-4</v>
      </c>
      <c r="BS53">
        <f>(0.93*0.943*(0.9442 - 0.0007*$B53 - dis_BMI*($C53-21.75)))*AO53</f>
        <v>1.6546086930375588E-6</v>
      </c>
      <c r="BT53">
        <f>(0.93*0.943*(0.9442 - 0.0007*$B53 - dis_BMI*($C53-21.75))-0.19*0.5)*AP53</f>
        <v>8.9766449100239298E-6</v>
      </c>
      <c r="BU53">
        <f>(0.93*0.943*(0.9442 - 0.0007*$B53 - dis_BMI*($C53-21.75)))*AQ53</f>
        <v>-3.576846781737789E-6</v>
      </c>
      <c r="BV53">
        <f>0.962*(0.9442 - 0.0007*$B53 - dis_BMI*($C53-21.75))*AR53</f>
        <v>8.8308231313713303E-3</v>
      </c>
      <c r="BW53">
        <f>0.962*0.959*(0.9442 - 0.0007*$B53 - dis_BMI*($C53-21.75))*AS53</f>
        <v>2.2486151309140706E-3</v>
      </c>
      <c r="BX53">
        <f>0.962*(0.943*(0.9442 - 0.0007*$B53 - dis_BMI*($C53-21.75)) - 0.19*0.5)*AT53</f>
        <v>2.0924219273406176E-4</v>
      </c>
      <c r="BY53">
        <f>0.962*(0.943*(0.9442 - 0.0007*$B53 - dis_BMI*($C53-21.75)))*AU53</f>
        <v>7.092660171639907E-5</v>
      </c>
      <c r="BZ53">
        <f>0.962*(0.955*(0.9442 - 0.0007*$B53 - dis_BMI*($C53-21.75)) - 0.15*0.5)*AV53</f>
        <v>1.4688781550717004E-4</v>
      </c>
      <c r="CA53">
        <f>0.962*(0.955*(0.9442 - 0.0007*$B53 - dis_BMI*($C53-21.75)))*AW53</f>
        <v>3.5539177997627122E-4</v>
      </c>
      <c r="CB53">
        <f>0.962*(0.955*0.943*(0.9442 - 0.0007*$B53 - dis_BMI*($C53-21.75)) - 0.19*0.5)*AX53</f>
        <v>8.9775862741347733E-6</v>
      </c>
      <c r="CC53">
        <f>0.962*(0.955*0.943*(0.9442 - 0.0007*$B53 - dis_BMI*($C53-21.75)) - 0.15*0.5)*AY53</f>
        <v>4.1533599527729687E-6</v>
      </c>
      <c r="CD53">
        <f>0.962*(0.955*0.943*(0.9442 - 0.0007*$B53 - dis_BMI*($C53-21.75)))*AZ53</f>
        <v>-6.08966126901822E-6</v>
      </c>
      <c r="CE53">
        <f>0.962*(0.93*(0.9442 - 0.0007*$B53 - dis_BMI*($C53-21.75)))*BA53</f>
        <v>1.2424337612579952E-4</v>
      </c>
      <c r="CF53">
        <f>0.962*(0.93*(0.9442 - 0.0007*$B53 - dis_BMI*($C53-21.75)))*BB53</f>
        <v>8.9336137047832213E-4</v>
      </c>
      <c r="CG53">
        <f>0.962*(0.93*0.943*(0.9442 - 0.0007*$B53 - dis_BMI*($C53-21.75)))*BC53</f>
        <v>2.9690880298425316E-6</v>
      </c>
      <c r="CH53">
        <f>0.962*(0.93*0.943*(0.9442 - 0.0007*$B53 - dis_BMI*($C53-21.75))-0.19*0.5)*BD53</f>
        <v>1.7867144268908784E-5</v>
      </c>
      <c r="CI53">
        <f>0.962*(0.93*0.943*(0.9442 - 0.0007*$B53 - dis_BMI*($C53-21.75)))*BE53</f>
        <v>-1.0073155454067179E-5</v>
      </c>
      <c r="CJ53">
        <f t="shared" si="52"/>
        <v>0</v>
      </c>
      <c r="CK53">
        <f t="shared" si="53"/>
        <v>2.8572336352318841E-2</v>
      </c>
      <c r="CL53">
        <f>CK53/(1+r_)^A53</f>
        <v>6.5175522080980824E-3</v>
      </c>
      <c r="CM53">
        <f>AD53*c_SEM</f>
        <v>193.34671630034467</v>
      </c>
      <c r="CN53">
        <f>AE53*(c_Other+c_SEM)</f>
        <v>75.844388858557622</v>
      </c>
      <c r="CO53">
        <f>AF53*(c_Stroke1+c_Stroke2+c_SEM)</f>
        <v>8.7433712986545746</v>
      </c>
      <c r="CP53">
        <f>AG53*(c_Stroke2 + c_SEM)</f>
        <v>2.6507257959414026</v>
      </c>
      <c r="CQ53">
        <f>AH53*(c_MI1+c_MI2 + c_SEM)</f>
        <v>6.4588373288058607</v>
      </c>
      <c r="CR53">
        <f>AI53*(c_MI2+c_SEM)</f>
        <v>6.0820047758801072</v>
      </c>
      <c r="CS53">
        <f>AJ53*(c_Stroke1+c_Stroke2+c_MI2+c_SEM)</f>
        <v>0.26573372009702623</v>
      </c>
      <c r="CT53">
        <f>AK53*(c_Stroke2+c_MI1+c_MI2+c_SEM)</f>
        <v>0.16629882496764589</v>
      </c>
      <c r="CU53">
        <f>AL53*(c_Stroke2+c_MI2+c_SEM)</f>
        <v>-6.8003925554282182E-2</v>
      </c>
      <c r="CV53">
        <f>AM53*(c_HF1+c_SEM)</f>
        <v>4.8038406194990042</v>
      </c>
      <c r="CW53">
        <f>AN53*(c_HF2+c_SEM)</f>
        <v>28.540158833721648</v>
      </c>
      <c r="CX53">
        <f>AO53*(c_Stroke2+c_HF1+c_SEM)</f>
        <v>0.10573928759032582</v>
      </c>
      <c r="CY53">
        <f>AP53*(c_Stroke1+c_Stroke2+c_HF2+c_SEM)</f>
        <v>0.74071713536142914</v>
      </c>
      <c r="CZ53">
        <f>AQ53*(c_Stroke2+c_HF2+c_SEM)</f>
        <v>-0.17319129681666168</v>
      </c>
      <c r="DA53">
        <f>AR53*(c_DM+c_SEM)</f>
        <v>273.26556776879085</v>
      </c>
      <c r="DB53">
        <f>AS53*(c_Other+c_DM+c_SEM)</f>
        <v>113.92774283931634</v>
      </c>
      <c r="DC53">
        <f>AT53*(c_Stroke1+c_Stroke2+c_DM+c_SEM)</f>
        <v>15.218599383383447</v>
      </c>
      <c r="DD53">
        <f>AU53*(c_Stroke2+c_DM+c_SEM)</f>
        <v>2.9315535253095515</v>
      </c>
      <c r="DE53">
        <f>AV53*(c_MI1+c_MI2+c_DM+c_SEM)</f>
        <v>11.360382738446047</v>
      </c>
      <c r="DF53">
        <f>AW53*(c_MI2+c_DM+c_SEM)</f>
        <v>12.948934385003735</v>
      </c>
      <c r="DG53">
        <f>AX53*(c_Stroke1+c_Stroke2+c_MI2+c_DM+c_SEM)</f>
        <v>0.73203678255391724</v>
      </c>
      <c r="DH53">
        <f>AY53*(c_Stroke2+c_MI1+c_MI2+c_DM+c_SEM)</f>
        <v>0.38388490063148639</v>
      </c>
      <c r="DI53">
        <f>AZ53*(c_Stroke2+c_MI2+c_DM+c_SEM)</f>
        <v>-0.28960363117554661</v>
      </c>
      <c r="DJ53">
        <f>BA53*(c_HF1+c_DM+c_SEM)</f>
        <v>8.5960764067006412</v>
      </c>
      <c r="DK53">
        <f>BB53*(c_HF2+c_DM+c_SEM)</f>
        <v>48.248162198685989</v>
      </c>
      <c r="DL53">
        <f>BC53*(c_Stroke2+c_HF1+c_DM+c_SEM)</f>
        <v>0.24503226464403186</v>
      </c>
      <c r="DM53">
        <f>BD53*(c_Stroke1+c_Stroke2+c_HF2+c_DM+c_SEM)</f>
        <v>1.8626889589528668</v>
      </c>
      <c r="DN53">
        <f>BE53*(c_Stroke2+c_HF2+c_DM+c_SEM)</f>
        <v>-0.66916241917491748</v>
      </c>
      <c r="DO53">
        <f t="shared" si="54"/>
        <v>0</v>
      </c>
      <c r="DP53">
        <f t="shared" si="55"/>
        <v>816.26923365911898</v>
      </c>
      <c r="DQ53">
        <f>DP53/(1+r_)^A53</f>
        <v>186.19679121220199</v>
      </c>
    </row>
    <row r="54" spans="1:121" x14ac:dyDescent="0.3">
      <c r="A54">
        <v>51</v>
      </c>
      <c r="B54">
        <v>96</v>
      </c>
      <c r="C54">
        <f t="shared" si="40"/>
        <v>32.793999999999997</v>
      </c>
      <c r="D54">
        <f t="shared" si="1"/>
        <v>125</v>
      </c>
      <c r="E54">
        <f t="shared" si="42"/>
        <v>5.4</v>
      </c>
      <c r="F54">
        <v>0.23330999999999999</v>
      </c>
      <c r="G54">
        <v>0.27490999999999999</v>
      </c>
      <c r="H54">
        <f t="shared" si="43"/>
        <v>0.24162999999999998</v>
      </c>
      <c r="I54">
        <f t="shared" si="44"/>
        <v>1.9177515277734612E-2</v>
      </c>
      <c r="J54">
        <f t="shared" si="22"/>
        <v>0.4613151175502932</v>
      </c>
      <c r="K54">
        <f t="shared" si="23"/>
        <v>0.57952838395159612</v>
      </c>
      <c r="L54">
        <f t="shared" si="24"/>
        <v>0.25387052110407649</v>
      </c>
      <c r="M54">
        <f t="shared" si="25"/>
        <v>0.33644430493542954</v>
      </c>
      <c r="N54">
        <f t="shared" si="26"/>
        <v>0.8298795051691239</v>
      </c>
      <c r="O54">
        <f t="shared" si="27"/>
        <v>0.91814077094315882</v>
      </c>
      <c r="P54">
        <f t="shared" si="28"/>
        <v>0.58157577540937055</v>
      </c>
      <c r="Q54">
        <f t="shared" si="29"/>
        <v>0.70802292174136272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3.7743553623858277E-2</v>
      </c>
      <c r="U54">
        <f t="shared" si="30"/>
        <v>0.73980336889826293</v>
      </c>
      <c r="V54">
        <f t="shared" si="31"/>
        <v>0.84824779042395781</v>
      </c>
      <c r="W54">
        <f t="shared" si="32"/>
        <v>0.47130587344862285</v>
      </c>
      <c r="X54">
        <f t="shared" si="33"/>
        <v>0.59040913129308858</v>
      </c>
      <c r="Y54">
        <f t="shared" si="34"/>
        <v>0.95090752853899252</v>
      </c>
      <c r="Z54">
        <f t="shared" si="35"/>
        <v>0.98586100472029625</v>
      </c>
      <c r="AA54">
        <f t="shared" si="36"/>
        <v>0.77294910859182631</v>
      </c>
      <c r="AB54">
        <f t="shared" si="37"/>
        <v>0.87691383786908528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5.9139398314974737E-2</v>
      </c>
      <c r="AD54">
        <f t="shared" si="45"/>
        <v>1.0325809971512645E-2</v>
      </c>
      <c r="AE54">
        <f t="shared" si="46"/>
        <v>1.783030560317691E-3</v>
      </c>
      <c r="AF54">
        <f t="shared" si="47"/>
        <v>1.6936931084623718E-4</v>
      </c>
      <c r="AG54">
        <f t="shared" si="48"/>
        <v>6.3954182148552038E-5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1.123743915247351E-4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2.4592371610541303E-4</v>
      </c>
      <c r="AJ54">
        <f t="shared" si="49"/>
        <v>4.705797618859666E-6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2.2321310541504479E-6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-2.5384736116345967E-6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8.6557197021773155E-5</v>
      </c>
      <c r="AN54">
        <f t="shared" si="50"/>
        <v>6.3174400312164308E-4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1.4668886320800128E-6</v>
      </c>
      <c r="AP54">
        <f>AM53*T53*p_Stroke*p_Stroke_rec*(1-I53) + AN53*T53*p_Stroke*p_Stroke_rec*(1-I53) + AO53*(p_recur_Stroke*p_Stroke_rec)*(1-I53) + AP53*(p_recur_Stroke*p_Stroke_rec)*(1-I53) + AQ53*(p_recur_Stroke*p_Stroke_rec)*(1-I53)</f>
        <v>9.6312341992838046E-6</v>
      </c>
      <c r="AQ54">
        <f>AO53*(1-p_recur_Stroke-H53*rr_Stroke*rr_HF)*(1-I53) + AP53*(1-p_recur_Stroke-H53*rr_Stroke*rr_HF)*(1-I53) + AQ53*(1-p_recur_Stroke-H53*rr_Stroke*rr_HF)*(1-I53)</f>
        <v>-4.2558336731220647E-6</v>
      </c>
      <c r="AR54">
        <f>AR53*(1-AC53-H53*rr_DM) + AD53*(1-T53-H53)*I53</f>
        <v>7.698528288336017E-3</v>
      </c>
      <c r="AS54">
        <f>AR53*AC53*p_Other + AD53*T53*p_Other*I53 + AE53*(1-T53*p_Stroke-T53*p_MI-H53*rr_Other)*I53 + AS53*(1-AC53*p_Stroke-AC53*p_MI-H53*rr_Other*rr_DM)</f>
        <v>1.8032866096586288E-3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2.1809520995163802E-4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2.9479005423542156E-5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1.4987304933295788E-4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2.9267014029000848E-4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9.6707875261899891E-6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4.003631936349755E-6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-6.4859143855468496E-6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1.1595021925257894E-4</v>
      </c>
      <c r="BB54">
        <f>AM53*(1-T53*p_Stroke - H53*rr_HF)*I53 + AN53*(1-T53*p_Stroke - H53*rr_HF)*I53 + BA53*(1-AC53*p_Stroke - H53*rr_HF*rr_DM) + BB53*(1-AC53*p_Stroke - H53*rr_HF*rr_DM)</f>
        <v>7.1940805951153193E-4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2.6206862562424042E-6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1.8931257462508783E-5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-1.0871600269623097E-5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0.93352483549289844</v>
      </c>
      <c r="BG54">
        <f t="shared" si="51"/>
        <v>0.95799999999999974</v>
      </c>
      <c r="BH54">
        <f>(0.9442 - 0.0007*$B54 - dis_BMI*($C54-21.75))*AD54</f>
        <v>8.6794091354428175E-3</v>
      </c>
      <c r="BI54">
        <f>0.959*(0.9442 - 0.0007*$B54 - dis_BMI*($C54-21.75))*AE54</f>
        <v>1.4372867652848341E-3</v>
      </c>
      <c r="BJ54">
        <f>(0.943*(0.9442 - 0.0007*$B54 - dis_BMI*($C54-21.75)) - 0.19*0.5)*AF54</f>
        <v>1.1815934400344788E-4</v>
      </c>
      <c r="BK54">
        <f>(0.943*(0.9442 - 0.0007*$B54 - dis_BMI*($C54-21.75)))*AG54</f>
        <v>5.0692846082292466E-5</v>
      </c>
      <c r="BL54">
        <f>(0.955*(0.9442 - 0.0007*$B54 - dis_BMI*($C54-21.75)) - 0.15*0.5)*AH54</f>
        <v>8.1778197290146475E-5</v>
      </c>
      <c r="BM54">
        <f>(0.955*(0.9442 - 0.0007*$B54 - dis_BMI*($C54-21.75)))*AI54</f>
        <v>1.9741030380596131E-4</v>
      </c>
      <c r="BN54">
        <f>(0.955*0.943*(0.9442 - 0.0007*$B54 - dis_BMI*($C54-21.75)) - 0.19*0.5)*AJ54</f>
        <v>3.1151167715719323E-6</v>
      </c>
      <c r="BO54">
        <f>(0.955*0.943*(0.9442 - 0.0007*$B54 - dis_BMI*($C54-21.75)) - 0.15*0.5)*AK54</f>
        <v>1.5222558646409778E-6</v>
      </c>
      <c r="BP54">
        <f>(0.955*0.943*(0.9442 - 0.0007*$B54 - dis_BMI*($C54-21.75)))*AL54</f>
        <v>-1.9215591163306133E-6</v>
      </c>
      <c r="BQ54">
        <f>(0.93*(0.9442 - 0.0007*$B54 - dis_BMI*($C54-21.75)))*AM54</f>
        <v>6.7663142711013341E-5</v>
      </c>
      <c r="BR54">
        <f>(0.93*(0.9442 - 0.0007*$B54 - dis_BMI*($C54-21.75)))*AN54</f>
        <v>4.938443724014543E-4</v>
      </c>
      <c r="BS54">
        <f>(0.93*0.943*(0.9442 - 0.0007*$B54 - dis_BMI*($C54-21.75)))*AO54</f>
        <v>1.0813289162239657E-6</v>
      </c>
      <c r="BT54">
        <f>(0.93*0.943*(0.9442 - 0.0007*$B54 - dis_BMI*($C54-21.75))-0.19*0.5)*AP54</f>
        <v>6.1847755746545805E-6</v>
      </c>
      <c r="BU54">
        <f>(0.93*0.943*(0.9442 - 0.0007*$B54 - dis_BMI*($C54-21.75)))*AQ54</f>
        <v>-3.1372224944310041E-6</v>
      </c>
      <c r="BV54">
        <f>0.962*(0.9442 - 0.0007*$B54 - dis_BMI*($C54-21.75))*AR54</f>
        <v>6.2251355792801513E-3</v>
      </c>
      <c r="BW54">
        <f>0.962*0.959*(0.9442 - 0.0007*$B54 - dis_BMI*($C54-21.75))*AS54</f>
        <v>1.3983776354716548E-3</v>
      </c>
      <c r="BX54">
        <f>0.962*(0.943*(0.9442 - 0.0007*$B54 - dis_BMI*($C54-21.75)) - 0.19*0.5)*AT54</f>
        <v>1.4637083489721077E-4</v>
      </c>
      <c r="BY54">
        <f>0.962*(0.943*(0.9442 - 0.0007*$B54 - dis_BMI*($C54-21.75)))*AU54</f>
        <v>2.2478411861180168E-5</v>
      </c>
      <c r="BZ54">
        <f>0.962*(0.955*(0.9442 - 0.0007*$B54 - dis_BMI*($C54-21.75)) - 0.15*0.5)*AV54</f>
        <v>1.0492253991828565E-4</v>
      </c>
      <c r="CA54">
        <f>0.962*(0.955*(0.9442 - 0.0007*$B54 - dis_BMI*($C54-21.75)))*AW54</f>
        <v>2.2600752111274851E-4</v>
      </c>
      <c r="CB54">
        <f>0.962*(0.955*0.943*(0.9442 - 0.0007*$B54 - dis_BMI*($C54-21.75)) - 0.19*0.5)*AX54</f>
        <v>6.158543297557796E-6</v>
      </c>
      <c r="CC54">
        <f>0.962*(0.955*0.943*(0.9442 - 0.0007*$B54 - dis_BMI*($C54-21.75)) - 0.15*0.5)*AY54</f>
        <v>2.626619615663575E-6</v>
      </c>
      <c r="CD54">
        <f>0.962*(0.955*0.943*(0.9442 - 0.0007*$B54 - dis_BMI*($C54-21.75)))*AZ54</f>
        <v>-4.7231026076281041E-6</v>
      </c>
      <c r="CE54">
        <f>0.962*(0.93*(0.9442 - 0.0007*$B54 - dis_BMI*($C54-21.75)))*BA54</f>
        <v>8.7195812197117553E-5</v>
      </c>
      <c r="CF54">
        <f>0.962*(0.93*(0.9442 - 0.0007*$B54 - dis_BMI*($C54-21.75)))*BB54</f>
        <v>5.4100259968991042E-4</v>
      </c>
      <c r="CG54">
        <f>0.962*(0.93*0.943*(0.9442 - 0.0007*$B54 - dis_BMI*($C54-21.75)))*BC54</f>
        <v>1.8584495537670556E-6</v>
      </c>
      <c r="CH54">
        <f>0.962*(0.93*0.943*(0.9442 - 0.0007*$B54 - dis_BMI*($C54-21.75))-0.19*0.5)*BD54</f>
        <v>1.1694900614859496E-5</v>
      </c>
      <c r="CI54">
        <f>0.962*(0.93*0.943*(0.9442 - 0.0007*$B54 - dis_BMI*($C54-21.75)))*BE54</f>
        <v>-7.7095534124654173E-6</v>
      </c>
      <c r="CJ54">
        <f t="shared" si="52"/>
        <v>0</v>
      </c>
      <c r="CK54">
        <f t="shared" si="53"/>
        <v>1.9894485594028306E-2</v>
      </c>
      <c r="CL54">
        <f>CK54/(1+r_)^A54</f>
        <v>4.405896128905947E-3</v>
      </c>
      <c r="CM54">
        <f>AD54*c_SEM</f>
        <v>140.6168801920592</v>
      </c>
      <c r="CN54">
        <f>AE54*(c_Other+c_SEM)</f>
        <v>49.741203541182628</v>
      </c>
      <c r="CO54">
        <f>AF54*(c_Stroke1+c_Stroke2+c_SEM)</f>
        <v>6.3401707822180429</v>
      </c>
      <c r="CP54">
        <f>AG54*(c_Stroke2 + c_SEM)</f>
        <v>1.2866302364645699</v>
      </c>
      <c r="CQ54">
        <f>AH54*(c_MI1+c_MI2 + c_SEM)</f>
        <v>4.8061403511213951</v>
      </c>
      <c r="CR54">
        <f>AI54*(c_MI2+c_SEM)</f>
        <v>4.1155333890240868</v>
      </c>
      <c r="CS54">
        <f>AJ54*(c_Stroke1+c_Stroke2+c_MI2+c_SEM)</f>
        <v>0.1908247992423783</v>
      </c>
      <c r="CT54">
        <f>AK54*(c_Stroke2+c_MI1+c_MI2+c_SEM)</f>
        <v>0.10997486490693842</v>
      </c>
      <c r="CU54">
        <f>AL54*(c_Stroke2+c_MI2+c_SEM)</f>
        <v>-5.8981434366329855E-2</v>
      </c>
      <c r="CV54">
        <f>AM54*(c_HF1+c_SEM)</f>
        <v>3.5183769445410351</v>
      </c>
      <c r="CW54">
        <f>AN54*(c_HF2+c_SEM)</f>
        <v>18.461455003223776</v>
      </c>
      <c r="CX54">
        <f>AO54*(c_Stroke2+c_HF1+c_SEM)</f>
        <v>6.916086522530844E-2</v>
      </c>
      <c r="CY54">
        <f>AP54*(c_Stroke1+c_Stroke2+c_HF2+c_SEM)</f>
        <v>0.5108310306958137</v>
      </c>
      <c r="CZ54">
        <f>AQ54*(c_Stroke2+c_HF2+c_SEM)</f>
        <v>-0.15203114630493952</v>
      </c>
      <c r="DA54">
        <f>AR54*(c_DM+c_SEM)</f>
        <v>192.79424392479888</v>
      </c>
      <c r="DB54">
        <f>AS54*(c_Other+c_DM+c_SEM)</f>
        <v>70.908836064996606</v>
      </c>
      <c r="DC54">
        <f>AT54*(c_Stroke1+c_Stroke2+c_DM+c_SEM)</f>
        <v>10.655913863027083</v>
      </c>
      <c r="DD54">
        <f>AU54*(c_Stroke2+c_DM+c_SEM)</f>
        <v>0.92985626807479027</v>
      </c>
      <c r="DE54">
        <f>AV54*(c_MI1+c_MI2+c_DM+c_SEM)</f>
        <v>8.1222200355503187</v>
      </c>
      <c r="DF54">
        <f>AW54*(c_MI2+c_DM+c_SEM)</f>
        <v>8.2415911505666379</v>
      </c>
      <c r="DG54">
        <f>AX54*(c_Stroke1+c_Stroke2+c_MI2+c_DM+c_SEM)</f>
        <v>0.50264885246125091</v>
      </c>
      <c r="DH54">
        <f>AY54*(c_Stroke2+c_MI1+c_MI2+c_DM+c_SEM)</f>
        <v>0.24299643674481203</v>
      </c>
      <c r="DI54">
        <f>AZ54*(c_Stroke2+c_MI2+c_DM+c_SEM)</f>
        <v>-0.2248017926030538</v>
      </c>
      <c r="DJ54">
        <f>BA54*(c_HF1+c_DM+c_SEM)</f>
        <v>6.0378757671395435</v>
      </c>
      <c r="DK54">
        <f>BB54*(c_HF2+c_DM+c_SEM)</f>
        <v>29.242498803024748</v>
      </c>
      <c r="DL54">
        <f>BC54*(c_Stroke2+c_HF1+c_DM+c_SEM)</f>
        <v>0.15350145608688634</v>
      </c>
      <c r="DM54">
        <f>BD54*(c_Stroke1+c_Stroke2+c_HF2+c_DM+c_SEM)</f>
        <v>1.2203845810631662</v>
      </c>
      <c r="DN54">
        <f>BE54*(c_Stroke2+c_HF2+c_DM+c_SEM)</f>
        <v>-0.51257420951218979</v>
      </c>
      <c r="DO54">
        <f t="shared" si="54"/>
        <v>0</v>
      </c>
      <c r="DP54">
        <f t="shared" si="55"/>
        <v>557.87136062065326</v>
      </c>
      <c r="DQ54">
        <f>DP54/(1+r_)^A54</f>
        <v>123.54796793156696</v>
      </c>
    </row>
    <row r="55" spans="1:121" x14ac:dyDescent="0.3">
      <c r="A55">
        <v>52</v>
      </c>
      <c r="B55">
        <v>97</v>
      </c>
      <c r="C55">
        <f t="shared" si="40"/>
        <v>32.793999999999997</v>
      </c>
      <c r="D55">
        <f t="shared" si="1"/>
        <v>125</v>
      </c>
      <c r="E55">
        <f t="shared" si="42"/>
        <v>5.4</v>
      </c>
      <c r="F55">
        <v>0.25402999999999998</v>
      </c>
      <c r="G55">
        <v>0.29626000000000002</v>
      </c>
      <c r="H55">
        <f t="shared" si="43"/>
        <v>0.26247599999999999</v>
      </c>
      <c r="I55">
        <f t="shared" si="44"/>
        <v>1.9177515277734612E-2</v>
      </c>
      <c r="J55">
        <f t="shared" si="22"/>
        <v>0.47076180480006569</v>
      </c>
      <c r="K55">
        <f t="shared" si="23"/>
        <v>0.58981869996814473</v>
      </c>
      <c r="L55">
        <f t="shared" si="24"/>
        <v>0.26009359339480842</v>
      </c>
      <c r="M55">
        <f t="shared" si="25"/>
        <v>0.34418217290214959</v>
      </c>
      <c r="N55">
        <f t="shared" si="26"/>
        <v>0.83947719501230134</v>
      </c>
      <c r="O55">
        <f t="shared" si="27"/>
        <v>0.92458943151499828</v>
      </c>
      <c r="P55">
        <f t="shared" si="28"/>
        <v>0.59335877717554253</v>
      </c>
      <c r="Q55">
        <f t="shared" si="29"/>
        <v>0.71957286103302409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3.8513387932704687E-2</v>
      </c>
      <c r="U55">
        <f t="shared" si="30"/>
        <v>0.74963145276263754</v>
      </c>
      <c r="V55">
        <f t="shared" si="31"/>
        <v>0.85621415085805452</v>
      </c>
      <c r="W55">
        <f t="shared" si="32"/>
        <v>0.4808553800897043</v>
      </c>
      <c r="X55">
        <f t="shared" si="33"/>
        <v>0.60073265043216317</v>
      </c>
      <c r="Y55">
        <f t="shared" si="34"/>
        <v>0.95552669671711821</v>
      </c>
      <c r="Z55">
        <f t="shared" si="35"/>
        <v>0.98770355952302746</v>
      </c>
      <c r="AA55">
        <f t="shared" si="36"/>
        <v>0.78372142548284074</v>
      </c>
      <c r="AB55">
        <f t="shared" si="37"/>
        <v>0.88508375141156059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6.0042113320796286E-2</v>
      </c>
      <c r="AD55">
        <f t="shared" si="45"/>
        <v>7.2983508621904027E-3</v>
      </c>
      <c r="AE55">
        <f t="shared" si="46"/>
        <v>1.126489864866859E-3</v>
      </c>
      <c r="AF55">
        <f t="shared" si="47"/>
        <v>1.2011799864271326E-4</v>
      </c>
      <c r="AG55">
        <f t="shared" si="48"/>
        <v>2.6407911804303752E-5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8.1277824409545961E-5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1.6005509914453358E-4</v>
      </c>
      <c r="AJ55">
        <f t="shared" si="49"/>
        <v>3.2830684146046756E-6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1.44744883551536E-6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-2.0240205730182675E-6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6.1522823506807367E-5</v>
      </c>
      <c r="AN55">
        <f t="shared" si="50"/>
        <v>3.8858297624768957E-4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9.4017038735403485E-7</v>
      </c>
      <c r="AP55">
        <f>AM54*T54*p_Stroke*p_Stroke_rec*(1-I54) + AN54*T54*p_Stroke*p_Stroke_rec*(1-I54) + AO54*(p_recur_Stroke*p_Stroke_rec)*(1-I54) + AP54*(p_recur_Stroke*p_Stroke_rec)*(1-I54) + AQ54*(p_recur_Stroke*p_Stroke_rec)*(1-I54)</f>
        <v>6.3676242124150834E-6</v>
      </c>
      <c r="AQ55">
        <f>AO54*(1-p_recur_Stroke-H54*rr_Stroke*rr_HF)*(1-I54) + AP54*(1-p_recur_Stroke-H54*rr_Stroke*rr_HF)*(1-I54) + AQ54*(1-p_recur_Stroke-H54*rr_Stroke*rr_HF)*(1-I54)</f>
        <v>-3.3318418084685232E-6</v>
      </c>
      <c r="AR55">
        <f>AR54*(1-AC54-H54*rr_DM) + AD54*(1-T54-H54)*I54</f>
        <v>5.2467181421318706E-3</v>
      </c>
      <c r="AS55">
        <f>AR54*AC54*p_Other + AD54*T54*p_Other*I54 + AE54*(1-T54*p_Stroke-T54*p_MI-H54*rr_Other)*I54 + AS54*(1-AC54*p_Stroke-AC54*p_MI-H54*rr_Other*rr_DM)</f>
        <v>1.0756633941256392E-3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1.4858552848172324E-4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-1.6643294560497931E-7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1.0357333192978888E-4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1.7716234030689954E-4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6.395742853838433E-6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2.4757619037556415E-6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-4.6998864401301047E-6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7.8526243922125445E-5</v>
      </c>
      <c r="BB55">
        <f>AM54*(1-T54*p_Stroke - H54*rr_HF)*I54 + AN54*(1-T54*p_Stroke - H54*rr_HF)*I54 + BA54*(1-AC54*p_Stroke - H54*rr_HF*rr_DM) + BB54*(1-AC54*p_Stroke - H54*rr_HF*rr_DM)</f>
        <v>4.0912637561248632E-4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1.5994745189986108E-6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1.1757199977137147E-5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-7.5727850886467891E-6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0.94148136775842861</v>
      </c>
      <c r="BG55">
        <f t="shared" si="51"/>
        <v>0.95799999999999974</v>
      </c>
      <c r="BH55">
        <f>(0.9442 - 0.0007*$B55 - dis_BMI*($C55-21.75))*AD55</f>
        <v>6.1295550036947494E-3</v>
      </c>
      <c r="BI55">
        <f>0.959*(0.9442 - 0.0007*$B55 - dis_BMI*($C55-21.75))*AE55</f>
        <v>9.0729831543323179E-4</v>
      </c>
      <c r="BJ55">
        <f>(0.943*(0.9442 - 0.0007*$B55 - dis_BMI*($C55-21.75)) - 0.19*0.5)*AF55</f>
        <v>8.3720212225009327E-5</v>
      </c>
      <c r="BK55">
        <f>(0.943*(0.9442 - 0.0007*$B55 - dis_BMI*($C55-21.75)))*AG55</f>
        <v>2.0914619232072364E-5</v>
      </c>
      <c r="BL55">
        <f>(0.955*(0.9442 - 0.0007*$B55 - dis_BMI*($C55-21.75)) - 0.15*0.5)*AH55</f>
        <v>5.9093963439822264E-5</v>
      </c>
      <c r="BM55">
        <f>(0.955*(0.9442 - 0.0007*$B55 - dis_BMI*($C55-21.75)))*AI55</f>
        <v>1.2837400633336688E-4</v>
      </c>
      <c r="BN55">
        <f>(0.955*0.943*(0.9442 - 0.0007*$B55 - dis_BMI*($C55-21.75)) - 0.19*0.5)*AJ55</f>
        <v>2.1712370656064753E-6</v>
      </c>
      <c r="BO55">
        <f>(0.955*0.943*(0.9442 - 0.0007*$B55 - dis_BMI*($C55-21.75)) - 0.15*0.5)*AK55</f>
        <v>9.8621034484366326E-7</v>
      </c>
      <c r="BP55">
        <f>(0.955*0.943*(0.9442 - 0.0007*$B55 - dis_BMI*($C55-21.75)))*AL55</f>
        <v>-1.5308554883106831E-6</v>
      </c>
      <c r="BQ55">
        <f>(0.93*(0.9442 - 0.0007*$B55 - dis_BMI*($C55-21.75)))*AM55</f>
        <v>4.8053321927522856E-5</v>
      </c>
      <c r="BR55">
        <f>(0.93*(0.9442 - 0.0007*$B55 - dis_BMI*($C55-21.75)))*AN55</f>
        <v>3.0350854835391454E-4</v>
      </c>
      <c r="BS55">
        <f>(0.93*0.943*(0.9442 - 0.0007*$B55 - dis_BMI*($C55-21.75)))*AO55</f>
        <v>6.9247710321665027E-7</v>
      </c>
      <c r="BT55">
        <f>(0.93*0.943*(0.9442 - 0.0007*$B55 - dis_BMI*($C55-21.75))-0.19*0.5)*AP55</f>
        <v>4.0851127700106587E-6</v>
      </c>
      <c r="BU55">
        <f>(0.93*0.943*(0.9442 - 0.0007*$B55 - dis_BMI*($C55-21.75)))*AQ55</f>
        <v>-2.4540489627606081E-6</v>
      </c>
      <c r="BV55">
        <f>0.962*(0.9442 - 0.0007*$B55 - dis_BMI*($C55-21.75))*AR55</f>
        <v>4.2390351221117057E-3</v>
      </c>
      <c r="BW55">
        <f>0.962*0.959*(0.9442 - 0.0007*$B55 - dis_BMI*($C55-21.75))*AS55</f>
        <v>8.3343987948505981E-4</v>
      </c>
      <c r="BX55">
        <f>0.962*(0.943*(0.9442 - 0.0007*$B55 - dis_BMI*($C55-21.75)) - 0.19*0.5)*AT55</f>
        <v>9.9626257997222285E-5</v>
      </c>
      <c r="BY55">
        <f>0.962*(0.943*(0.9442 - 0.0007*$B55 - dis_BMI*($C55-21.75)))*AU55</f>
        <v>-1.2680321737611267E-7</v>
      </c>
      <c r="BZ55">
        <f>0.962*(0.955*(0.9442 - 0.0007*$B55 - dis_BMI*($C55-21.75)) - 0.15*0.5)*AV55</f>
        <v>7.2442606614268618E-5</v>
      </c>
      <c r="CA55">
        <f>0.962*(0.955*(0.9442 - 0.0007*$B55 - dis_BMI*($C55-21.75)))*AW55</f>
        <v>1.366954506070715E-4</v>
      </c>
      <c r="CB55">
        <f>0.962*(0.955*0.943*(0.9442 - 0.0007*$B55 - dis_BMI*($C55-21.75)) - 0.19*0.5)*AX55</f>
        <v>4.0690532908036745E-6</v>
      </c>
      <c r="CC55">
        <f>0.962*(0.955*0.943*(0.9442 - 0.0007*$B55 - dis_BMI*($C55-21.75)) - 0.15*0.5)*AY55</f>
        <v>1.6227450029243475E-6</v>
      </c>
      <c r="CD55">
        <f>0.962*(0.955*0.943*(0.9442 - 0.0007*$B55 - dis_BMI*($C55-21.75)))*AZ55</f>
        <v>-3.4196504024852503E-6</v>
      </c>
      <c r="CE55">
        <f>0.962*(0.93*(0.9442 - 0.0007*$B55 - dis_BMI*($C55-21.75)))*BA55</f>
        <v>5.9003402162570712E-5</v>
      </c>
      <c r="CF55">
        <f>0.962*(0.93*(0.9442 - 0.0007*$B55 - dis_BMI*($C55-21.75)))*BB55</f>
        <v>3.0741121528132689E-4</v>
      </c>
      <c r="CG55">
        <f>0.962*(0.93*0.943*(0.9442 - 0.0007*$B55 - dis_BMI*($C55-21.75)))*BC55</f>
        <v>1.1333165941159762E-6</v>
      </c>
      <c r="CH55">
        <f>0.962*(0.93*0.943*(0.9442 - 0.0007*$B55 - dis_BMI*($C55-21.75))-0.19*0.5)*BD55</f>
        <v>7.2561391328608675E-6</v>
      </c>
      <c r="CI55">
        <f>0.962*(0.93*0.943*(0.9442 - 0.0007*$B55 - dis_BMI*($C55-21.75)))*BE55</f>
        <v>-5.3657391241284815E-6</v>
      </c>
      <c r="CJ55">
        <f t="shared" si="52"/>
        <v>0</v>
      </c>
      <c r="CK55">
        <f t="shared" si="53"/>
        <v>1.3437291119008233E-2</v>
      </c>
      <c r="CL55">
        <f>CK55/(1+r_)^A55</f>
        <v>2.8891895913297798E-3</v>
      </c>
      <c r="CM55">
        <f>AD55*c_SEM</f>
        <v>99.388942041308908</v>
      </c>
      <c r="CN55">
        <f>AE55*(c_Other+c_SEM)</f>
        <v>31.425687760190765</v>
      </c>
      <c r="CO55">
        <f>AF55*(c_Stroke1+c_Stroke2+c_SEM)</f>
        <v>4.4964971611913285</v>
      </c>
      <c r="CP55">
        <f>AG55*(c_Stroke2 + c_SEM)</f>
        <v>0.53127436967898289</v>
      </c>
      <c r="CQ55">
        <f>AH55*(c_MI1+c_MI2 + c_SEM)</f>
        <v>3.4761712721718712</v>
      </c>
      <c r="CR55">
        <f>AI55*(c_MI2+c_SEM)</f>
        <v>2.6785220841837694</v>
      </c>
      <c r="CS55">
        <f>AJ55*(c_Stroke1+c_Stroke2+c_MI2+c_SEM)</f>
        <v>0.1331317072806342</v>
      </c>
      <c r="CT55">
        <f>AK55*(c_Stroke2+c_MI1+c_MI2+c_SEM)</f>
        <v>7.1314356677006266E-2</v>
      </c>
      <c r="CU55">
        <f>AL55*(c_Stroke2+c_MI2+c_SEM)</f>
        <v>-4.7028118014079447E-2</v>
      </c>
      <c r="CV55">
        <f>AM55*(c_HF1+c_SEM)</f>
        <v>2.5007797299047061</v>
      </c>
      <c r="CW55">
        <f>AN55*(c_HF2+c_SEM)</f>
        <v>11.355560314886231</v>
      </c>
      <c r="CX55">
        <f>AO55*(c_Stroke2+c_HF1+c_SEM)</f>
        <v>4.4327153422968037E-2</v>
      </c>
      <c r="CY55">
        <f>AP55*(c_Stroke1+c_Stroke2+c_HF2+c_SEM)</f>
        <v>0.33773242060228359</v>
      </c>
      <c r="CZ55">
        <f>AQ55*(c_Stroke2+c_HF2+c_SEM)</f>
        <v>-0.11902338492392106</v>
      </c>
      <c r="DA55">
        <f>AR55*(c_DM+c_SEM)</f>
        <v>131.39356243340845</v>
      </c>
      <c r="DB55">
        <f>AS55*(c_Other+c_DM+c_SEM)</f>
        <v>42.297235983808385</v>
      </c>
      <c r="DC55">
        <f>AT55*(c_Stroke1+c_Stroke2+c_DM+c_SEM)</f>
        <v>7.259740336088516</v>
      </c>
      <c r="DD55">
        <f>AU55*(c_Stroke2+c_DM+c_SEM)</f>
        <v>-5.2497944032178622E-3</v>
      </c>
      <c r="DE55">
        <f>AV55*(c_MI1+c_MI2+c_DM+c_SEM)</f>
        <v>5.6130531506029788</v>
      </c>
      <c r="DF55">
        <f>AW55*(c_MI2+c_DM+c_SEM)</f>
        <v>4.9888915030422911</v>
      </c>
      <c r="DG55">
        <f>AX55*(c_Stroke1+c_Stroke2+c_MI2+c_DM+c_SEM)</f>
        <v>0.3324251305711064</v>
      </c>
      <c r="DH55">
        <f>AY55*(c_Stroke2+c_MI1+c_MI2+c_DM+c_SEM)</f>
        <v>0.15026389298654491</v>
      </c>
      <c r="DI55">
        <f>AZ55*(c_Stroke2+c_MI2+c_DM+c_SEM)</f>
        <v>-0.16289806401490942</v>
      </c>
      <c r="DJ55">
        <f>BA55*(c_HF1+c_DM+c_SEM)</f>
        <v>4.0890970997568381</v>
      </c>
      <c r="DK55">
        <f>BB55*(c_HF2+c_DM+c_SEM)</f>
        <v>16.630168915896345</v>
      </c>
      <c r="DL55">
        <f>BC55*(c_Stroke2+c_HF1+c_DM+c_SEM)</f>
        <v>9.368602100130563E-2</v>
      </c>
      <c r="DM55">
        <f>BD55*(c_Stroke1+c_Stroke2+c_HF2+c_DM+c_SEM)</f>
        <v>0.75791613932616908</v>
      </c>
      <c r="DN55">
        <f>BE55*(c_Stroke2+c_HF2+c_DM+c_SEM)</f>
        <v>-0.35704167135951881</v>
      </c>
      <c r="DO55">
        <f t="shared" si="54"/>
        <v>0</v>
      </c>
      <c r="DP55">
        <f t="shared" si="55"/>
        <v>369.35473994527268</v>
      </c>
      <c r="DQ55">
        <f>DP55/(1+r_)^A55</f>
        <v>79.415996922820383</v>
      </c>
    </row>
    <row r="56" spans="1:121" x14ac:dyDescent="0.3">
      <c r="A56">
        <v>53</v>
      </c>
      <c r="B56">
        <v>98</v>
      </c>
      <c r="C56">
        <f t="shared" si="40"/>
        <v>32.793999999999997</v>
      </c>
      <c r="D56">
        <f t="shared" si="1"/>
        <v>125</v>
      </c>
      <c r="E56">
        <f t="shared" si="42"/>
        <v>5.4</v>
      </c>
      <c r="F56">
        <v>0.27543000000000001</v>
      </c>
      <c r="G56">
        <v>0.31792999999999999</v>
      </c>
      <c r="H56">
        <f t="shared" si="43"/>
        <v>0.28393000000000002</v>
      </c>
      <c r="I56">
        <f t="shared" si="44"/>
        <v>1.9177515277734612E-2</v>
      </c>
      <c r="J56">
        <f t="shared" si="22"/>
        <v>0.48020748117945411</v>
      </c>
      <c r="K56">
        <f t="shared" si="23"/>
        <v>0.60003462439156174</v>
      </c>
      <c r="L56">
        <f t="shared" si="24"/>
        <v>0.26637476451113651</v>
      </c>
      <c r="M56">
        <f t="shared" si="25"/>
        <v>0.35196589545279888</v>
      </c>
      <c r="N56">
        <f t="shared" si="26"/>
        <v>0.84872699358578063</v>
      </c>
      <c r="O56">
        <f t="shared" si="27"/>
        <v>0.93065550355747229</v>
      </c>
      <c r="P56">
        <f t="shared" si="28"/>
        <v>0.60505848538419049</v>
      </c>
      <c r="Q56">
        <f t="shared" si="29"/>
        <v>0.73090520454642149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3.9282729685523612E-2</v>
      </c>
      <c r="U56">
        <f t="shared" si="30"/>
        <v>0.75925430798799809</v>
      </c>
      <c r="V56">
        <f t="shared" si="31"/>
        <v>0.86389375903441845</v>
      </c>
      <c r="W56">
        <f t="shared" si="32"/>
        <v>0.4903987085365783</v>
      </c>
      <c r="X56">
        <f t="shared" si="33"/>
        <v>0.61097378785961698</v>
      </c>
      <c r="Y56">
        <f t="shared" si="34"/>
        <v>0.95979882246340353</v>
      </c>
      <c r="Z56">
        <f t="shared" si="35"/>
        <v>0.98933883044827897</v>
      </c>
      <c r="AA56">
        <f t="shared" si="36"/>
        <v>0.79420306728496159</v>
      </c>
      <c r="AB56">
        <f t="shared" si="37"/>
        <v>0.89287353651130819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6.0933276372027487E-2</v>
      </c>
      <c r="AD56">
        <f t="shared" si="45"/>
        <v>5.0037882175735194E-3</v>
      </c>
      <c r="AE56">
        <f t="shared" si="46"/>
        <v>6.8635751521870284E-4</v>
      </c>
      <c r="AF56">
        <f t="shared" si="47"/>
        <v>8.3207226686128383E-5</v>
      </c>
      <c r="AG56">
        <f t="shared" si="48"/>
        <v>7.1825150128416806E-6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5.7085263337281953E-5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9.9967482641051054E-5</v>
      </c>
      <c r="AJ56">
        <f t="shared" si="49"/>
        <v>2.2220765816626194E-6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9.2219033621727721E-7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-1.5188221101719048E-6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4.2400875364047403E-5</v>
      </c>
      <c r="AN56">
        <f t="shared" si="50"/>
        <v>2.2666841137565388E-4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5.9142725510947418E-7</v>
      </c>
      <c r="AP56">
        <f>AM55*T55*p_Stroke*p_Stroke_rec*(1-I55) + AN55*T55*p_Stroke*p_Stroke_rec*(1-I55) + AO55*(p_recur_Stroke*p_Stroke_rec)*(1-I55) + AP55*(p_recur_Stroke*p_Stroke_rec)*(1-I55) + AQ55*(p_recur_Stroke*p_Stroke_rec)*(1-I55)</f>
        <v>4.0282891388922309E-6</v>
      </c>
      <c r="AQ56">
        <f>AO55*(1-p_recur_Stroke-H55*rr_Stroke*rr_HF)*(1-I55) + AP55*(1-p_recur_Stroke-H55*rr_Stroke*rr_HF)*(1-I55) + AQ55*(1-p_recur_Stroke-H55*rr_Stroke*rr_HF)*(1-I55)</f>
        <v>-2.3991788788453178E-6</v>
      </c>
      <c r="AR56">
        <f>AR55*(1-AC55-H55*rr_DM) + AD55*(1-T55-H55)*I55</f>
        <v>3.4458223528324432E-3</v>
      </c>
      <c r="AS56">
        <f>AR55*AC55*p_Other + AD55*T55*p_Other*I55 + AE55*(1-T55*p_Stroke-T55*p_MI-H55*rr_Other)*I55 + AS55*(1-AC55*p_Stroke-AC55*p_MI-H55*rr_Other*rr_DM)</f>
        <v>6.1637953864881643E-4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9.8337671915404071E-5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-1.1435010723403104E-5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6.9130533622836061E-5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1.0166390043394826E-4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4.0707155580130855E-6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1.4978260054748506E-6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-3.2287278309273249E-6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5.1244725160121444E-5</v>
      </c>
      <c r="BB56">
        <f>AM55*(1-T55*p_Stroke - H55*rr_HF)*I55 + AN55*(1-T55*p_Stroke - H55*rr_HF)*I55 + BA55*(1-AC55*p_Stroke - H55*rr_HF*rr_DM) + BB55*(1-AC55*p_Stroke - H55*rr_HF*rr_DM)</f>
        <v>2.1745227122080504E-4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9.5355258797340807E-7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6.9128876640430814E-6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-4.9025076130697037E-6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0.94719559678098519</v>
      </c>
      <c r="BG56">
        <f t="shared" si="51"/>
        <v>0.95799999999999974</v>
      </c>
      <c r="BH56">
        <f>(0.9442 - 0.0007*$B56 - dis_BMI*($C56-21.75))*AD56</f>
        <v>4.1989529009602636E-3</v>
      </c>
      <c r="BI56">
        <f>0.959*(0.9442 - 0.0007*$B56 - dis_BMI*($C56-21.75))*AE56</f>
        <v>5.5234583507196176E-4</v>
      </c>
      <c r="BJ56">
        <f>(0.943*(0.9442 - 0.0007*$B56 - dis_BMI*($C56-21.75)) - 0.19*0.5)*AF56</f>
        <v>5.7939103744074429E-5</v>
      </c>
      <c r="BK56">
        <f>(0.943*(0.9442 - 0.0007*$B56 - dis_BMI*($C56-21.75)))*AG56</f>
        <v>5.6836891579995631E-6</v>
      </c>
      <c r="BL56">
        <f>(0.955*(0.9442 - 0.0007*$B56 - dis_BMI*($C56-21.75)) - 0.15*0.5)*AH56</f>
        <v>4.146632621520454E-5</v>
      </c>
      <c r="BM56">
        <f>(0.955*(0.9442 - 0.0007*$B56 - dis_BMI*($C56-21.75)))*AI56</f>
        <v>8.0113224221557713E-5</v>
      </c>
      <c r="BN56">
        <f>(0.955*0.943*(0.9442 - 0.0007*$B56 - dis_BMI*($C56-21.75)) - 0.19*0.5)*AJ56</f>
        <v>1.4681558676845029E-6</v>
      </c>
      <c r="BO56">
        <f>(0.955*0.943*(0.9442 - 0.0007*$B56 - dis_BMI*($C56-21.75)) - 0.15*0.5)*AK56</f>
        <v>6.27747358371652E-7</v>
      </c>
      <c r="BP56">
        <f>(0.955*0.943*(0.9442 - 0.0007*$B56 - dis_BMI*($C56-21.75)))*AL56</f>
        <v>-1.1477942853654093E-6</v>
      </c>
      <c r="BQ56">
        <f>(0.93*(0.9442 - 0.0007*$B56 - dis_BMI*($C56-21.75)))*AM56</f>
        <v>3.3090235219926182E-5</v>
      </c>
      <c r="BR56">
        <f>(0.93*(0.9442 - 0.0007*$B56 - dis_BMI*($C56-21.75)))*AN56</f>
        <v>1.7689519343525676E-4</v>
      </c>
      <c r="BS56">
        <f>(0.93*0.943*(0.9442 - 0.0007*$B56 - dis_BMI*($C56-21.75)))*AO56</f>
        <v>4.352492775286995E-7</v>
      </c>
      <c r="BT56">
        <f>(0.93*0.943*(0.9442 - 0.0007*$B56 - dis_BMI*($C56-21.75))-0.19*0.5)*AP56</f>
        <v>2.5818528404100722E-6</v>
      </c>
      <c r="BU56">
        <f>(0.93*0.943*(0.9442 - 0.0007*$B56 - dis_BMI*($C56-21.75)))*AQ56</f>
        <v>-1.7656285953312197E-6</v>
      </c>
      <c r="BV56">
        <f>0.962*(0.9442 - 0.0007*$B56 - dis_BMI*($C56-21.75))*AR56</f>
        <v>2.781698389368226E-3</v>
      </c>
      <c r="BW56">
        <f>0.962*0.959*(0.9442 - 0.0007*$B56 - dis_BMI*($C56-21.75))*AS56</f>
        <v>4.7718191501703379E-4</v>
      </c>
      <c r="BX56">
        <f>0.962*(0.943*(0.9442 - 0.0007*$B56 - dis_BMI*($C56-21.75)) - 0.19*0.5)*AT56</f>
        <v>6.5872738745166394E-5</v>
      </c>
      <c r="BY56">
        <f>0.962*(0.943*(0.9442 - 0.0007*$B56 - dis_BMI*($C56-21.75)))*AU56</f>
        <v>-8.7049328254185091E-6</v>
      </c>
      <c r="BZ56">
        <f>0.962*(0.955*(0.9442 - 0.0007*$B56 - dis_BMI*($C56-21.75)) - 0.15*0.5)*AV56</f>
        <v>4.8307719113323661E-5</v>
      </c>
      <c r="CA56">
        <f>0.962*(0.955*(0.9442 - 0.0007*$B56 - dis_BMI*($C56-21.75)))*AW56</f>
        <v>7.8376757875453919E-5</v>
      </c>
      <c r="CB56">
        <f>0.962*(0.955*0.943*(0.9442 - 0.0007*$B56 - dis_BMI*($C56-21.75)) - 0.19*0.5)*AX56</f>
        <v>2.5873725830129462E-6</v>
      </c>
      <c r="CC56">
        <f>0.962*(0.955*0.943*(0.9442 - 0.0007*$B56 - dis_BMI*($C56-21.75)) - 0.15*0.5)*AY56</f>
        <v>9.8084586513284826E-7</v>
      </c>
      <c r="CD56">
        <f>0.962*(0.955*0.943*(0.9442 - 0.0007*$B56 - dis_BMI*($C56-21.75)))*AZ56</f>
        <v>-2.347273288975403E-6</v>
      </c>
      <c r="CE56">
        <f>0.962*(0.93*(0.9442 - 0.0007*$B56 - dis_BMI*($C56-21.75)))*BA56</f>
        <v>3.8472399330641478E-5</v>
      </c>
      <c r="CF56">
        <f>0.962*(0.93*(0.9442 - 0.0007*$B56 - dis_BMI*($C56-21.75)))*BB56</f>
        <v>1.632540829835908E-4</v>
      </c>
      <c r="CG56">
        <f>0.962*(0.93*0.943*(0.9442 - 0.0007*$B56 - dis_BMI*($C56-21.75)))*BC56</f>
        <v>6.7508187135728749E-7</v>
      </c>
      <c r="CH56">
        <f>0.962*(0.93*0.943*(0.9442 - 0.0007*$B56 - dis_BMI*($C56-21.75))-0.19*0.5)*BD56</f>
        <v>4.2623138086942078E-6</v>
      </c>
      <c r="CI56">
        <f>0.962*(0.93*0.943*(0.9442 - 0.0007*$B56 - dis_BMI*($C56-21.75)))*BE56</f>
        <v>-3.4708038712456828E-6</v>
      </c>
      <c r="CJ56">
        <f t="shared" si="52"/>
        <v>0</v>
      </c>
      <c r="CK56">
        <f t="shared" si="53"/>
        <v>8.795832697065532E-3</v>
      </c>
      <c r="CL56">
        <f>CK56/(1+r_)^A56</f>
        <v>1.8361326395768152E-3</v>
      </c>
      <c r="CM56">
        <f>AD56*c_SEM</f>
        <v>68.141587946916189</v>
      </c>
      <c r="CN56">
        <f>AE56*(c_Other+c_SEM)</f>
        <v>19.147315602056153</v>
      </c>
      <c r="CO56">
        <f>AF56*(c_Stroke1+c_Stroke2+c_SEM)</f>
        <v>3.1147793237685297</v>
      </c>
      <c r="CP56">
        <f>AG56*(c_Stroke2 + c_SEM)</f>
        <v>0.14449783702834892</v>
      </c>
      <c r="CQ56">
        <f>AH56*(c_MI1+c_MI2 + c_SEM)</f>
        <v>2.4414796276722117</v>
      </c>
      <c r="CR56">
        <f>AI56*(c_MI2+c_SEM)</f>
        <v>1.6729558219979894</v>
      </c>
      <c r="CS56">
        <f>AJ56*(c_Stroke1+c_Stroke2+c_MI2+c_SEM)</f>
        <v>9.0107427463000878E-2</v>
      </c>
      <c r="CT56">
        <f>AK56*(c_Stroke2+c_MI1+c_MI2+c_SEM)</f>
        <v>4.543539567508903E-2</v>
      </c>
      <c r="CU56">
        <f>AL56*(c_Stroke2+c_MI2+c_SEM)</f>
        <v>-3.5289831729844207E-2</v>
      </c>
      <c r="CV56">
        <f>AM56*(c_HF1+c_SEM)</f>
        <v>1.7235107817977988</v>
      </c>
      <c r="CW56">
        <f>AN56*(c_HF2+c_SEM)</f>
        <v>6.6239309856307331</v>
      </c>
      <c r="CX56">
        <f>AO56*(c_Stroke2+c_HF1+c_SEM)</f>
        <v>2.7884612223901487E-2</v>
      </c>
      <c r="CY56">
        <f>AP56*(c_Stroke1+c_Stroke2+c_HF2+c_SEM)</f>
        <v>0.21365642763770504</v>
      </c>
      <c r="CZ56">
        <f>AQ56*(c_Stroke2+c_HF2+c_SEM)</f>
        <v>-8.5705867088991292E-2</v>
      </c>
      <c r="DA56">
        <f>AR56*(c_DM+c_SEM)</f>
        <v>86.293729181982883</v>
      </c>
      <c r="DB56">
        <f>AS56*(c_Other+c_DM+c_SEM)</f>
        <v>24.237276218748761</v>
      </c>
      <c r="DC56">
        <f>AT56*(c_Stroke1+c_Stroke2+c_DM+c_SEM)</f>
        <v>4.8046803121147272</v>
      </c>
      <c r="DD56">
        <f>AU56*(c_Stroke2+c_DM+c_SEM)</f>
        <v>-0.36069454324830408</v>
      </c>
      <c r="DE56">
        <f>AV56*(c_MI1+c_MI2+c_DM+c_SEM)</f>
        <v>3.7464601391559773</v>
      </c>
      <c r="DF56">
        <f>AW56*(c_MI2+c_DM+c_SEM)</f>
        <v>2.862855436219983</v>
      </c>
      <c r="DG56">
        <f>AX56*(c_Stroke1+c_Stroke2+c_MI2+c_DM+c_SEM)</f>
        <v>0.21157951184328813</v>
      </c>
      <c r="DH56">
        <f>AY56*(c_Stroke2+c_MI1+c_MI2+c_DM+c_SEM)</f>
        <v>9.0909051576290575E-2</v>
      </c>
      <c r="DI56">
        <f>AZ56*(c_Stroke2+c_MI2+c_DM+c_SEM)</f>
        <v>-0.11190770661994108</v>
      </c>
      <c r="DJ56">
        <f>BA56*(c_HF1+c_DM+c_SEM)</f>
        <v>2.6684665732630037</v>
      </c>
      <c r="DK56">
        <f>BB56*(c_HF2+c_DM+c_SEM)</f>
        <v>8.8389999205832837</v>
      </c>
      <c r="DL56">
        <f>BC56*(c_Stroke2+c_HF1+c_DM+c_SEM)</f>
        <v>5.5852435735366433E-2</v>
      </c>
      <c r="DM56">
        <f>BD56*(c_Stroke1+c_Stroke2+c_HF2+c_DM+c_SEM)</f>
        <v>0.44563239037487318</v>
      </c>
      <c r="DN56">
        <f>BE56*(c_Stroke2+c_HF2+c_DM+c_SEM)</f>
        <v>-0.23114342894101039</v>
      </c>
      <c r="DO56">
        <f t="shared" si="54"/>
        <v>0</v>
      </c>
      <c r="DP56">
        <f t="shared" si="55"/>
        <v>236.81884158383801</v>
      </c>
      <c r="DQ56">
        <f>DP56/(1+r_)^A56</f>
        <v>49.436002215449655</v>
      </c>
    </row>
    <row r="57" spans="1:121" x14ac:dyDescent="0.3">
      <c r="A57">
        <v>54</v>
      </c>
      <c r="B57">
        <v>99</v>
      </c>
      <c r="C57">
        <f t="shared" si="40"/>
        <v>32.793999999999997</v>
      </c>
      <c r="D57">
        <f t="shared" si="1"/>
        <v>125</v>
      </c>
      <c r="E57">
        <f t="shared" si="42"/>
        <v>5.4</v>
      </c>
      <c r="F57">
        <v>0.29732999999999998</v>
      </c>
      <c r="G57">
        <v>0.33972999999999998</v>
      </c>
      <c r="H57">
        <f t="shared" si="43"/>
        <v>0.30580999999999997</v>
      </c>
      <c r="I57">
        <f t="shared" si="44"/>
        <v>1.9177515277734612E-2</v>
      </c>
      <c r="J57">
        <f t="shared" si="22"/>
        <v>0.48964743574655212</v>
      </c>
      <c r="K57">
        <f t="shared" si="23"/>
        <v>0.61017034573530493</v>
      </c>
      <c r="L57">
        <f t="shared" si="24"/>
        <v>0.27271247532479259</v>
      </c>
      <c r="M57">
        <f t="shared" si="25"/>
        <v>0.35979267714931162</v>
      </c>
      <c r="N57">
        <f t="shared" si="26"/>
        <v>0.85762807561467114</v>
      </c>
      <c r="O57">
        <f t="shared" si="27"/>
        <v>0.93635006091100703</v>
      </c>
      <c r="P57">
        <f t="shared" si="28"/>
        <v>0.61666556168079156</v>
      </c>
      <c r="Q57">
        <f t="shared" si="29"/>
        <v>0.74201164844691214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4.0051257242832317E-2</v>
      </c>
      <c r="U57">
        <f t="shared" si="30"/>
        <v>0.76866800007174296</v>
      </c>
      <c r="V57">
        <f t="shared" si="31"/>
        <v>0.87128842915642668</v>
      </c>
      <c r="W57">
        <f t="shared" si="32"/>
        <v>0.49993101390895245</v>
      </c>
      <c r="X57">
        <f t="shared" si="33"/>
        <v>0.62112670406777937</v>
      </c>
      <c r="Y57">
        <f t="shared" si="34"/>
        <v>0.96374046720056417</v>
      </c>
      <c r="Z57">
        <f t="shared" si="35"/>
        <v>0.99078533538339975</v>
      </c>
      <c r="AA57">
        <f t="shared" si="36"/>
        <v>0.80438864061656568</v>
      </c>
      <c r="AB57">
        <f t="shared" si="37"/>
        <v>0.90028794369945531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6.1812577000441557E-2</v>
      </c>
      <c r="AD57">
        <f t="shared" si="45"/>
        <v>3.3215555102742095E-3</v>
      </c>
      <c r="AE57">
        <f t="shared" si="46"/>
        <v>4.0416432379735312E-4</v>
      </c>
      <c r="AF57">
        <f t="shared" si="47"/>
        <v>5.6178375764320575E-5</v>
      </c>
      <c r="AG57">
        <f t="shared" si="48"/>
        <v>-1.5375749683101821E-6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3.8889678994895546E-5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5.9807224001033019E-5</v>
      </c>
      <c r="AJ57">
        <f t="shared" si="49"/>
        <v>1.4564301367085126E-6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5.7657733186327178E-7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-1.0813114267893406E-6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2.8308597339249828E-5</v>
      </c>
      <c r="AN57">
        <f t="shared" si="50"/>
        <v>1.2514901079675346E-4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3.6453986959152113E-7</v>
      </c>
      <c r="AP57">
        <f>AM56*T56*p_Stroke*p_Stroke_rec*(1-I56) + AN56*T56*p_Stroke*p_Stroke_rec*(1-I56) + AO56*(p_recur_Stroke*p_Stroke_rec)*(1-I56) + AP56*(p_recur_Stroke*p_Stroke_rec)*(1-I56) + AQ56*(p_recur_Stroke*p_Stroke_rec)*(1-I56)</f>
        <v>2.4341188865356385E-6</v>
      </c>
      <c r="AQ57">
        <f>AO56*(1-p_recur_Stroke-H56*rr_Stroke*rr_HF)*(1-I56) + AP56*(1-p_recur_Stroke-H56*rr_Stroke*rr_HF)*(1-I56) + AQ56*(1-p_recur_Stroke-H56*rr_Stroke*rr_HF)*(1-I56)</f>
        <v>-1.6061002508191815E-6</v>
      </c>
      <c r="AR57">
        <f>AR56*(1-AC56-H56*rr_DM) + AD56*(1-T56-H56)*I56</f>
        <v>2.175673574071833E-3</v>
      </c>
      <c r="AS57">
        <f>AR56*AC56*p_Other + AD56*T56*p_Other*I56 + AE56*(1-T56*p_Stroke-T56*p_MI-H56*rr_Other)*I56 + AS56*(1-AC56*p_Stroke-AC56*p_MI-H56*rr_Other*rr_DM)</f>
        <v>3.4046784520227504E-4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6.3068404595676528E-5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-1.3535723807566817E-5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4.451675337674729E-5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5.5137779821034642E-5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2.4889271003315038E-6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8.8387005727303952E-7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-2.1009314687915996E-6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3.2202802639633605E-5</v>
      </c>
      <c r="BB57">
        <f>AM56*(1-T56*p_Stroke - H56*rr_HF)*I56 + AN56*(1-T56*p_Stroke - H56*rr_HF)*I56 + BA56*(1-AC56*p_Stroke - H56*rr_HF*rr_DM) + BB56*(1-AC56*p_Stroke - H56*rr_HF*rr_DM)</f>
        <v>1.0770092279349712E-4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5.5298740916452429E-7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3.8392509251967772E-6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-2.9362083467934398E-6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0.95115738034508368</v>
      </c>
      <c r="BG57">
        <f t="shared" si="51"/>
        <v>0.95799999999999974</v>
      </c>
      <c r="BH57">
        <f>(0.9442 - 0.0007*$B57 - dis_BMI*($C57-21.75))*AD57</f>
        <v>2.7849741610558604E-3</v>
      </c>
      <c r="BI57">
        <f>0.959*(0.9442 - 0.0007*$B57 - dis_BMI*($C57-21.75))*AE57</f>
        <v>3.249797030683025E-4</v>
      </c>
      <c r="BJ57">
        <f>(0.943*(0.9442 - 0.0007*$B57 - dis_BMI*($C57-21.75)) - 0.19*0.5)*AF57</f>
        <v>3.9081210475687301E-5</v>
      </c>
      <c r="BK57">
        <f>(0.943*(0.9442 - 0.0007*$B57 - dis_BMI*($C57-21.75)))*AG57</f>
        <v>-1.2157034471247675E-6</v>
      </c>
      <c r="BL57">
        <f>(0.955*(0.9442 - 0.0007*$B57 - dis_BMI*($C57-21.75)) - 0.15*0.5)*AH57</f>
        <v>2.822318638804436E-5</v>
      </c>
      <c r="BM57">
        <f>(0.955*(0.9442 - 0.0007*$B57 - dis_BMI*($C57-21.75)))*AI57</f>
        <v>4.788909960661598E-5</v>
      </c>
      <c r="BN57">
        <f>(0.955*0.943*(0.9442 - 0.0007*$B57 - dis_BMI*($C57-21.75)) - 0.19*0.5)*AJ57</f>
        <v>9.6136484232583723E-7</v>
      </c>
      <c r="BO57">
        <f>(0.955*0.943*(0.9442 - 0.0007*$B57 - dis_BMI*($C57-21.75)) - 0.15*0.5)*AK57</f>
        <v>3.9212046866279417E-7</v>
      </c>
      <c r="BP57">
        <f>(0.955*0.943*(0.9442 - 0.0007*$B57 - dis_BMI*($C57-21.75)))*AL57</f>
        <v>-8.1647992685492291E-7</v>
      </c>
      <c r="BQ57">
        <f>(0.93*(0.9442 - 0.0007*$B57 - dis_BMI*($C57-21.75)))*AM57</f>
        <v>2.2073995767935962E-5</v>
      </c>
      <c r="BR57">
        <f>(0.93*(0.9442 - 0.0007*$B57 - dis_BMI*($C57-21.75)))*AN57</f>
        <v>9.7586563600544487E-5</v>
      </c>
      <c r="BS57">
        <f>(0.93*0.943*(0.9442 - 0.0007*$B57 - dis_BMI*($C57-21.75)))*AO57</f>
        <v>2.6805217192395308E-7</v>
      </c>
      <c r="BT57">
        <f>(0.93*0.943*(0.9442 - 0.0007*$B57 - dis_BMI*($C57-21.75))-0.19*0.5)*AP57</f>
        <v>1.5586064252839992E-6</v>
      </c>
      <c r="BU57">
        <f>(0.93*0.943*(0.9442 - 0.0007*$B57 - dis_BMI*($C57-21.75)))*AQ57</f>
        <v>-1.1809919750124937E-6</v>
      </c>
      <c r="BV57">
        <f>0.962*(0.9442 - 0.0007*$B57 - dis_BMI*($C57-21.75))*AR57</f>
        <v>1.7548842012599639E-3</v>
      </c>
      <c r="BW57">
        <f>0.962*0.959*(0.9442 - 0.0007*$B57 - dis_BMI*($C57-21.75))*AS57</f>
        <v>2.6335977145884809E-4</v>
      </c>
      <c r="BX57">
        <f>0.962*(0.943*(0.9442 - 0.0007*$B57 - dis_BMI*($C57-21.75)) - 0.19*0.5)*AT57</f>
        <v>4.2207122536449796E-5</v>
      </c>
      <c r="BY57">
        <f>0.962*(0.943*(0.9442 - 0.0007*$B57 - dis_BMI*($C57-21.75)))*AU57</f>
        <v>-1.0295510935692564E-5</v>
      </c>
      <c r="BZ57">
        <f>0.962*(0.955*(0.9442 - 0.0007*$B57 - dis_BMI*($C57-21.75)) - 0.15*0.5)*AV57</f>
        <v>3.1079229330727258E-5</v>
      </c>
      <c r="CA57">
        <f>0.962*(0.955*(0.9442 - 0.0007*$B57 - dis_BMI*($C57-21.75)))*AW57</f>
        <v>4.247245586847001E-5</v>
      </c>
      <c r="CB57">
        <f>0.962*(0.955*0.943*(0.9442 - 0.0007*$B57 - dis_BMI*($C57-21.75)) - 0.19*0.5)*AX57</f>
        <v>1.5804684378590963E-6</v>
      </c>
      <c r="CC57">
        <f>0.962*(0.955*0.943*(0.9442 - 0.0007*$B57 - dis_BMI*($C57-21.75)) - 0.15*0.5)*AY57</f>
        <v>5.7826305008531468E-7</v>
      </c>
      <c r="CD57">
        <f>0.962*(0.955*0.943*(0.9442 - 0.0007*$B57 - dis_BMI*($C57-21.75)))*AZ57</f>
        <v>-1.5260953809867977E-6</v>
      </c>
      <c r="CE57">
        <f>0.962*(0.93*(0.9442 - 0.0007*$B57 - dis_BMI*($C57-21.75)))*BA57</f>
        <v>2.4156351827642992E-5</v>
      </c>
      <c r="CF57">
        <f>0.962*(0.93*(0.9442 - 0.0007*$B57 - dis_BMI*($C57-21.75)))*BB57</f>
        <v>8.0789905533238768E-5</v>
      </c>
      <c r="CG57">
        <f>0.962*(0.93*0.943*(0.9442 - 0.0007*$B57 - dis_BMI*($C57-21.75)))*BC57</f>
        <v>3.9116916386170621E-7</v>
      </c>
      <c r="CH57">
        <f>0.962*(0.93*0.943*(0.9442 - 0.0007*$B57 - dis_BMI*($C57-21.75))-0.19*0.5)*BD57</f>
        <v>2.3649188657301692E-6</v>
      </c>
      <c r="CI57">
        <f>0.962*(0.93*0.943*(0.9442 - 0.0007*$B57 - dis_BMI*($C57-21.75)))*BE57</f>
        <v>-2.0769987614622808E-6</v>
      </c>
      <c r="CJ57">
        <f t="shared" si="52"/>
        <v>0</v>
      </c>
      <c r="CK57">
        <f t="shared" si="53"/>
        <v>5.5747401407769308E-3</v>
      </c>
      <c r="CL57">
        <f>CK57/(1+r_)^A57</f>
        <v>1.1298336208486433E-3</v>
      </c>
      <c r="CM57">
        <f>AD57*c_SEM</f>
        <v>45.232942938914185</v>
      </c>
      <c r="CN57">
        <f>AE57*(c_Other+c_SEM)</f>
        <v>11.274972140974761</v>
      </c>
      <c r="CO57">
        <f>AF57*(c_Stroke1+c_Stroke2+c_SEM)</f>
        <v>2.1029813183615764</v>
      </c>
      <c r="CP57">
        <f>AG57*(c_Stroke2 + c_SEM)</f>
        <v>-3.0932933212464243E-2</v>
      </c>
      <c r="CQ57">
        <f>AH57*(c_MI1+c_MI2 + c_SEM)</f>
        <v>1.6632726809326877</v>
      </c>
      <c r="CR57">
        <f>AI57*(c_MI2+c_SEM)</f>
        <v>1.0008738936572876</v>
      </c>
      <c r="CS57">
        <f>AJ57*(c_Stroke1+c_Stroke2+c_MI2+c_SEM)</f>
        <v>5.9059698473666891E-2</v>
      </c>
      <c r="CT57">
        <f>AK57*(c_Stroke2+c_MI1+c_MI2+c_SEM)</f>
        <v>2.8407388563571539E-2</v>
      </c>
      <c r="CU57">
        <f>AL57*(c_Stroke2+c_MI2+c_SEM)</f>
        <v>-2.5124271001450326E-2</v>
      </c>
      <c r="CV57">
        <f>AM57*(c_HF1+c_SEM)</f>
        <v>1.150687864645827</v>
      </c>
      <c r="CW57">
        <f>AN57*(c_HF2+c_SEM)</f>
        <v>3.6572295425135262</v>
      </c>
      <c r="CX57">
        <f>AO57*(c_Stroke2+c_HF1+c_SEM)</f>
        <v>1.7187325771501036E-2</v>
      </c>
      <c r="CY57">
        <f>AP57*(c_Stroke1+c_Stroke2+c_HF2+c_SEM)</f>
        <v>0.12910323162296372</v>
      </c>
      <c r="CZ57">
        <f>AQ57*(c_Stroke2+c_HF2+c_SEM)</f>
        <v>-5.7374719260013619E-2</v>
      </c>
      <c r="DA57">
        <f>AR57*(c_DM+c_SEM)</f>
        <v>54.485393315480913</v>
      </c>
      <c r="DB57">
        <f>AS57*(c_Other+c_DM+c_SEM)</f>
        <v>13.387876609043859</v>
      </c>
      <c r="DC57">
        <f>AT57*(c_Stroke1+c_Stroke2+c_DM+c_SEM)</f>
        <v>3.0814591801401594</v>
      </c>
      <c r="DD57">
        <f>AU57*(c_Stroke2+c_DM+c_SEM)</f>
        <v>-0.42695733606208008</v>
      </c>
      <c r="DE57">
        <f>AV57*(c_MI1+c_MI2+c_DM+c_SEM)</f>
        <v>2.4125409324994425</v>
      </c>
      <c r="DF57">
        <f>AW57*(c_MI2+c_DM+c_SEM)</f>
        <v>1.5526798797603356</v>
      </c>
      <c r="DG57">
        <f>AX57*(c_Stroke1+c_Stroke2+c_MI2+c_DM+c_SEM)</f>
        <v>0.12936447496683023</v>
      </c>
      <c r="DH57">
        <f>AY57*(c_Stroke2+c_MI1+c_MI2+c_DM+c_SEM)</f>
        <v>5.3645609256129857E-2</v>
      </c>
      <c r="DI57">
        <f>AZ57*(c_Stroke2+c_MI2+c_DM+c_SEM)</f>
        <v>-7.2818284708316847E-2</v>
      </c>
      <c r="DJ57">
        <f>BA57*(c_HF1+c_DM+c_SEM)</f>
        <v>1.6768965418536408</v>
      </c>
      <c r="DK57">
        <f>BB57*(c_HF2+c_DM+c_SEM)</f>
        <v>4.3778271097100712</v>
      </c>
      <c r="DL57">
        <f>BC57*(c_Stroke2+c_HF1+c_DM+c_SEM)</f>
        <v>3.239013151699368E-2</v>
      </c>
      <c r="DM57">
        <f>BD57*(c_Stroke1+c_Stroke2+c_HF2+c_DM+c_SEM)</f>
        <v>0.24749347164188504</v>
      </c>
      <c r="DN57">
        <f>BE57*(c_Stroke2+c_HF2+c_DM+c_SEM)</f>
        <v>-0.13843635113461711</v>
      </c>
      <c r="DO57">
        <f t="shared" si="54"/>
        <v>0</v>
      </c>
      <c r="DP57">
        <f t="shared" si="55"/>
        <v>147.00264138492287</v>
      </c>
      <c r="DQ57">
        <f>DP57/(1+r_)^A57</f>
        <v>29.793052661840285</v>
      </c>
    </row>
    <row r="58" spans="1:121" x14ac:dyDescent="0.3">
      <c r="A58">
        <v>55</v>
      </c>
      <c r="B58">
        <v>100</v>
      </c>
      <c r="C58">
        <f t="shared" si="40"/>
        <v>32.793999999999997</v>
      </c>
      <c r="D58">
        <f t="shared" si="1"/>
        <v>125</v>
      </c>
      <c r="E58">
        <f t="shared" si="42"/>
        <v>5.4</v>
      </c>
      <c r="F58">
        <v>0.31955</v>
      </c>
      <c r="G58">
        <v>0.36148000000000002</v>
      </c>
      <c r="H58">
        <f t="shared" si="43"/>
        <v>0.32793600000000001</v>
      </c>
      <c r="I58">
        <f t="shared" si="44"/>
        <v>1.9177515277734612E-2</v>
      </c>
      <c r="J58">
        <f t="shared" si="22"/>
        <v>0.49907697847380572</v>
      </c>
      <c r="K58">
        <f t="shared" si="23"/>
        <v>0.62022020188278359</v>
      </c>
      <c r="L58">
        <f t="shared" si="24"/>
        <v>0.27910513129810899</v>
      </c>
      <c r="M58">
        <f t="shared" si="25"/>
        <v>0.3676596897916582</v>
      </c>
      <c r="N58">
        <f t="shared" si="26"/>
        <v>0.86618059105378276</v>
      </c>
      <c r="O58">
        <f t="shared" si="27"/>
        <v>0.94168487979908178</v>
      </c>
      <c r="P58">
        <f t="shared" si="28"/>
        <v>0.62817086787145404</v>
      </c>
      <c r="Q58">
        <f t="shared" si="29"/>
        <v>0.75288449122452705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4.0818656336479062E-2</v>
      </c>
      <c r="U58">
        <f t="shared" si="30"/>
        <v>0.77786902768189092</v>
      </c>
      <c r="V58">
        <f t="shared" si="31"/>
        <v>0.87840052598862195</v>
      </c>
      <c r="W58">
        <f t="shared" si="32"/>
        <v>0.5094474799169979</v>
      </c>
      <c r="X58">
        <f t="shared" si="33"/>
        <v>0.63118572492359548</v>
      </c>
      <c r="Y58">
        <f t="shared" si="34"/>
        <v>0.96736836653245006</v>
      </c>
      <c r="Z58">
        <f t="shared" si="35"/>
        <v>0.99206059218668718</v>
      </c>
      <c r="AA58">
        <f t="shared" si="36"/>
        <v>0.81427358497664859</v>
      </c>
      <c r="AB58">
        <f t="shared" si="37"/>
        <v>0.907332679932769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6.2679728949774069E-2</v>
      </c>
      <c r="AD58">
        <f t="shared" si="45"/>
        <v>2.1310900429589779E-3</v>
      </c>
      <c r="AE58">
        <f t="shared" si="46"/>
        <v>2.3070187531054335E-4</v>
      </c>
      <c r="AF58">
        <f t="shared" si="47"/>
        <v>3.6886032820513714E-5</v>
      </c>
      <c r="AG58">
        <f t="shared" si="48"/>
        <v>-4.6088081659649591E-6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2.5670523603980875E-5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3.4221078270088832E-5</v>
      </c>
      <c r="AJ58">
        <f t="shared" si="49"/>
        <v>9.2345250999263433E-7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3.5298651459812103E-7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-7.3411031242196928E-7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1.8296018946828965E-5</v>
      </c>
      <c r="AN58">
        <f t="shared" si="50"/>
        <v>6.5355579640602647E-5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2.1976820654201463E-7</v>
      </c>
      <c r="AP58">
        <f>AM57*T57*p_Stroke*p_Stroke_rec*(1-I57) + AN57*T57*p_Stroke*p_Stroke_rec*(1-I57) + AO57*(p_recur_Stroke*p_Stroke_rec)*(1-I57) + AP57*(p_recur_Stroke*p_Stroke_rec)*(1-I57) + AQ57*(p_recur_Stroke*p_Stroke_rec)*(1-I57)</f>
        <v>1.4047222520569364E-6</v>
      </c>
      <c r="AQ58">
        <f>AO57*(1-p_recur_Stroke-H57*rr_Stroke*rr_HF)*(1-I57) + AP57*(1-p_recur_Stroke-H57*rr_Stroke*rr_HF)*(1-I57) + AQ57*(1-p_recur_Stroke-H57*rr_Stroke*rr_HF)*(1-I57)</f>
        <v>-1.0083615789905647E-6</v>
      </c>
      <c r="AR58">
        <f>AR57*(1-AC57-H57*rr_DM) + AD57*(1-T57-H57)*I57</f>
        <v>1.3177135402366851E-3</v>
      </c>
      <c r="AS58">
        <f>AR57*AC57*p_Other + AD57*T57*p_Other*I57 + AE57*(1-T57*p_Stroke-T57*p_MI-H57*rr_Other)*I57 + AS57*(1-AC57*p_Stroke-AC57*p_MI-H57*rr_Other*rr_DM)</f>
        <v>1.819756359925161E-4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3.909959709383315E-5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-1.1698684941200974E-5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2.7625658206382926E-5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2.8176382855172345E-5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1.4619053438726728E-6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5.0752602937267405E-7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-1.3031424191597649E-6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1.9479115465811281E-5</v>
      </c>
      <c r="BB58">
        <f>AM57*(1-T57*p_Stroke - H57*rr_HF)*I57 + AN57*(1-T57*p_Stroke - H57*rr_HF)*I57 + BA57*(1-AC57*p_Stroke - H57*rr_HF*rr_DM) + BB57*(1-AC57*p_Stroke - H57*rr_HF*rr_DM)</f>
        <v>4.9645768391091779E-5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3.1182434200404143E-7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2.0180880729259096E-6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-1.6554038013604743E-6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0.95380787138815448</v>
      </c>
      <c r="BG58">
        <f t="shared" si="51"/>
        <v>0.95799999999999974</v>
      </c>
      <c r="BH58">
        <f>(0.9442 - 0.0007*$B58 - dis_BMI*($C58-21.75))*AD58</f>
        <v>1.7853309127210902E-3</v>
      </c>
      <c r="BI58">
        <f>0.959*(0.9442 - 0.0007*$B58 - dis_BMI*($C58-21.75))*AE58</f>
        <v>1.8534746767058242E-4</v>
      </c>
      <c r="BJ58">
        <f>(0.943*(0.9442 - 0.0007*$B58 - dis_BMI*($C58-21.75)) - 0.19*0.5)*AF58</f>
        <v>2.5635895220638557E-5</v>
      </c>
      <c r="BK58">
        <f>(0.943*(0.9442 - 0.0007*$B58 - dis_BMI*($C58-21.75)))*AG58</f>
        <v>-3.6409712470073098E-6</v>
      </c>
      <c r="BL58">
        <f>(0.955*(0.9442 - 0.0007*$B58 - dis_BMI*($C58-21.75)) - 0.15*0.5)*AH58</f>
        <v>1.8612562900901042E-5</v>
      </c>
      <c r="BM58">
        <f>(0.955*(0.9442 - 0.0007*$B58 - dis_BMI*($C58-21.75)))*AI58</f>
        <v>2.7378773315755203E-5</v>
      </c>
      <c r="BN58">
        <f>(0.955*0.943*(0.9442 - 0.0007*$B58 - dis_BMI*($C58-21.75)) - 0.19*0.5)*AJ58</f>
        <v>6.0897320621388176E-7</v>
      </c>
      <c r="BO58">
        <f>(0.955*0.943*(0.9442 - 0.0007*$B58 - dis_BMI*($C58-21.75)) - 0.15*0.5)*AK58</f>
        <v>2.3983762327402333E-7</v>
      </c>
      <c r="BP58">
        <f>(0.955*0.943*(0.9442 - 0.0007*$B58 - dis_BMI*($C58-21.75)))*AL58</f>
        <v>-5.5385147167235193E-7</v>
      </c>
      <c r="BQ58">
        <f>(0.93*(0.9442 - 0.0007*$B58 - dis_BMI*($C58-21.75)))*AM58</f>
        <v>1.425464725504513E-5</v>
      </c>
      <c r="BR58">
        <f>(0.93*(0.9442 - 0.0007*$B58 - dis_BMI*($C58-21.75)))*AN58</f>
        <v>5.0919314012148354E-5</v>
      </c>
      <c r="BS58">
        <f>(0.93*0.943*(0.9442 - 0.0007*$B58 - dis_BMI*($C58-21.75)))*AO58</f>
        <v>1.6146426879935541E-7</v>
      </c>
      <c r="BT58">
        <f>(0.93*0.943*(0.9442 - 0.0007*$B58 - dis_BMI*($C58-21.75))-0.19*0.5)*AP58</f>
        <v>8.986044517067228E-7</v>
      </c>
      <c r="BU58">
        <f>(0.93*0.943*(0.9442 - 0.0007*$B58 - dis_BMI*($C58-21.75)))*AQ58</f>
        <v>-7.4084585572639975E-7</v>
      </c>
      <c r="BV58">
        <f>0.962*(0.9442 - 0.0007*$B58 - dis_BMI*($C58-21.75))*AR58</f>
        <v>1.0619718513106618E-3</v>
      </c>
      <c r="BW58">
        <f>0.962*0.959*(0.9442 - 0.0007*$B58 - dis_BMI*($C58-21.75))*AS58</f>
        <v>1.4064485509508701E-4</v>
      </c>
      <c r="BX58">
        <f>0.962*(0.943*(0.9442 - 0.0007*$B58 - dis_BMI*($C58-21.75)) - 0.19*0.5)*AT58</f>
        <v>2.6141704051954668E-5</v>
      </c>
      <c r="BY58">
        <f>0.962*(0.943*(0.9442 - 0.0007*$B58 - dis_BMI*($C58-21.75)))*AU58</f>
        <v>-8.8907978275940915E-6</v>
      </c>
      <c r="BZ58">
        <f>0.962*(0.955*(0.9442 - 0.0007*$B58 - dis_BMI*($C58-21.75)) - 0.15*0.5)*AV58</f>
        <v>1.9268999153904059E-5</v>
      </c>
      <c r="CA58">
        <f>0.962*(0.955*(0.9442 - 0.0007*$B58 - dis_BMI*($C58-21.75)))*AW58</f>
        <v>2.1686057663894881E-5</v>
      </c>
      <c r="CB58">
        <f>0.962*(0.955*0.943*(0.9442 - 0.0007*$B58 - dis_BMI*($C58-21.75)) - 0.19*0.5)*AX58</f>
        <v>9.2742317570557559E-7</v>
      </c>
      <c r="CC58">
        <f>0.962*(0.955*0.943*(0.9442 - 0.0007*$B58 - dis_BMI*($C58-21.75)) - 0.15*0.5)*AY58</f>
        <v>3.3173598990220104E-7</v>
      </c>
      <c r="CD58">
        <f>0.962*(0.955*0.943*(0.9442 - 0.0007*$B58 - dis_BMI*($C58-21.75)))*AZ58</f>
        <v>-9.4579920173971745E-7</v>
      </c>
      <c r="CE58">
        <f>0.962*(0.93*(0.9442 - 0.0007*$B58 - dis_BMI*($C58-21.75)))*BA58</f>
        <v>1.4599708255064065E-5</v>
      </c>
      <c r="CF58">
        <f>0.962*(0.93*(0.9442 - 0.0007*$B58 - dis_BMI*($C58-21.75)))*BB58</f>
        <v>3.7209786855084679E-5</v>
      </c>
      <c r="CG58">
        <f>0.962*(0.93*0.943*(0.9442 - 0.0007*$B58 - dis_BMI*($C58-21.75)))*BC58</f>
        <v>2.2039241954678787E-7</v>
      </c>
      <c r="CH58">
        <f>0.962*(0.93*0.943*(0.9442 - 0.0007*$B58 - dis_BMI*($C58-21.75))-0.19*0.5)*BD58</f>
        <v>1.2419190573188057E-6</v>
      </c>
      <c r="CI58">
        <f>0.962*(0.93*0.943*(0.9442 - 0.0007*$B58 - dis_BMI*($C58-21.75)))*BE58</f>
        <v>-1.1700127282047038E-6</v>
      </c>
      <c r="CJ58">
        <f t="shared" si="52"/>
        <v>0</v>
      </c>
      <c r="CK58">
        <f t="shared" si="53"/>
        <v>3.4176906073423354E-3</v>
      </c>
      <c r="CL58">
        <f>CK58/(1+r_)^A58</f>
        <v>6.7248931149993443E-4</v>
      </c>
      <c r="CM58">
        <f>AD58*c_SEM</f>
        <v>29.021184205015363</v>
      </c>
      <c r="CN58">
        <f>AE58*(c_Other+c_SEM)</f>
        <v>6.4358902155382278</v>
      </c>
      <c r="CO58">
        <f>AF58*(c_Stroke1+c_Stroke2+c_SEM)</f>
        <v>1.3807917526031104</v>
      </c>
      <c r="CP58">
        <f>AG58*(c_Stroke2 + c_SEM)</f>
        <v>-9.2720002682883051E-2</v>
      </c>
      <c r="CQ58">
        <f>AH58*(c_MI1+c_MI2 + c_SEM)</f>
        <v>1.097902624018658</v>
      </c>
      <c r="CR58">
        <f>AI58*(c_MI2+c_SEM)</f>
        <v>0.57268974484993662</v>
      </c>
      <c r="CS58">
        <f>AJ58*(c_Stroke1+c_Stroke2+c_MI2+c_SEM)</f>
        <v>3.7446922732711316E-2</v>
      </c>
      <c r="CT58">
        <f>AK58*(c_Stroke2+c_MI1+c_MI2+c_SEM)</f>
        <v>1.7391292587734825E-2</v>
      </c>
      <c r="CU58">
        <f>AL58*(c_Stroke2+c_MI2+c_SEM)</f>
        <v>-1.7057053109124455E-2</v>
      </c>
      <c r="CV58">
        <f>AM58*(c_HF1+c_SEM)</f>
        <v>0.74369657815070378</v>
      </c>
      <c r="CW58">
        <f>AN58*(c_HF2+c_SEM)</f>
        <v>1.9098861038373312</v>
      </c>
      <c r="CX58">
        <f>AO58*(c_Stroke2+c_HF1+c_SEM)</f>
        <v>1.0361631402042906E-2</v>
      </c>
      <c r="CY58">
        <f>AP58*(c_Stroke1+c_Stroke2+c_HF2+c_SEM)</f>
        <v>7.4505063526847853E-2</v>
      </c>
      <c r="CZ58">
        <f>AQ58*(c_Stroke2+c_HF2+c_SEM)</f>
        <v>-3.6021700686279946E-2</v>
      </c>
      <c r="DA58">
        <f>AR58*(c_DM+c_SEM)</f>
        <v>32.999500188147309</v>
      </c>
      <c r="DB58">
        <f>AS58*(c_Other+c_DM+c_SEM)</f>
        <v>7.1556459584977183</v>
      </c>
      <c r="DC58">
        <f>AT58*(c_Stroke1+c_Stroke2+c_DM+c_SEM)</f>
        <v>1.9103672144075938</v>
      </c>
      <c r="DD58">
        <f>AU58*(c_Stroke2+c_DM+c_SEM)</f>
        <v>-0.36901161910030233</v>
      </c>
      <c r="DE58">
        <f>AV58*(c_MI1+c_MI2+c_DM+c_SEM)</f>
        <v>1.4971449208367162</v>
      </c>
      <c r="DF58">
        <f>AW58*(c_MI2+c_DM+c_SEM)</f>
        <v>0.79344694120165327</v>
      </c>
      <c r="DG58">
        <f>AX58*(c_Stroke1+c_Stroke2+c_MI2+c_DM+c_SEM)</f>
        <v>7.598399215312604E-2</v>
      </c>
      <c r="DH58">
        <f>AY58*(c_Stroke2+c_MI1+c_MI2+c_DM+c_SEM)</f>
        <v>3.0803784826745079E-2</v>
      </c>
      <c r="DI58">
        <f>AZ58*(c_Stroke2+c_MI2+c_DM+c_SEM)</f>
        <v>-4.5166916248077449E-2</v>
      </c>
      <c r="DJ58">
        <f>BA58*(c_HF1+c_DM+c_SEM)</f>
        <v>1.0143359796511908</v>
      </c>
      <c r="DK58">
        <f>BB58*(c_HF2+c_DM+c_SEM)</f>
        <v>2.0180011935610986</v>
      </c>
      <c r="DL58">
        <f>BC58*(c_Stroke2+c_HF1+c_DM+c_SEM)</f>
        <v>1.8264487184202718E-2</v>
      </c>
      <c r="DM58">
        <f>BD58*(c_Stroke1+c_Stroke2+c_HF2+c_DM+c_SEM)</f>
        <v>0.13009402953309585</v>
      </c>
      <c r="DN58">
        <f>BE58*(c_Stroke2+c_HF2+c_DM+c_SEM)</f>
        <v>-7.8048978426543639E-2</v>
      </c>
      <c r="DO58">
        <f t="shared" si="54"/>
        <v>0</v>
      </c>
      <c r="DP58">
        <f t="shared" si="55"/>
        <v>88.307308554009921</v>
      </c>
      <c r="DQ58">
        <f>DP58/(1+r_)^A58</f>
        <v>17.375979265741062</v>
      </c>
    </row>
    <row r="59" spans="1:121" x14ac:dyDescent="0.3">
      <c r="A59">
        <v>56</v>
      </c>
      <c r="B59">
        <v>101</v>
      </c>
      <c r="C59">
        <f t="shared" si="40"/>
        <v>32.793999999999997</v>
      </c>
      <c r="D59">
        <f t="shared" si="1"/>
        <v>125</v>
      </c>
      <c r="E59">
        <f t="shared" si="42"/>
        <v>5.4</v>
      </c>
      <c r="F59">
        <v>0.34189000000000003</v>
      </c>
      <c r="G59">
        <v>0.38297999999999999</v>
      </c>
      <c r="H59">
        <f t="shared" si="43"/>
        <v>0.35010800000000003</v>
      </c>
      <c r="I59">
        <f t="shared" si="44"/>
        <v>1.9177515277734612E-2</v>
      </c>
      <c r="J59">
        <f t="shared" si="22"/>
        <v>0.50849144622446896</v>
      </c>
      <c r="K59">
        <f t="shared" si="23"/>
        <v>0.63017868836040514</v>
      </c>
      <c r="L59">
        <f t="shared" si="24"/>
        <v>0.28555110349206603</v>
      </c>
      <c r="M59">
        <f t="shared" si="25"/>
        <v>0.37556407498813282</v>
      </c>
      <c r="N59">
        <f t="shared" si="26"/>
        <v>0.87438563614954479</v>
      </c>
      <c r="O59">
        <f t="shared" si="27"/>
        <v>0.94667234134856948</v>
      </c>
      <c r="P59">
        <f t="shared" si="28"/>
        <v>0.63956548681908021</v>
      </c>
      <c r="Q59">
        <f t="shared" si="29"/>
        <v>0.76351664933485253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4.1584620368307845E-2</v>
      </c>
      <c r="U59">
        <f t="shared" si="30"/>
        <v>0.78685432218572404</v>
      </c>
      <c r="V59">
        <f t="shared" si="31"/>
        <v>0.88523293841207518</v>
      </c>
      <c r="W59">
        <f t="shared" si="32"/>
        <v>0.51894332511693908</v>
      </c>
      <c r="X59">
        <f t="shared" si="33"/>
        <v>0.64114534995279704</v>
      </c>
      <c r="Y59">
        <f t="shared" si="34"/>
        <v>0.97069931798590203</v>
      </c>
      <c r="Z59">
        <f t="shared" si="35"/>
        <v>0.99318108596409982</v>
      </c>
      <c r="AA59">
        <f t="shared" si="36"/>
        <v>0.82385417174663167</v>
      </c>
      <c r="AB59">
        <f t="shared" si="37"/>
        <v>0.91401434540920468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6.3534469803685434E-2</v>
      </c>
      <c r="AD59">
        <f t="shared" si="45"/>
        <v>1.3194422931106405E-3</v>
      </c>
      <c r="AE59">
        <f t="shared" si="46"/>
        <v>1.2805856147030651E-4</v>
      </c>
      <c r="AF59">
        <f t="shared" si="47"/>
        <v>2.3503194319598801E-5</v>
      </c>
      <c r="AG59">
        <f t="shared" si="48"/>
        <v>-4.9203149211949806E-6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1.64012281643943E-5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1.8702184572537665E-5</v>
      </c>
      <c r="AJ59">
        <f t="shared" si="49"/>
        <v>5.6610179546128993E-7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2.1105896485534947E-7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-4.7654100914339898E-7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1.144105150391758E-5</v>
      </c>
      <c r="AN59">
        <f t="shared" si="50"/>
        <v>3.2307643819232939E-5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1.2930855403792413E-7</v>
      </c>
      <c r="AP59">
        <f>AM58*T58*p_Stroke*p_Stroke_rec*(1-I58) + AN58*T58*p_Stroke*p_Stroke_rec*(1-I58) + AO58*(p_recur_Stroke*p_Stroke_rec)*(1-I58) + AP58*(p_recur_Stroke*p_Stroke_rec)*(1-I58) + AQ58*(p_recur_Stroke*p_Stroke_rec)*(1-I58)</f>
        <v>7.7537796641204037E-7</v>
      </c>
      <c r="AQ59">
        <f>AO58*(1-p_recur_Stroke-H58*rr_Stroke*rr_HF)*(1-I58) + AP58*(1-p_recur_Stroke-H58*rr_Stroke*rr_HF)*(1-I58) + AQ58*(1-p_recur_Stroke-H58*rr_Stroke*rr_HF)*(1-I58)</f>
        <v>-5.9713395096891769E-7</v>
      </c>
      <c r="AR59">
        <f>AR58*(1-AC58-H58*rr_DM) + AD58*(1-T58-H58)*I58</f>
        <v>7.6397342247539358E-4</v>
      </c>
      <c r="AS59">
        <f>AR58*AC58*p_Other + AD58*T58*p_Other*I58 + AE58*(1-T58*p_Stroke-T58*p_MI-H58*rr_Other)*I58 + AS58*(1-AC58*p_Stroke-AC58*p_MI-H58*rr_Other*rr_DM)</f>
        <v>9.438052510191532E-5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2.3375030020139541E-5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-8.7054386923152342E-6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1.6500035843007684E-5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1.3513971504048707E-5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8.2473117714334459E-7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2.8267286013470129E-7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-7.6831455799280995E-7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1.1338272375692742E-5</v>
      </c>
      <c r="BB59">
        <f>AM58*(1-T58*p_Stroke - H58*rr_HF)*I58 + AN58*(1-T58*p_Stroke - H58*rr_HF)*I58 + BA58*(1-AC58*p_Stroke - H58*rr_HF*rr_DM) + BB58*(1-AC58*p_Stroke - H58*rr_HF*rr_DM)</f>
        <v>2.1314801006823302E-5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1.7032584254054437E-7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1.0064317686767931E-6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-8.6718052632588345E-7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0.95551811669944076</v>
      </c>
      <c r="BG59">
        <f t="shared" si="51"/>
        <v>0.95799999999999974</v>
      </c>
      <c r="BH59">
        <f>(0.9442 - 0.0007*$B59 - dis_BMI*($C59-21.75))*AD59</f>
        <v>1.1044455047712687E-3</v>
      </c>
      <c r="BI59">
        <f>0.959*(0.9442 - 0.0007*$B59 - dis_BMI*($C59-21.75))*AE59</f>
        <v>1.0279716018386271E-4</v>
      </c>
      <c r="BJ59">
        <f>(0.943*(0.9442 - 0.0007*$B59 - dis_BMI*($C59-21.75)) - 0.19*0.5)*AF59</f>
        <v>1.6319270847819508E-5</v>
      </c>
      <c r="BK59">
        <f>(0.943*(0.9442 - 0.0007*$B59 - dis_BMI*($C59-21.75)))*AG59</f>
        <v>-3.8838145486269008E-6</v>
      </c>
      <c r="BL59">
        <f>(0.955*(0.9442 - 0.0007*$B59 - dis_BMI*($C59-21.75)) - 0.15*0.5)*AH59</f>
        <v>1.1880841944331302E-5</v>
      </c>
      <c r="BM59">
        <f>(0.955*(0.9442 - 0.0007*$B59 - dis_BMI*($C59-21.75)))*AI59</f>
        <v>1.4950289465416815E-5</v>
      </c>
      <c r="BN59">
        <f>(0.955*0.943*(0.9442 - 0.0007*$B59 - dis_BMI*($C59-21.75)) - 0.19*0.5)*AJ59</f>
        <v>3.7296046198994578E-7</v>
      </c>
      <c r="BO59">
        <f>(0.955*0.943*(0.9442 - 0.0007*$B59 - dis_BMI*($C59-21.75)) - 0.15*0.5)*AK59</f>
        <v>1.4327152266411282E-7</v>
      </c>
      <c r="BP59">
        <f>(0.955*0.943*(0.9442 - 0.0007*$B59 - dis_BMI*($C59-21.75)))*AL59</f>
        <v>-3.5922721857088511E-7</v>
      </c>
      <c r="BQ59">
        <f>(0.93*(0.9442 - 0.0007*$B59 - dis_BMI*($C59-21.75)))*AM59</f>
        <v>8.9064119829133307E-6</v>
      </c>
      <c r="BR59">
        <f>(0.93*(0.9442 - 0.0007*$B59 - dis_BMI*($C59-21.75)))*AN59</f>
        <v>2.5150239552088718E-5</v>
      </c>
      <c r="BS59">
        <f>(0.93*0.943*(0.9442 - 0.0007*$B59 - dis_BMI*($C59-21.75)))*AO59</f>
        <v>9.4923946916909446E-8</v>
      </c>
      <c r="BT59">
        <f>(0.93*0.943*(0.9442 - 0.0007*$B59 - dis_BMI*($C59-21.75))-0.19*0.5)*AP59</f>
        <v>4.9553528807407669E-7</v>
      </c>
      <c r="BU59">
        <f>(0.93*0.943*(0.9442 - 0.0007*$B59 - dis_BMI*($C59-21.75)))*AQ59</f>
        <v>-4.3834927925521408E-7</v>
      </c>
      <c r="BV59">
        <f>0.962*(0.9442 - 0.0007*$B59 - dis_BMI*($C59-21.75))*AR59</f>
        <v>6.151870907819488E-4</v>
      </c>
      <c r="BW59">
        <f>0.962*0.959*(0.9442 - 0.0007*$B59 - dis_BMI*($C59-21.75))*AS59</f>
        <v>7.2883624113890763E-5</v>
      </c>
      <c r="BX59">
        <f>0.962*(0.943*(0.9442 - 0.0007*$B59 - dis_BMI*($C59-21.75)) - 0.19*0.5)*AT59</f>
        <v>1.56135302307197E-5</v>
      </c>
      <c r="BY59">
        <f>0.962*(0.943*(0.9442 - 0.0007*$B59 - dis_BMI*($C59-21.75)))*AU59</f>
        <v>-6.6104544541163508E-6</v>
      </c>
      <c r="BZ59">
        <f>0.962*(0.955*(0.9442 - 0.0007*$B59 - dis_BMI*($C59-21.75)) - 0.15*0.5)*AV59</f>
        <v>1.149822513016239E-5</v>
      </c>
      <c r="CA59">
        <f>0.962*(0.955*(0.9442 - 0.0007*$B59 - dis_BMI*($C59-21.75)))*AW59</f>
        <v>1.0392387541583276E-5</v>
      </c>
      <c r="CB59">
        <f>0.962*(0.955*0.943*(0.9442 - 0.0007*$B59 - dis_BMI*($C59-21.75)) - 0.19*0.5)*AX59</f>
        <v>5.2270390700963878E-7</v>
      </c>
      <c r="CC59">
        <f>0.962*(0.955*0.943*(0.9442 - 0.0007*$B59 - dis_BMI*($C59-21.75)) - 0.15*0.5)*AY59</f>
        <v>1.8459301272846584E-7</v>
      </c>
      <c r="CD59">
        <f>0.962*(0.955*0.943*(0.9442 - 0.0007*$B59 - dis_BMI*($C59-21.75)))*AZ59</f>
        <v>-5.5716405408559256E-7</v>
      </c>
      <c r="CE59">
        <f>0.962*(0.93*(0.9442 - 0.0007*$B59 - dis_BMI*($C59-21.75)))*BA59</f>
        <v>8.4909991508166416E-6</v>
      </c>
      <c r="CF59">
        <f>0.962*(0.93*(0.9442 - 0.0007*$B59 - dis_BMI*($C59-21.75)))*BB59</f>
        <v>1.5962216398748727E-5</v>
      </c>
      <c r="CG59">
        <f>0.962*(0.93*0.943*(0.9442 - 0.0007*$B59 - dis_BMI*($C59-21.75)))*BC59</f>
        <v>1.2028297203269949E-7</v>
      </c>
      <c r="CH59">
        <f>0.962*(0.93*0.943*(0.9442 - 0.0007*$B59 - dis_BMI*($C59-21.75))-0.19*0.5)*BD59</f>
        <v>6.1875759159670794E-7</v>
      </c>
      <c r="CI59">
        <f>0.962*(0.93*0.943*(0.9442 - 0.0007*$B59 - dis_BMI*($C59-21.75)))*BE59</f>
        <v>-6.1239709394379555E-7</v>
      </c>
      <c r="CJ59">
        <f t="shared" si="52"/>
        <v>0</v>
      </c>
      <c r="CK59">
        <f t="shared" si="53"/>
        <v>2.0245694141499855E-3</v>
      </c>
      <c r="CL59">
        <f>CK59/(1+r_)^A59</f>
        <v>3.867658210916477E-4</v>
      </c>
      <c r="CM59">
        <f>AD59*c_SEM</f>
        <v>17.968165147580702</v>
      </c>
      <c r="CN59">
        <f>AE59*(c_Other+c_SEM)</f>
        <v>3.5724496893371409</v>
      </c>
      <c r="CO59">
        <f>AF59*(c_Stroke1+c_Stroke2+c_SEM)</f>
        <v>0.87981857615986159</v>
      </c>
      <c r="CP59">
        <f>AG59*(c_Stroke2 + c_SEM)</f>
        <v>-9.8986895584600623E-2</v>
      </c>
      <c r="CQ59">
        <f>AH59*(c_MI1+c_MI2 + c_SEM)</f>
        <v>0.70146412736297981</v>
      </c>
      <c r="CR59">
        <f>AI59*(c_MI2+c_SEM)</f>
        <v>0.3129810588214178</v>
      </c>
      <c r="CS59">
        <f>AJ59*(c_Stroke1+c_Stroke2+c_MI2+c_SEM)</f>
        <v>2.2955993907750768E-2</v>
      </c>
      <c r="CT59">
        <f>AK59*(c_Stroke2+c_MI1+c_MI2+c_SEM)</f>
        <v>1.0398664139458213E-2</v>
      </c>
      <c r="CU59">
        <f>AL59*(c_Stroke2+c_MI2+c_SEM)</f>
        <v>-1.1072430347446876E-2</v>
      </c>
      <c r="CV59">
        <f>AM59*(c_HF1+c_SEM)</f>
        <v>0.46505586153124179</v>
      </c>
      <c r="CW59">
        <f>AN59*(c_HF2+c_SEM)</f>
        <v>0.94412627532944415</v>
      </c>
      <c r="CX59">
        <f>AO59*(c_Stroke2+c_HF1+c_SEM)</f>
        <v>6.0966397057800473E-3</v>
      </c>
      <c r="CY59">
        <f>AP59*(c_Stroke1+c_Stroke2+c_HF2+c_SEM)</f>
        <v>4.112527196052821E-2</v>
      </c>
      <c r="CZ59">
        <f>AQ59*(c_Stroke2+c_HF2+c_SEM)</f>
        <v>-2.1331416130462647E-2</v>
      </c>
      <c r="DA59">
        <f>AR59*(c_DM+c_SEM)</f>
        <v>19.13218641905128</v>
      </c>
      <c r="DB59">
        <f>AS59*(c_Other+c_DM+c_SEM)</f>
        <v>3.7112310080575144</v>
      </c>
      <c r="DC59">
        <f>AT59*(c_Stroke1+c_Stroke2+c_DM+c_SEM)</f>
        <v>1.1420805917539978</v>
      </c>
      <c r="DD59">
        <f>AU59*(c_Stroke2+c_DM+c_SEM)</f>
        <v>-0.27459565267169944</v>
      </c>
      <c r="DE59">
        <f>AV59*(c_MI1+c_MI2+c_DM+c_SEM)</f>
        <v>0.89420294247595844</v>
      </c>
      <c r="DF59">
        <f>AW59*(c_MI2+c_DM+c_SEM)</f>
        <v>0.38055343755401161</v>
      </c>
      <c r="DG59">
        <f>AX59*(c_Stroke1+c_Stroke2+c_MI2+c_DM+c_SEM)</f>
        <v>4.2866227663202479E-2</v>
      </c>
      <c r="DH59">
        <f>AY59*(c_Stroke2+c_MI1+c_MI2+c_DM+c_SEM)</f>
        <v>1.715654657301556E-2</v>
      </c>
      <c r="DI59">
        <f>AZ59*(c_Stroke2+c_MI2+c_DM+c_SEM)</f>
        <v>-2.6629782580030792E-2</v>
      </c>
      <c r="DJ59">
        <f>BA59*(c_HF1+c_DM+c_SEM)</f>
        <v>0.59041785741944819</v>
      </c>
      <c r="DK59">
        <f>BB59*(c_HF2+c_DM+c_SEM)</f>
        <v>0.8664040313253536</v>
      </c>
      <c r="DL59">
        <f>BC59*(c_Stroke2+c_HF1+c_DM+c_SEM)</f>
        <v>9.9764955751273053E-3</v>
      </c>
      <c r="DM59">
        <f>BD59*(c_Stroke1+c_Stroke2+c_HF2+c_DM+c_SEM)</f>
        <v>6.4878617535980787E-2</v>
      </c>
      <c r="DN59">
        <f>BE59*(c_Stroke2+c_HF2+c_DM+c_SEM)</f>
        <v>-4.0885827455212756E-2</v>
      </c>
      <c r="DO59">
        <f t="shared" si="54"/>
        <v>0</v>
      </c>
      <c r="DP59">
        <f t="shared" si="55"/>
        <v>51.303089476051731</v>
      </c>
      <c r="DQ59">
        <f>DP59/(1+r_)^A59</f>
        <v>9.8007415241300535</v>
      </c>
    </row>
    <row r="60" spans="1:121" x14ac:dyDescent="0.3">
      <c r="A60">
        <v>57</v>
      </c>
      <c r="B60">
        <v>102</v>
      </c>
      <c r="C60">
        <f t="shared" si="40"/>
        <v>32.793999999999997</v>
      </c>
      <c r="D60">
        <f t="shared" si="1"/>
        <v>125</v>
      </c>
      <c r="E60">
        <f t="shared" si="42"/>
        <v>5.4</v>
      </c>
      <c r="F60">
        <v>0.36415999999999998</v>
      </c>
      <c r="G60">
        <v>0.40406999999999998</v>
      </c>
      <c r="H60">
        <f t="shared" si="43"/>
        <v>0.37214199999999997</v>
      </c>
      <c r="I60">
        <f t="shared" si="44"/>
        <v>1.9177515277734612E-2</v>
      </c>
      <c r="J60">
        <f t="shared" si="22"/>
        <v>0.51788620867955593</v>
      </c>
      <c r="K60">
        <f t="shared" si="23"/>
        <v>0.64004046621483557</v>
      </c>
      <c r="L60">
        <f t="shared" si="24"/>
        <v>0.29204872960915573</v>
      </c>
      <c r="M60">
        <f t="shared" si="25"/>
        <v>0.38350294676886176</v>
      </c>
      <c r="N60">
        <f t="shared" si="26"/>
        <v>0.88224522019931062</v>
      </c>
      <c r="O60">
        <f t="shared" si="27"/>
        <v>0.9513253345354834</v>
      </c>
      <c r="P60">
        <f t="shared" si="28"/>
        <v>0.65084074267437741</v>
      </c>
      <c r="Q60">
        <f t="shared" si="29"/>
        <v>0.7739016702108158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4.2348850678788956E-2</v>
      </c>
      <c r="U60">
        <f t="shared" si="30"/>
        <v>0.79562124583924232</v>
      </c>
      <c r="V60">
        <f t="shared" si="31"/>
        <v>0.89178905168732525</v>
      </c>
      <c r="W60">
        <f t="shared" si="32"/>
        <v>0.52841380909988034</v>
      </c>
      <c r="X60">
        <f t="shared" si="33"/>
        <v>0.65100026017894119</v>
      </c>
      <c r="Y60">
        <f t="shared" si="34"/>
        <v>0.97375007532813707</v>
      </c>
      <c r="Z60">
        <f t="shared" si="35"/>
        <v>0.99416225038579553</v>
      </c>
      <c r="AA60">
        <f t="shared" si="36"/>
        <v>0.83312749935062969</v>
      </c>
      <c r="AB60">
        <f t="shared" si="37"/>
        <v>0.92034036719012635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6.4376560558074628E-2</v>
      </c>
      <c r="AD60">
        <f t="shared" si="45"/>
        <v>7.8723410224010857E-4</v>
      </c>
      <c r="AE60">
        <f t="shared" si="46"/>
        <v>6.929966863298317E-5</v>
      </c>
      <c r="AF60">
        <f t="shared" si="47"/>
        <v>1.4504944673664096E-5</v>
      </c>
      <c r="AG60">
        <f t="shared" si="48"/>
        <v>-4.1007206318603699E-6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1.0132046405631075E-5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9.7494287205780265E-6</v>
      </c>
      <c r="AJ60">
        <f t="shared" si="49"/>
        <v>3.3551394837852366E-7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1.2296461767314198E-7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-2.9648341860415681E-7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6.9191235115011756E-6</v>
      </c>
      <c r="AN60">
        <f t="shared" si="50"/>
        <v>1.5157379975597847E-5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7.4132107456950025E-8</v>
      </c>
      <c r="AP60">
        <f>AM59*T59*p_Stroke*p_Stroke_rec*(1-I59) + AN59*T59*p_Stroke*p_Stroke_rec*(1-I59) + AO59*(p_recur_Stroke*p_Stroke_rec)*(1-I59) + AP59*(p_recur_Stroke*p_Stroke_rec)*(1-I59) + AQ59*(p_recur_Stroke*p_Stroke_rec)*(1-I59)</f>
        <v>4.1087825622627422E-7</v>
      </c>
      <c r="AQ60">
        <f>AO59*(1-p_recur_Stroke-H59*rr_Stroke*rr_HF)*(1-I59) + AP59*(1-p_recur_Stroke-H59*rr_Stroke*rr_HF)*(1-I59) + AQ59*(1-p_recur_Stroke-H59*rr_Stroke*rr_HF)*(1-I59)</f>
        <v>-3.3617135895176394E-7</v>
      </c>
      <c r="AR60">
        <f>AR59*(1-AC59-H59*rr_DM) + AD59*(1-T59-H59)*I59</f>
        <v>4.2323296974615122E-4</v>
      </c>
      <c r="AS60">
        <f>AR59*AC59*p_Other + AD59*T59*p_Other*I59 + AE59*(1-T59*p_Stroke-T59*p_MI-H59*rr_Other)*I59 + AS59*(1-AC59*p_Stroke-AC59*p_MI-H59*rr_Other*rr_DM)</f>
        <v>4.7533595236945949E-5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1.3442749894478192E-5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-5.8628049784128837E-6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9.4706888396032989E-6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6.0475840262600584E-6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4.4750073699439627E-7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1.5247638547522338E-7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-4.3482578629776405E-7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6.3478361162651507E-6</v>
      </c>
      <c r="BB60">
        <f>AM59*(1-T59*p_Stroke - H59*rr_HF)*I59 + AN59*(1-T59*p_Stroke - H59*rr_HF)*I59 + BA59*(1-AC59*p_Stroke - H59*rr_HF*rr_DM) + BB59*(1-AC59*p_Stroke - H59*rr_HF*rr_DM)</f>
        <v>8.5448908519558903E-6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9.0262712028442698E-8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4.8119545156535909E-7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-4.4418775223072156E-7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0.95658174326083856</v>
      </c>
      <c r="BG60">
        <f t="shared" si="51"/>
        <v>0.95799999999999974</v>
      </c>
      <c r="BH60">
        <f>(0.9442 - 0.0007*$B60 - dis_BMI*($C60-21.75))*AD60</f>
        <v>6.5840702013220565E-4</v>
      </c>
      <c r="BI60">
        <f>0.959*(0.9442 - 0.0007*$B60 - dis_BMI*($C60-21.75))*AE60</f>
        <v>5.5582786969121119E-5</v>
      </c>
      <c r="BJ60">
        <f>(0.943*(0.9442 - 0.0007*$B60 - dis_BMI*($C60-21.75)) - 0.19*0.5)*AF60</f>
        <v>1.0061827391766768E-5</v>
      </c>
      <c r="BK60">
        <f>(0.943*(0.9442 - 0.0007*$B60 - dis_BMI*($C60-21.75)))*AG60</f>
        <v>-3.2341669130322728E-6</v>
      </c>
      <c r="BL60">
        <f>(0.955*(0.9442 - 0.0007*$B60 - dis_BMI*($C60-21.75)) - 0.15*0.5)*AH60</f>
        <v>7.3327528107172125E-6</v>
      </c>
      <c r="BM60">
        <f>(0.955*(0.9442 - 0.0007*$B60 - dis_BMI*($C60-21.75)))*AI60</f>
        <v>7.7870523398661924E-6</v>
      </c>
      <c r="BN60">
        <f>(0.955*0.943*(0.9442 - 0.0007*$B60 - dis_BMI*($C60-21.75)) - 0.19*0.5)*AJ60</f>
        <v>2.2083254989421195E-7</v>
      </c>
      <c r="BO60">
        <f>(0.955*0.943*(0.9442 - 0.0007*$B60 - dis_BMI*($C60-21.75)) - 0.15*0.5)*AK60</f>
        <v>8.3393602830746698E-8</v>
      </c>
      <c r="BP60">
        <f>(0.955*0.943*(0.9442 - 0.0007*$B60 - dis_BMI*($C60-21.75)))*AL60</f>
        <v>-2.2330889765459882E-7</v>
      </c>
      <c r="BQ60">
        <f>(0.93*(0.9442 - 0.0007*$B60 - dis_BMI*($C60-21.75)))*AM60</f>
        <v>5.3817632093922835E-6</v>
      </c>
      <c r="BR60">
        <f>(0.93*(0.9442 - 0.0007*$B60 - dis_BMI*($C60-21.75)))*AN60</f>
        <v>1.1789561173154083E-5</v>
      </c>
      <c r="BS60">
        <f>(0.93*0.943*(0.9442 - 0.0007*$B60 - dis_BMI*($C60-21.75)))*AO60</f>
        <v>5.4374032397891369E-8</v>
      </c>
      <c r="BT60">
        <f>(0.93*0.943*(0.9442 - 0.0007*$B60 - dis_BMI*($C60-21.75))-0.19*0.5)*AP60</f>
        <v>2.6233541084627187E-7</v>
      </c>
      <c r="BU60">
        <f>(0.93*0.943*(0.9442 - 0.0007*$B60 - dis_BMI*($C60-21.75)))*AQ60</f>
        <v>-2.4657321894566876E-7</v>
      </c>
      <c r="BV60">
        <f>0.962*(0.9442 - 0.0007*$B60 - dis_BMI*($C60-21.75))*AR60</f>
        <v>3.4052195458636133E-4</v>
      </c>
      <c r="BW60">
        <f>0.962*0.959*(0.9442 - 0.0007*$B60 - dis_BMI*($C60-21.75))*AS60</f>
        <v>3.667624765813811E-5</v>
      </c>
      <c r="BX60">
        <f>0.962*(0.943*(0.9442 - 0.0007*$B60 - dis_BMI*($C60-21.75)) - 0.19*0.5)*AT60</f>
        <v>8.9706513282357682E-6</v>
      </c>
      <c r="BY60">
        <f>0.962*(0.943*(0.9442 - 0.0007*$B60 - dis_BMI*($C60-21.75)))*AU60</f>
        <v>-4.4481842341638139E-6</v>
      </c>
      <c r="BZ60">
        <f>0.962*(0.955*(0.9442 - 0.0007*$B60 - dis_BMI*($C60-21.75)) - 0.15*0.5)*AV60</f>
        <v>6.5936594805758812E-6</v>
      </c>
      <c r="CA60">
        <f>0.962*(0.955*(0.9442 - 0.0007*$B60 - dis_BMI*($C60-21.75)))*AW60</f>
        <v>4.6467671300165435E-6</v>
      </c>
      <c r="CB60">
        <f>0.962*(0.955*0.943*(0.9442 - 0.0007*$B60 - dis_BMI*($C60-21.75)) - 0.19*0.5)*AX60</f>
        <v>2.8334877162012044E-7</v>
      </c>
      <c r="CC60">
        <f>0.962*(0.955*0.943*(0.9442 - 0.0007*$B60 - dis_BMI*($C60-21.75)) - 0.15*0.5)*AY60</f>
        <v>9.9478730287368236E-8</v>
      </c>
      <c r="CD60">
        <f>0.962*(0.955*0.943*(0.9442 - 0.0007*$B60 - dis_BMI*($C60-21.75)))*AZ60</f>
        <v>-3.150619677260433E-7</v>
      </c>
      <c r="CE60">
        <f>0.962*(0.93*(0.9442 - 0.0007*$B60 - dis_BMI*($C60-21.75)))*BA60</f>
        <v>4.7497885941894336E-6</v>
      </c>
      <c r="CF60">
        <f>0.962*(0.93*(0.9442 - 0.0007*$B60 - dis_BMI*($C60-21.75)))*BB60</f>
        <v>6.3937417985978796E-6</v>
      </c>
      <c r="CG60">
        <f>0.962*(0.93*0.943*(0.9442 - 0.0007*$B60 - dis_BMI*($C60-21.75)))*BC60</f>
        <v>6.3689618172908237E-8</v>
      </c>
      <c r="CH60">
        <f>0.962*(0.93*0.943*(0.9442 - 0.0007*$B60 - dis_BMI*($C60-21.75))-0.19*0.5)*BD60</f>
        <v>2.9555638342296769E-7</v>
      </c>
      <c r="CI60">
        <f>0.962*(0.93*0.943*(0.9442 - 0.0007*$B60 - dis_BMI*($C60-21.75)))*BE60</f>
        <v>-3.1342010117912826E-7</v>
      </c>
      <c r="CJ60">
        <f t="shared" si="52"/>
        <v>0</v>
      </c>
      <c r="CK60">
        <f t="shared" si="53"/>
        <v>1.1574778683691093E-3</v>
      </c>
      <c r="CL60">
        <f>CK60/(1+r_)^A60</f>
        <v>2.1467965447313238E-4</v>
      </c>
      <c r="CM60">
        <f>AD60*c_SEM</f>
        <v>10.720554004305798</v>
      </c>
      <c r="CN60">
        <f>AE60*(c_Other+c_SEM)</f>
        <v>1.9332528558543316</v>
      </c>
      <c r="CO60">
        <f>AF60*(c_Stroke1+c_Stroke2+c_SEM)</f>
        <v>0.54297809891394178</v>
      </c>
      <c r="CP60">
        <f>AG60*(c_Stroke2 + c_SEM)</f>
        <v>-8.2498297671766918E-2</v>
      </c>
      <c r="CQ60">
        <f>AH60*(c_MI1+c_MI2 + c_SEM)</f>
        <v>0.43333749272243544</v>
      </c>
      <c r="CR60">
        <f>AI60*(c_MI2+c_SEM)</f>
        <v>0.16315668963887328</v>
      </c>
      <c r="CS60">
        <f>AJ60*(c_Stroke1+c_Stroke2+c_MI2+c_SEM)</f>
        <v>1.3605426120697513E-2</v>
      </c>
      <c r="CT60">
        <f>AK60*(c_Stroke2+c_MI1+c_MI2+c_SEM)</f>
        <v>6.0583437481380323E-3</v>
      </c>
      <c r="CU60">
        <f>AL60*(c_Stroke2+c_MI2+c_SEM)</f>
        <v>-6.8887922312675836E-3</v>
      </c>
      <c r="CV60">
        <f>AM60*(c_HF1+c_SEM)</f>
        <v>0.2812485324954998</v>
      </c>
      <c r="CW60">
        <f>AN60*(c_HF2+c_SEM)</f>
        <v>0.44294411502689585</v>
      </c>
      <c r="CX60">
        <f>AO60*(c_Stroke2+c_HF1+c_SEM)</f>
        <v>3.4951806023802798E-3</v>
      </c>
      <c r="CY60">
        <f>AP60*(c_Stroke1+c_Stroke2+c_HF2+c_SEM)</f>
        <v>2.1792571831985359E-2</v>
      </c>
      <c r="CZ60">
        <f>AQ60*(c_Stroke2+c_HF2+c_SEM)</f>
        <v>-1.2009049455833863E-2</v>
      </c>
      <c r="DA60">
        <f>AR60*(c_DM+c_SEM)</f>
        <v>10.599023261352865</v>
      </c>
      <c r="DB60">
        <f>AS60*(c_Other+c_DM+c_SEM)</f>
        <v>1.8691160319071887</v>
      </c>
      <c r="DC60">
        <f>AT60*(c_Stroke1+c_Stroke2+c_DM+c_SEM)</f>
        <v>0.65679931709430994</v>
      </c>
      <c r="DD60">
        <f>AU60*(c_Stroke2+c_DM+c_SEM)</f>
        <v>-0.1849304574340776</v>
      </c>
      <c r="DE60">
        <f>AV60*(c_MI1+c_MI2+c_DM+c_SEM)</f>
        <v>0.5132545109734612</v>
      </c>
      <c r="DF60">
        <f>AW60*(c_MI2+c_DM+c_SEM)</f>
        <v>0.17029996617948323</v>
      </c>
      <c r="DG60">
        <f>AX60*(c_Stroke1+c_Stroke2+c_MI2+c_DM+c_SEM)</f>
        <v>2.3259298306020741E-2</v>
      </c>
      <c r="DH60">
        <f>AY60*(c_Stroke2+c_MI1+c_MI2+c_DM+c_SEM)</f>
        <v>9.2544017400332072E-3</v>
      </c>
      <c r="DI60">
        <f>AZ60*(c_Stroke2+c_MI2+c_DM+c_SEM)</f>
        <v>-1.5071061753080503E-2</v>
      </c>
      <c r="DJ60">
        <f>BA60*(c_HF1+c_DM+c_SEM)</f>
        <v>0.33055087008227518</v>
      </c>
      <c r="DK60">
        <f>BB60*(c_HF2+c_DM+c_SEM)</f>
        <v>0.34733272335030302</v>
      </c>
      <c r="DL60">
        <f>BC60*(c_Stroke2+c_HF1+c_DM+c_SEM)</f>
        <v>5.2869578316419742E-3</v>
      </c>
      <c r="DM60">
        <f>BD60*(c_Stroke1+c_Stroke2+c_HF2+c_DM+c_SEM)</f>
        <v>3.1019783589709308E-2</v>
      </c>
      <c r="DN60">
        <f>BE60*(c_Stroke2+c_HF2+c_DM+c_SEM)</f>
        <v>-2.0942564142174061E-2</v>
      </c>
      <c r="DO60">
        <f t="shared" si="54"/>
        <v>0</v>
      </c>
      <c r="DP60">
        <f t="shared" si="55"/>
        <v>28.795280210980067</v>
      </c>
      <c r="DQ60">
        <f>DP60/(1+r_)^A60</f>
        <v>5.340716202945937</v>
      </c>
    </row>
    <row r="61" spans="1:121" x14ac:dyDescent="0.3">
      <c r="A61">
        <v>58</v>
      </c>
      <c r="B61">
        <v>103</v>
      </c>
      <c r="C61">
        <f t="shared" si="40"/>
        <v>32.793999999999997</v>
      </c>
      <c r="D61">
        <f t="shared" si="1"/>
        <v>125</v>
      </c>
      <c r="E61">
        <f t="shared" si="42"/>
        <v>5.4</v>
      </c>
      <c r="F61">
        <v>0.38614999999999999</v>
      </c>
      <c r="G61">
        <v>0.42459000000000002</v>
      </c>
      <c r="H61">
        <f t="shared" si="43"/>
        <v>0.39383800000000002</v>
      </c>
      <c r="I61">
        <f t="shared" si="44"/>
        <v>1.9177515277734612E-2</v>
      </c>
      <c r="J61">
        <f t="shared" si="22"/>
        <v>0.52725667420333189</v>
      </c>
      <c r="K61">
        <f t="shared" si="23"/>
        <v>0.64980036947512165</v>
      </c>
      <c r="L61">
        <f t="shared" si="24"/>
        <v>0.29859631507027073</v>
      </c>
      <c r="M61">
        <f t="shared" si="25"/>
        <v>0.39147339423913197</v>
      </c>
      <c r="N61">
        <f t="shared" si="26"/>
        <v>0.88976222832071483</v>
      </c>
      <c r="O61">
        <f t="shared" si="27"/>
        <v>0.95565716038257464</v>
      </c>
      <c r="P61">
        <f t="shared" si="28"/>
        <v>0.6619882203608588</v>
      </c>
      <c r="Q61">
        <f t="shared" si="29"/>
        <v>0.78403374259381331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4.3111056785795972E-2</v>
      </c>
      <c r="U61">
        <f t="shared" si="30"/>
        <v>0.80416758866585147</v>
      </c>
      <c r="V61">
        <f t="shared" si="31"/>
        <v>0.89807271860467874</v>
      </c>
      <c r="W61">
        <f t="shared" si="32"/>
        <v>0.53785423860107073</v>
      </c>
      <c r="X61">
        <f t="shared" si="33"/>
        <v>0.66074532549802889</v>
      </c>
      <c r="Y61">
        <f t="shared" si="34"/>
        <v>0.97653725013295589</v>
      </c>
      <c r="Z61">
        <f t="shared" si="35"/>
        <v>0.99501846192825438</v>
      </c>
      <c r="AA61">
        <f t="shared" si="36"/>
        <v>0.842091484650621</v>
      </c>
      <c r="AB61">
        <f t="shared" si="37"/>
        <v>0.92631893023177114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6.5205785142305683E-2</v>
      </c>
      <c r="AD61">
        <f t="shared" si="45"/>
        <v>4.5209322428978931E-4</v>
      </c>
      <c r="AE61">
        <f t="shared" si="46"/>
        <v>3.6599857784741166E-5</v>
      </c>
      <c r="AF61">
        <f t="shared" si="47"/>
        <v>8.6548166888927762E-6</v>
      </c>
      <c r="AG61">
        <f t="shared" si="48"/>
        <v>-3.0014177638471709E-6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6.0453665419544717E-6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4.8394694820480565E-6</v>
      </c>
      <c r="AJ61">
        <f t="shared" si="49"/>
        <v>1.9228288898451684E-7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6.966503756529221E-8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-1.7707979177926065E-7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4.0449210923699339E-6</v>
      </c>
      <c r="AN61">
        <f t="shared" si="50"/>
        <v>6.7765925552647468E-6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4.1346400832007801E-8</v>
      </c>
      <c r="AP61">
        <f>AM60*T60*p_Stroke*p_Stroke_rec*(1-I60) + AN60*T60*p_Stroke*p_Stroke_rec*(1-I60) + AO60*(p_recur_Stroke*p_Stroke_rec)*(1-I60) + AP60*(p_recur_Stroke*p_Stroke_rec)*(1-I60) + AQ60*(p_recur_Stroke*p_Stroke_rec)*(1-I60)</f>
        <v>2.1015077530569257E-7</v>
      </c>
      <c r="AQ61">
        <f>AO60*(1-p_recur_Stroke-H60*rr_Stroke*rr_HF)*(1-I60) + AP60*(1-p_recur_Stroke-H60*rr_Stroke*rr_HF)*(1-I60) + AQ60*(1-p_recur_Stroke-H60*rr_Stroke*rr_HF)*(1-I60)</f>
        <v>-1.8101279860035518E-7</v>
      </c>
      <c r="AR61">
        <f>AR60*(1-AC60-H60*rr_DM) + AD60*(1-T60-H60)*I60</f>
        <v>2.2369805366721535E-4</v>
      </c>
      <c r="AS61">
        <f>AR60*AC60*p_Other + AD60*T60*p_Other*I60 + AE60*(1-T60*p_Stroke-T60*p_MI-H60*rr_Other)*I60 + AS60*(1-AC60*p_Stroke-AC60*p_MI-H60*rr_Other*rr_DM)</f>
        <v>2.3206641598235343E-5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7.4188689880384993E-6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-3.6492139083895684E-6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5.2150796512808061E-6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2.4985806657760543E-6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2.3338347325691239E-7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7.933564312156223E-8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-2.3311349127528493E-7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3.4155857098594434E-6</v>
      </c>
      <c r="BB61">
        <f>AM60*(1-T60*p_Stroke - H60*rr_HF)*I60 + AN60*(1-T60*p_Stroke - H60*rr_HF)*I60 + BA60*(1-AC60*p_Stroke - H60*rr_HF*rr_DM) + BB60*(1-AC60*p_Stroke - H60*rr_HF*rr_DM)</f>
        <v>3.2048715427054657E-6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4.6070996422076598E-8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2.2102954431210131E-7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-2.018183715690152E-7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0.95721863846110722</v>
      </c>
      <c r="BG61">
        <f t="shared" si="51"/>
        <v>0.95799999999999974</v>
      </c>
      <c r="BH61">
        <f>(0.9442 - 0.0007*$B61 - dis_BMI*($C61-21.75))*AD61</f>
        <v>3.7779387292523911E-4</v>
      </c>
      <c r="BI61">
        <f>0.959*(0.9442 - 0.0007*$B61 - dis_BMI*($C61-21.75))*AE61</f>
        <v>2.9330868116813738E-5</v>
      </c>
      <c r="BJ61">
        <f>(0.943*(0.9442 - 0.0007*$B61 - dis_BMI*($C61-21.75)) - 0.19*0.5)*AF61</f>
        <v>5.9979824945245212E-6</v>
      </c>
      <c r="BK61">
        <f>(0.943*(0.9442 - 0.0007*$B61 - dis_BMI*($C61-21.75)))*AG61</f>
        <v>-2.3651846589777982E-6</v>
      </c>
      <c r="BL61">
        <f>(0.955*(0.9442 - 0.0007*$B61 - dis_BMI*($C61-21.75)) - 0.15*0.5)*AH61</f>
        <v>4.371104297312607E-6</v>
      </c>
      <c r="BM61">
        <f>(0.955*(0.9442 - 0.0007*$B61 - dis_BMI*($C61-21.75)))*AI61</f>
        <v>3.8621402365312587E-6</v>
      </c>
      <c r="BN61">
        <f>(0.955*0.943*(0.9442 - 0.0007*$B61 - dis_BMI*($C61-21.75)) - 0.19*0.5)*AJ61</f>
        <v>1.2643781816778453E-7</v>
      </c>
      <c r="BO61">
        <f>(0.955*0.943*(0.9442 - 0.0007*$B61 - dis_BMI*($C61-21.75)) - 0.15*0.5)*AK61</f>
        <v>4.7202344909372155E-8</v>
      </c>
      <c r="BP61">
        <f>(0.955*0.943*(0.9442 - 0.0007*$B61 - dis_BMI*($C61-21.75)))*AL61</f>
        <v>-1.3326342751656633E-7</v>
      </c>
      <c r="BQ61">
        <f>(0.93*(0.9442 - 0.0007*$B61 - dis_BMI*($C61-21.75)))*AM61</f>
        <v>3.1435466856079667E-6</v>
      </c>
      <c r="BR61">
        <f>(0.93*(0.9442 - 0.0007*$B61 - dis_BMI*($C61-21.75)))*AN61</f>
        <v>5.2664896496996648E-6</v>
      </c>
      <c r="BS61">
        <f>(0.93*0.943*(0.9442 - 0.0007*$B61 - dis_BMI*($C61-21.75)))*AO61</f>
        <v>3.0301160651695204E-8</v>
      </c>
      <c r="BT61">
        <f>(0.93*0.943*(0.9442 - 0.0007*$B61 - dis_BMI*($C61-21.75))-0.19*0.5)*AP61</f>
        <v>1.3404696331356703E-7</v>
      </c>
      <c r="BU61">
        <f>(0.93*0.943*(0.9442 - 0.0007*$B61 - dis_BMI*($C61-21.75)))*AQ61</f>
        <v>-1.3265720304622612E-7</v>
      </c>
      <c r="BV61">
        <f>0.962*(0.9442 - 0.0007*$B61 - dis_BMI*($C61-21.75))*AR61</f>
        <v>1.7983084691035483E-4</v>
      </c>
      <c r="BW61">
        <f>0.962*0.959*(0.9442 - 0.0007*$B61 - dis_BMI*($C61-21.75))*AS61</f>
        <v>1.7890928760581764E-5</v>
      </c>
      <c r="BX61">
        <f>0.962*(0.943*(0.9442 - 0.0007*$B61 - dis_BMI*($C61-21.75)) - 0.19*0.5)*AT61</f>
        <v>4.9460681257668548E-6</v>
      </c>
      <c r="BY61">
        <f>0.962*(0.943*(0.9442 - 0.0007*$B61 - dis_BMI*($C61-21.75)))*AU61</f>
        <v>-2.7663874029243769E-6</v>
      </c>
      <c r="BZ61">
        <f>0.962*(0.955*(0.9442 - 0.0007*$B61 - dis_BMI*($C61-21.75)) - 0.15*0.5)*AV61</f>
        <v>3.6274760105147741E-6</v>
      </c>
      <c r="CA61">
        <f>0.962*(0.955*(0.9442 - 0.0007*$B61 - dis_BMI*($C61-21.75)))*AW61</f>
        <v>1.9182213957242787E-6</v>
      </c>
      <c r="CB61">
        <f>0.962*(0.955*0.943*(0.9442 - 0.0007*$B61 - dis_BMI*($C61-21.75)) - 0.19*0.5)*AX61</f>
        <v>1.4763234738697113E-7</v>
      </c>
      <c r="CC61">
        <f>0.962*(0.955*0.943*(0.9442 - 0.0007*$B61 - dis_BMI*($C61-21.75)) - 0.15*0.5)*AY61</f>
        <v>5.1712093143216503E-8</v>
      </c>
      <c r="CD61">
        <f>0.962*(0.955*0.943*(0.9442 - 0.0007*$B61 - dis_BMI*($C61-21.75)))*AZ61</f>
        <v>-1.6876580573766651E-7</v>
      </c>
      <c r="CE61">
        <f>0.962*(0.93*(0.9442 - 0.0007*$B61 - dis_BMI*($C61-21.75)))*BA61</f>
        <v>2.5535838357619226E-6</v>
      </c>
      <c r="CF61">
        <f>0.962*(0.93*(0.9442 - 0.0007*$B61 - dis_BMI*($C61-21.75)))*BB61</f>
        <v>2.3960482512625436E-6</v>
      </c>
      <c r="CG61">
        <f>0.962*(0.93*0.943*(0.9442 - 0.0007*$B61 - dis_BMI*($C61-21.75)))*BC61</f>
        <v>3.2480614024777759E-8</v>
      </c>
      <c r="CH61">
        <f>0.962*(0.93*0.943*(0.9442 - 0.0007*$B61 - dis_BMI*($C61-21.75))-0.19*0.5)*BD61</f>
        <v>1.3562863275611764E-7</v>
      </c>
      <c r="CI61">
        <f>0.962*(0.93*0.943*(0.9442 - 0.0007*$B61 - dis_BMI*($C61-21.75)))*BE61</f>
        <v>-1.4228441186701158E-7</v>
      </c>
      <c r="CJ61">
        <f t="shared" si="52"/>
        <v>0</v>
      </c>
      <c r="CK61">
        <f t="shared" si="53"/>
        <v>6.379260767599797E-4</v>
      </c>
      <c r="CL61">
        <f>CK61/(1+r_)^A61</f>
        <v>1.1487124351094259E-4</v>
      </c>
      <c r="CM61">
        <f>AD61*c_SEM</f>
        <v>6.1566055283783507</v>
      </c>
      <c r="CN61">
        <f>AE61*(c_Other+c_SEM)</f>
        <v>1.0210262326209243</v>
      </c>
      <c r="CO61">
        <f>AF61*(c_Stroke1+c_Stroke2+c_SEM)</f>
        <v>0.32398440793201216</v>
      </c>
      <c r="CP61">
        <f>AG61*(c_Stroke2 + c_SEM)</f>
        <v>-6.0382522573077385E-2</v>
      </c>
      <c r="CQ61">
        <f>AH61*(c_MI1+c_MI2 + c_SEM)</f>
        <v>0.25855428163285082</v>
      </c>
      <c r="CR61">
        <f>AI61*(c_MI2+c_SEM)</f>
        <v>8.0988521782074219E-2</v>
      </c>
      <c r="CS61">
        <f>AJ61*(c_Stroke1+c_Stroke2+c_MI2+c_SEM)</f>
        <v>7.7972634312111428E-3</v>
      </c>
      <c r="CT61">
        <f>AK61*(c_Stroke2+c_MI1+c_MI2+c_SEM)</f>
        <v>3.4323267358043817E-3</v>
      </c>
      <c r="CU61">
        <f>AL61*(c_Stroke2+c_MI2+c_SEM)</f>
        <v>-4.114448961991121E-3</v>
      </c>
      <c r="CV61">
        <f>AM61*(c_HF1+c_SEM)</f>
        <v>0.16441795256265307</v>
      </c>
      <c r="CW61">
        <f>AN61*(c_HF2+c_SEM)</f>
        <v>0.1980323642425017</v>
      </c>
      <c r="CX61">
        <f>AO61*(c_Stroke2+c_HF1+c_SEM)</f>
        <v>1.9494001064275037E-3</v>
      </c>
      <c r="CY61">
        <f>AP61*(c_Stroke1+c_Stroke2+c_HF2+c_SEM)</f>
        <v>1.1146186971438628E-2</v>
      </c>
      <c r="CZ61">
        <f>AQ61*(c_Stroke2+c_HF2+c_SEM)</f>
        <v>-6.4663202044004881E-3</v>
      </c>
      <c r="DA61">
        <f>AR61*(c_DM+c_SEM)</f>
        <v>5.6020703579880742</v>
      </c>
      <c r="DB61">
        <f>AS61*(c_Other+c_DM+c_SEM)</f>
        <v>0.91253156092581011</v>
      </c>
      <c r="DC61">
        <f>AT61*(c_Stroke1+c_Stroke2+c_DM+c_SEM)</f>
        <v>0.36247851988657304</v>
      </c>
      <c r="DD61">
        <f>AU61*(c_Stroke2+c_DM+c_SEM)</f>
        <v>-0.11510715431233216</v>
      </c>
      <c r="DE61">
        <f>AV61*(c_MI1+c_MI2+c_DM+c_SEM)</f>
        <v>0.28262602662151198</v>
      </c>
      <c r="DF61">
        <f>AW61*(c_MI2+c_DM+c_SEM)</f>
        <v>7.0360031548253682E-2</v>
      </c>
      <c r="DG61">
        <f>AX61*(c_Stroke1+c_Stroke2+c_MI2+c_DM+c_SEM)</f>
        <v>1.2130339406001278E-2</v>
      </c>
      <c r="DH61">
        <f>AY61*(c_Stroke2+c_MI1+c_MI2+c_DM+c_SEM)</f>
        <v>4.815197523620098E-3</v>
      </c>
      <c r="DI61">
        <f>AZ61*(c_Stroke2+c_MI2+c_DM+c_SEM)</f>
        <v>-8.079713607601376E-3</v>
      </c>
      <c r="DJ61">
        <f>BA61*(c_HF1+c_DM+c_SEM)</f>
        <v>0.1778597946695108</v>
      </c>
      <c r="DK61">
        <f>BB61*(c_HF2+c_DM+c_SEM)</f>
        <v>0.13027161846789176</v>
      </c>
      <c r="DL61">
        <f>BC61*(c_Stroke2+c_HF1+c_DM+c_SEM)</f>
        <v>2.6985164734302926E-3</v>
      </c>
      <c r="DM61">
        <f>BD61*(c_Stroke1+c_Stroke2+c_HF2+c_DM+c_SEM)</f>
        <v>1.4248448544535299E-2</v>
      </c>
      <c r="DN61">
        <f>BE61*(c_Stroke2+c_HF2+c_DM+c_SEM)</f>
        <v>-9.5153325827359286E-3</v>
      </c>
      <c r="DO61">
        <f t="shared" si="54"/>
        <v>0</v>
      </c>
      <c r="DP61">
        <f t="shared" si="55"/>
        <v>15.596359386209322</v>
      </c>
      <c r="DQ61">
        <f>DP61/(1+r_)^A61</f>
        <v>2.8084338643700049</v>
      </c>
    </row>
    <row r="62" spans="1:121" x14ac:dyDescent="0.3">
      <c r="A62">
        <v>59</v>
      </c>
      <c r="B62">
        <v>104</v>
      </c>
      <c r="C62">
        <f t="shared" si="40"/>
        <v>32.793999999999997</v>
      </c>
      <c r="D62">
        <f t="shared" si="1"/>
        <v>125</v>
      </c>
      <c r="E62">
        <f t="shared" si="42"/>
        <v>5.4</v>
      </c>
      <c r="F62">
        <v>0.40767999999999999</v>
      </c>
      <c r="G62">
        <v>0.44438</v>
      </c>
      <c r="H62">
        <f t="shared" si="43"/>
        <v>0.41501999999999994</v>
      </c>
      <c r="I62">
        <f t="shared" si="44"/>
        <v>1.9177515277734612E-2</v>
      </c>
      <c r="J62">
        <f t="shared" si="22"/>
        <v>0.53659829563550976</v>
      </c>
      <c r="K62">
        <f t="shared" si="23"/>
        <v>0.6594534121816753</v>
      </c>
      <c r="L62">
        <f t="shared" si="24"/>
        <v>0.30519213412479473</v>
      </c>
      <c r="M62">
        <f t="shared" si="25"/>
        <v>0.39947248426905524</v>
      </c>
      <c r="N62">
        <f t="shared" si="26"/>
        <v>0.89694038057060532</v>
      </c>
      <c r="O62">
        <f t="shared" si="27"/>
        <v>0.9596814381895592</v>
      </c>
      <c r="P62">
        <f t="shared" si="28"/>
        <v>0.67299978423574869</v>
      </c>
      <c r="Q62">
        <f t="shared" si="29"/>
        <v>0.7939077041490048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4.3870956593832659E-2</v>
      </c>
      <c r="U62">
        <f t="shared" si="30"/>
        <v>0.81249156405838874</v>
      </c>
      <c r="V62">
        <f t="shared" si="31"/>
        <v>0.90408822970348079</v>
      </c>
      <c r="W62">
        <f t="shared" si="32"/>
        <v>0.54725997351697764</v>
      </c>
      <c r="X62">
        <f t="shared" si="33"/>
        <v>0.67037561157097347</v>
      </c>
      <c r="Y62">
        <f t="shared" si="34"/>
        <v>0.97907722114394757</v>
      </c>
      <c r="Z62">
        <f t="shared" si="35"/>
        <v>0.99576304582703534</v>
      </c>
      <c r="AA62">
        <f t="shared" si="36"/>
        <v>0.85074485067879158</v>
      </c>
      <c r="AB62">
        <f t="shared" si="37"/>
        <v>0.93195890643616386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6.6021949893945664E-2</v>
      </c>
      <c r="AD62">
        <f t="shared" si="45"/>
        <v>2.4966985076320744E-4</v>
      </c>
      <c r="AE62">
        <f t="shared" si="46"/>
        <v>1.8853421297137934E-5</v>
      </c>
      <c r="AF62">
        <f t="shared" si="47"/>
        <v>4.9846771395601345E-6</v>
      </c>
      <c r="AG62">
        <f t="shared" si="48"/>
        <v>-2.0083774693254178E-6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3.4798463308650238E-6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2.2816988153250855E-6</v>
      </c>
      <c r="AJ62">
        <f t="shared" si="49"/>
        <v>1.0658026863399733E-7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3.831094785944033E-8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-1.0170220600499122E-7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2.2844536364275245E-6</v>
      </c>
      <c r="AN62">
        <f t="shared" si="50"/>
        <v>2.900794338777798E-6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2.2406690811210988E-8</v>
      </c>
      <c r="AP62">
        <f>AM61*T61*p_Stroke*p_Stroke_rec*(1-I61) + AN61*T61*p_Stroke*p_Stroke_rec*(1-I61) + AO61*(p_recur_Stroke*p_Stroke_rec)*(1-I61) + AP61*(p_recur_Stroke*p_Stroke_rec)*(1-I61) + AQ61*(p_recur_Stroke*p_Stroke_rec)*(1-I61)</f>
        <v>1.0445618721241242E-7</v>
      </c>
      <c r="AQ62">
        <f>AO61*(1-p_recur_Stroke-H61*rr_Stroke*rr_HF)*(1-I61) + AP61*(1-p_recur_Stroke-H61*rr_Stroke*rr_HF)*(1-I61) + AQ61*(1-p_recur_Stroke-H61*rr_Stroke*rr_HF)*(1-I61)</f>
        <v>-9.4264981046844219E-8</v>
      </c>
      <c r="AR62">
        <f>AR61*(1-AC61-H61*rr_DM) + AD61*(1-T61-H61)*I61</f>
        <v>1.1267739886773099E-4</v>
      </c>
      <c r="AS62">
        <f>AR61*AC61*p_Other + AD61*T61*p_Other*I61 + AE61*(1-T61*p_Stroke-T61*p_MI-H61*rr_Other)*I61 + AS61*(1-AC61*p_Stroke-AC61*p_MI-H61*rr_Other*rr_DM)</f>
        <v>1.0946702267825525E-5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3.9203111677854324E-6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-2.1199870125325715E-6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2.7500399563188372E-6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9.3399037956949023E-7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1.1730193861224457E-7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3.9853104759718514E-8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-1.2250662394609491E-7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1.7641768760186914E-6</v>
      </c>
      <c r="BB62">
        <f>AM61*(1-T61*p_Stroke - H61*rr_HF)*I61 + AN61*(1-T61*p_Stroke - H61*rr_HF)*I61 + BA61*(1-AC61*p_Stroke - H61*rr_HF*rr_DM) + BB61*(1-AC61*p_Stroke - H61*rr_HF*rr_DM)</f>
        <v>1.1206234617679669E-6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2.2879992343618375E-8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1.0059558047804853E-7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-1.1282725321242525E-7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0.95758543929553674</v>
      </c>
      <c r="BG62">
        <f t="shared" si="51"/>
        <v>0.95799999999999974</v>
      </c>
      <c r="BH62">
        <f>(0.9442 - 0.0007*$B62 - dis_BMI*($C62-21.75))*AD62</f>
        <v>2.0846304031002375E-4</v>
      </c>
      <c r="BI62">
        <f>0.959*(0.9442 - 0.0007*$B62 - dis_BMI*($C62-21.75))*AE62</f>
        <v>1.5096342669520376E-5</v>
      </c>
      <c r="BJ62">
        <f>(0.943*(0.9442 - 0.0007*$B62 - dis_BMI*($C62-21.75)) - 0.19*0.5)*AF62</f>
        <v>3.4512029099326095E-6</v>
      </c>
      <c r="BK62">
        <f>(0.943*(0.9442 - 0.0007*$B62 - dis_BMI*($C62-21.75)))*AG62</f>
        <v>-1.5813208569562791E-6</v>
      </c>
      <c r="BL62">
        <f>(0.955*(0.9442 - 0.0007*$B62 - dis_BMI*($C62-21.75)) - 0.15*0.5)*AH62</f>
        <v>2.5137777745284469E-6</v>
      </c>
      <c r="BM62">
        <f>(0.955*(0.9442 - 0.0007*$B62 - dis_BMI*($C62-21.75)))*AI62</f>
        <v>1.819385185999544E-6</v>
      </c>
      <c r="BN62">
        <f>(0.955*0.943*(0.9442 - 0.0007*$B62 - dis_BMI*($C62-21.75)) - 0.19*0.5)*AJ62</f>
        <v>7.0015889857279125E-8</v>
      </c>
      <c r="BO62">
        <f>(0.955*0.943*(0.9442 - 0.0007*$B62 - dis_BMI*($C62-21.75)) - 0.15*0.5)*AK62</f>
        <v>2.5933870906593866E-8</v>
      </c>
      <c r="BP62">
        <f>(0.955*0.943*(0.9442 - 0.0007*$B62 - dis_BMI*($C62-21.75)))*AL62</f>
        <v>-7.6473048527977687E-8</v>
      </c>
      <c r="BQ62">
        <f>(0.93*(0.9442 - 0.0007*$B62 - dis_BMI*($C62-21.75)))*AM62</f>
        <v>1.7738964420747336E-6</v>
      </c>
      <c r="BR62">
        <f>(0.93*(0.9442 - 0.0007*$B62 - dis_BMI*($C62-21.75)))*AN62</f>
        <v>2.2524899059870743E-6</v>
      </c>
      <c r="BS62">
        <f>(0.93*0.943*(0.9442 - 0.0007*$B62 - dis_BMI*($C62-21.75)))*AO62</f>
        <v>1.640723235166887E-8</v>
      </c>
      <c r="BT62">
        <f>(0.93*0.943*(0.9442 - 0.0007*$B62 - dis_BMI*($C62-21.75))-0.19*0.5)*AP62</f>
        <v>6.6564392982541787E-8</v>
      </c>
      <c r="BU62">
        <f>(0.93*0.943*(0.9442 - 0.0007*$B62 - dis_BMI*($C62-21.75)))*AQ62</f>
        <v>-6.9025250524160139E-8</v>
      </c>
      <c r="BV62">
        <f>0.962*(0.9442 - 0.0007*$B62 - dis_BMI*($C62-21.75))*AR62</f>
        <v>9.0505474704753752E-5</v>
      </c>
      <c r="BW62">
        <f>0.962*0.959*(0.9442 - 0.0007*$B62 - dis_BMI*($C62-21.75))*AS62</f>
        <v>8.4321815985761474E-6</v>
      </c>
      <c r="BX62">
        <f>0.962*(0.943*(0.9442 - 0.0007*$B62 - dis_BMI*($C62-21.75)) - 0.19*0.5)*AT62</f>
        <v>2.6111334700138769E-6</v>
      </c>
      <c r="BY62">
        <f>0.962*(0.943*(0.9442 - 0.0007*$B62 - dis_BMI*($C62-21.75)))*AU62</f>
        <v>-1.6057684876640405E-6</v>
      </c>
      <c r="BZ62">
        <f>0.962*(0.955*(0.9442 - 0.0007*$B62 - dis_BMI*($C62-21.75)) - 0.15*0.5)*AV62</f>
        <v>1.9110889087445642E-6</v>
      </c>
      <c r="CA62">
        <f>0.962*(0.955*(0.9442 - 0.0007*$B62 - dis_BMI*($C62-21.75)))*AW62</f>
        <v>7.1644657725109615E-7</v>
      </c>
      <c r="CB62">
        <f>0.962*(0.955*0.943*(0.9442 - 0.0007*$B62 - dis_BMI*($C62-21.75)) - 0.19*0.5)*AX62</f>
        <v>7.4131035039172414E-8</v>
      </c>
      <c r="CC62">
        <f>0.962*(0.955*0.943*(0.9442 - 0.0007*$B62 - dis_BMI*($C62-21.75)) - 0.15*0.5)*AY62</f>
        <v>2.5952648242975038E-8</v>
      </c>
      <c r="CD62">
        <f>0.962*(0.955*0.943*(0.9442 - 0.0007*$B62 - dis_BMI*($C62-21.75)))*AZ62</f>
        <v>-8.8616108363087488E-8</v>
      </c>
      <c r="CE62">
        <f>0.962*(0.93*(0.9442 - 0.0007*$B62 - dis_BMI*($C62-21.75)))*BA62</f>
        <v>1.3178412931560947E-6</v>
      </c>
      <c r="CF62">
        <f>0.962*(0.93*(0.9442 - 0.0007*$B62 - dis_BMI*($C62-21.75)))*BB62</f>
        <v>8.371064670851689E-7</v>
      </c>
      <c r="CG62">
        <f>0.962*(0.93*0.943*(0.9442 - 0.0007*$B62 - dis_BMI*($C62-21.75)))*BC62</f>
        <v>1.6117161356249375E-8</v>
      </c>
      <c r="CH62">
        <f>0.962*(0.93*0.943*(0.9442 - 0.0007*$B62 - dis_BMI*($C62-21.75))-0.19*0.5)*BD62</f>
        <v>6.1668272034486669E-8</v>
      </c>
      <c r="CI62">
        <f>0.962*(0.93*0.943*(0.9442 - 0.0007*$B62 - dis_BMI*($C62-21.75)))*BE62</f>
        <v>-7.9477956902125523E-8</v>
      </c>
      <c r="CJ62">
        <f t="shared" si="52"/>
        <v>0</v>
      </c>
      <c r="CK62">
        <f t="shared" si="53"/>
        <v>3.3855751701148047E-4</v>
      </c>
      <c r="CL62">
        <f>CK62/(1+r_)^A62</f>
        <v>5.9188345915963811E-5</v>
      </c>
      <c r="CM62">
        <f>AD62*c_SEM</f>
        <v>3.4000040276933587</v>
      </c>
      <c r="CN62">
        <f>AE62*(c_Other+c_SEM)</f>
        <v>0.52595389392625691</v>
      </c>
      <c r="CO62">
        <f>AF62*(c_Stroke1+c_Stroke2+c_SEM)</f>
        <v>0.18659640404229408</v>
      </c>
      <c r="CP62">
        <f>AG62*(c_Stroke2 + c_SEM)</f>
        <v>-4.0404537927888756E-2</v>
      </c>
      <c r="CQ62">
        <f>AH62*(c_MI1+c_MI2 + c_SEM)</f>
        <v>0.1488295477247662</v>
      </c>
      <c r="CR62">
        <f>AI62*(c_MI2+c_SEM)</f>
        <v>3.8184229674465303E-2</v>
      </c>
      <c r="CS62">
        <f>AJ62*(c_Stroke1+c_Stroke2+c_MI2+c_SEM)</f>
        <v>4.3219364733772256E-3</v>
      </c>
      <c r="CT62">
        <f>AK62*(c_Stroke2+c_MI1+c_MI2+c_SEM)</f>
        <v>1.8875420900867656E-3</v>
      </c>
      <c r="CU62">
        <f>AL62*(c_Stroke2+c_MI2+c_SEM)</f>
        <v>-2.363050756525971E-3</v>
      </c>
      <c r="CV62">
        <f>AM62*(c_HF1+c_SEM)</f>
        <v>9.2858471413506019E-2</v>
      </c>
      <c r="CW62">
        <f>AN62*(c_HF2+c_SEM)</f>
        <v>8.4769912962103594E-2</v>
      </c>
      <c r="CX62">
        <f>AO62*(c_Stroke2+c_HF1+c_SEM)</f>
        <v>1.0564306583669756E-3</v>
      </c>
      <c r="CY62">
        <f>AP62*(c_Stroke1+c_Stroke2+c_HF2+c_SEM)</f>
        <v>5.5402517135591427E-3</v>
      </c>
      <c r="CZ62">
        <f>AQ62*(c_Stroke2+c_HF2+c_SEM)</f>
        <v>-3.3674279179364162E-3</v>
      </c>
      <c r="DA62">
        <f>AR62*(c_DM+c_SEM)</f>
        <v>2.8217800998445872</v>
      </c>
      <c r="DB62">
        <f>AS62*(c_Other+c_DM+c_SEM)</f>
        <v>0.4304462265754353</v>
      </c>
      <c r="DC62">
        <f>AT62*(c_Stroke1+c_Stroke2+c_DM+c_SEM)</f>
        <v>0.19154248334682844</v>
      </c>
      <c r="DD62">
        <f>AU62*(c_Stroke2+c_DM+c_SEM)</f>
        <v>-6.6870750336314899E-2</v>
      </c>
      <c r="DE62">
        <f>AV62*(c_MI1+c_MI2+c_DM+c_SEM)</f>
        <v>0.14903566539274307</v>
      </c>
      <c r="DF62">
        <f>AW62*(c_MI2+c_DM+c_SEM)</f>
        <v>2.6301169088676846E-2</v>
      </c>
      <c r="DG62">
        <f>AX62*(c_Stroke1+c_Stroke2+c_MI2+c_DM+c_SEM)</f>
        <v>6.0968855613100243E-3</v>
      </c>
      <c r="DH62">
        <f>AY62*(c_Stroke2+c_MI1+c_MI2+c_DM+c_SEM)</f>
        <v>2.4188443402863554E-3</v>
      </c>
      <c r="DI62">
        <f>AZ62*(c_Stroke2+c_MI2+c_DM+c_SEM)</f>
        <v>-4.2460795859716495E-3</v>
      </c>
      <c r="DJ62">
        <f>BA62*(c_HF1+c_DM+c_SEM)</f>
        <v>9.1865982464921322E-2</v>
      </c>
      <c r="DK62">
        <f>BB62*(c_HF2+c_DM+c_SEM)</f>
        <v>4.5551102473944317E-2</v>
      </c>
      <c r="DL62">
        <f>BC62*(c_Stroke2+c_HF1+c_DM+c_SEM)</f>
        <v>1.340149791542759E-3</v>
      </c>
      <c r="DM62">
        <f>BD62*(c_Stroke1+c_Stroke2+c_HF2+c_DM+c_SEM)</f>
        <v>6.48479349993692E-3</v>
      </c>
      <c r="DN62">
        <f>BE62*(c_Stroke2+c_HF2+c_DM+c_SEM)</f>
        <v>-5.3195793344594259E-3</v>
      </c>
      <c r="DO62">
        <f t="shared" si="54"/>
        <v>0</v>
      </c>
      <c r="DP62">
        <f t="shared" si="55"/>
        <v>8.1402946248932579</v>
      </c>
      <c r="DQ62">
        <f>DP62/(1+r_)^A62</f>
        <v>1.4231276811369835</v>
      </c>
    </row>
    <row r="63" spans="1:121" x14ac:dyDescent="0.3">
      <c r="A63">
        <v>60</v>
      </c>
      <c r="B63">
        <v>105</v>
      </c>
      <c r="C63">
        <f t="shared" si="40"/>
        <v>32.793999999999997</v>
      </c>
      <c r="D63">
        <f t="shared" si="1"/>
        <v>125</v>
      </c>
      <c r="E63">
        <f t="shared" si="42"/>
        <v>5.4</v>
      </c>
      <c r="F63">
        <v>0.42858000000000002</v>
      </c>
      <c r="G63">
        <v>0.46333000000000002</v>
      </c>
      <c r="H63">
        <f t="shared" si="43"/>
        <v>0.43553000000000003</v>
      </c>
      <c r="I63">
        <f t="shared" si="44"/>
        <v>1.9177515277734612E-2</v>
      </c>
      <c r="J63">
        <f t="shared" si="22"/>
        <v>0.54590657599844095</v>
      </c>
      <c r="K63">
        <f t="shared" si="23"/>
        <v>0.6689947949655709</v>
      </c>
      <c r="L63">
        <f t="shared" si="24"/>
        <v>0.31183443099301522</v>
      </c>
      <c r="M63">
        <f t="shared" si="25"/>
        <v>0.40749726421598098</v>
      </c>
      <c r="N63">
        <f t="shared" si="26"/>
        <v>0.90378418777635527</v>
      </c>
      <c r="O63">
        <f t="shared" si="27"/>
        <v>0.96341201452299563</v>
      </c>
      <c r="P63">
        <f t="shared" si="28"/>
        <v>0.68386759585192602</v>
      </c>
      <c r="Q63">
        <f t="shared" si="29"/>
        <v>0.80351904634626103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4.4628276574126505E-2</v>
      </c>
      <c r="U63">
        <f t="shared" si="30"/>
        <v>0.82059180314398728</v>
      </c>
      <c r="V63">
        <f t="shared" si="31"/>
        <v>0.90984028274245199</v>
      </c>
      <c r="W63">
        <f t="shared" si="32"/>
        <v>0.55662643281772106</v>
      </c>
      <c r="X63">
        <f t="shared" si="33"/>
        <v>0.67988638621782049</v>
      </c>
      <c r="Y63">
        <f t="shared" si="34"/>
        <v>0.98138605185627847</v>
      </c>
      <c r="Z63">
        <f t="shared" si="35"/>
        <v>0.9964082924561396</v>
      </c>
      <c r="AA63">
        <f t="shared" si="36"/>
        <v>0.85908711083417255</v>
      </c>
      <c r="AB63">
        <f t="shared" si="37"/>
        <v>0.93726978233253011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6.6824882991629905E-2</v>
      </c>
      <c r="AD63">
        <f t="shared" si="45"/>
        <v>1.3250775837767083E-4</v>
      </c>
      <c r="AE63">
        <f t="shared" si="46"/>
        <v>9.4540200252086078E-6</v>
      </c>
      <c r="AF63">
        <f t="shared" si="47"/>
        <v>2.7672046480836063E-6</v>
      </c>
      <c r="AG63">
        <f t="shared" si="48"/>
        <v>-1.2513658385141191E-6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1.9303914133319576E-6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1.0176307788292015E-6</v>
      </c>
      <c r="AJ63">
        <f t="shared" si="49"/>
        <v>5.7135885871966351E-8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2.0416807435555378E-8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-5.6193228830249478E-8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1.2455580132142344E-6</v>
      </c>
      <c r="AN63">
        <f t="shared" si="50"/>
        <v>1.1929946177013641E-6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1.178104485782252E-8</v>
      </c>
      <c r="AP63">
        <f>AM62*T62*p_Stroke*p_Stroke_rec*(1-I62) + AN62*T62*p_Stroke*p_Stroke_rec*(1-I62) + AO62*(p_recur_Stroke*p_Stroke_rec)*(1-I62) + AP62*(p_recur_Stroke*p_Stroke_rec)*(1-I62) + AQ62*(p_recur_Stroke*p_Stroke_rec)*(1-I62)</f>
        <v>5.0741825646718092E-8</v>
      </c>
      <c r="AQ63">
        <f>AO62*(1-p_recur_Stroke-H62*rr_Stroke*rr_HF)*(1-I62) + AP62*(1-p_recur_Stroke-H62*rr_Stroke*rr_HF)*(1-I62) + AQ62*(1-p_recur_Stroke-H62*rr_Stroke*rr_HF)*(1-I62)</f>
        <v>-4.7454049753441512E-8</v>
      </c>
      <c r="AR63">
        <f>AR62*(1-AC62-H62*rr_DM) + AD62*(1-T62-H62)*I62</f>
        <v>5.4051192831875909E-5</v>
      </c>
      <c r="AS63">
        <f>AR62*AC62*p_Other + AD62*T62*p_Other*I62 + AE62*(1-T62*p_Stroke-T62*p_MI-H62*rr_Other)*I62 + AS62*(1-AC62*p_Stroke-AC62*p_MI-H62*rr_Other*rr_DM)</f>
        <v>4.971202204270427E-6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1.9799204404966945E-6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-1.1557717795481441E-6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1.3864747803497117E-6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3.0218091813568247E-7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5.640913885759792E-8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1.9122584402711119E-8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-5.7728298104058019E-8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8.7346247306168392E-7</v>
      </c>
      <c r="BB63">
        <f>AM62*(1-T62*p_Stroke - H62*rr_HF)*I62 + AN62*(1-T62*p_Stroke - H62*rr_HF)*I62 + BA62*(1-AC62*p_Stroke - H62*rr_HF*rr_DM) + BB62*(1-AC62*p_Stroke - H62*rr_HF*rr_DM)</f>
        <v>3.5847660504290559E-7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1.069833759154262E-8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4.2469069518719556E-8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-2.0508329967593969E-8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0.95778828177870301</v>
      </c>
      <c r="BG63">
        <f t="shared" si="51"/>
        <v>0.95799999999999974</v>
      </c>
      <c r="BH63">
        <f>(0.9442 - 0.0007*$B63 - dis_BMI*($C63-21.75))*AD63</f>
        <v>1.105452334638121E-4</v>
      </c>
      <c r="BI63">
        <f>0.959*(0.9442 - 0.0007*$B63 - dis_BMI*($C63-21.75))*AE63</f>
        <v>7.56369206032802E-6</v>
      </c>
      <c r="BJ63">
        <f>(0.943*(0.9442 - 0.0007*$B63 - dis_BMI*($C63-21.75)) - 0.19*0.5)*AF63</f>
        <v>1.9140817543440916E-6</v>
      </c>
      <c r="BK63">
        <f>(0.943*(0.9442 - 0.0007*$B63 - dis_BMI*($C63-21.75)))*AG63</f>
        <v>-9.8445235376825223E-7</v>
      </c>
      <c r="BL63">
        <f>(0.955*(0.9442 - 0.0007*$B63 - dis_BMI*($C63-21.75)) - 0.15*0.5)*AH63</f>
        <v>1.3931892228407792E-6</v>
      </c>
      <c r="BM63">
        <f>(0.955*(0.9442 - 0.0007*$B63 - dis_BMI*($C63-21.75)))*AI63</f>
        <v>8.1076001058202971E-7</v>
      </c>
      <c r="BN63">
        <f>(0.955*0.943*(0.9442 - 0.0007*$B63 - dis_BMI*($C63-21.75)) - 0.19*0.5)*AJ63</f>
        <v>3.7498320405187434E-8</v>
      </c>
      <c r="BO63">
        <f>(0.955*0.943*(0.9442 - 0.0007*$B63 - dis_BMI*($C63-21.75)) - 0.15*0.5)*AK63</f>
        <v>1.3807900628818476E-8</v>
      </c>
      <c r="BP63">
        <f>(0.955*0.943*(0.9442 - 0.0007*$B63 - dis_BMI*($C63-21.75)))*AL63</f>
        <v>-4.2218010692267327E-8</v>
      </c>
      <c r="BQ63">
        <f>(0.93*(0.9442 - 0.0007*$B63 - dis_BMI*($C63-21.75)))*AM63</f>
        <v>9.6637485861826802E-7</v>
      </c>
      <c r="BR63">
        <f>(0.93*(0.9442 - 0.0007*$B63 - dis_BMI*($C63-21.75)))*AN63</f>
        <v>9.2559318215812127E-7</v>
      </c>
      <c r="BS63">
        <f>(0.93*0.943*(0.9442 - 0.0007*$B63 - dis_BMI*($C63-21.75)))*AO63</f>
        <v>8.6194025714581266E-9</v>
      </c>
      <c r="BT63">
        <f>(0.93*0.943*(0.9442 - 0.0007*$B63 - dis_BMI*($C63-21.75))-0.19*0.5)*AP63</f>
        <v>3.2303926626379262E-8</v>
      </c>
      <c r="BU63">
        <f>(0.93*0.943*(0.9442 - 0.0007*$B63 - dis_BMI*($C63-21.75)))*AQ63</f>
        <v>-3.4718954337851108E-8</v>
      </c>
      <c r="BV63">
        <f>0.962*(0.9442 - 0.0007*$B63 - dis_BMI*($C63-21.75))*AR63</f>
        <v>4.3378953317220788E-5</v>
      </c>
      <c r="BW63">
        <f>0.962*0.959*(0.9442 - 0.0007*$B63 - dis_BMI*($C63-21.75))*AS63</f>
        <v>3.8260780203396763E-6</v>
      </c>
      <c r="BX63">
        <f>0.962*(0.943*(0.9442 - 0.0007*$B63 - dis_BMI*($C63-21.75)) - 0.19*0.5)*AT63</f>
        <v>1.3174738877027211E-6</v>
      </c>
      <c r="BY63">
        <f>0.962*(0.943*(0.9442 - 0.0007*$B63 - dis_BMI*($C63-21.75)))*AU63</f>
        <v>-8.7469685495056651E-7</v>
      </c>
      <c r="BZ63">
        <f>0.962*(0.955*(0.9442 - 0.0007*$B63 - dis_BMI*($C63-21.75)) - 0.15*0.5)*AV63</f>
        <v>9.6261311745625E-7</v>
      </c>
      <c r="CA63">
        <f>0.962*(0.955*(0.9442 - 0.0007*$B63 - dis_BMI*($C63-21.75)))*AW63</f>
        <v>2.3160300722221633E-7</v>
      </c>
      <c r="CB63">
        <f>0.962*(0.955*0.943*(0.9442 - 0.0007*$B63 - dis_BMI*($C63-21.75)) - 0.19*0.5)*AX63</f>
        <v>3.5614544327562972E-8</v>
      </c>
      <c r="CC63">
        <f>0.962*(0.955*0.943*(0.9442 - 0.0007*$B63 - dis_BMI*($C63-21.75)) - 0.15*0.5)*AY63</f>
        <v>1.2441177284109707E-8</v>
      </c>
      <c r="CD63">
        <f>0.962*(0.955*0.943*(0.9442 - 0.0007*$B63 - dis_BMI*($C63-21.75)))*AZ63</f>
        <v>-4.1723199519912234E-8</v>
      </c>
      <c r="CE63">
        <f>0.962*(0.93*(0.9442 - 0.0007*$B63 - dis_BMI*($C63-21.75)))*BA63</f>
        <v>6.5193002870190225E-7</v>
      </c>
      <c r="CF63">
        <f>0.962*(0.93*(0.9442 - 0.0007*$B63 - dis_BMI*($C63-21.75)))*BB63</f>
        <v>2.6755776077637846E-7</v>
      </c>
      <c r="CG63">
        <f>0.962*(0.93*0.943*(0.9442 - 0.0007*$B63 - dis_BMI*($C63-21.75)))*BC63</f>
        <v>7.5298222723586678E-9</v>
      </c>
      <c r="CH63">
        <f>0.962*(0.93*0.943*(0.9442 - 0.0007*$B63 - dis_BMI*($C63-21.75))-0.19*0.5)*BD63</f>
        <v>2.6009801893972498E-8</v>
      </c>
      <c r="CI63">
        <f>0.962*(0.93*0.943*(0.9442 - 0.0007*$B63 - dis_BMI*($C63-21.75)))*BE63</f>
        <v>-1.4434399591292293E-8</v>
      </c>
      <c r="CJ63">
        <f t="shared" si="52"/>
        <v>0</v>
      </c>
      <c r="CK63">
        <f t="shared" si="53"/>
        <v>1.7293671481525308E-4</v>
      </c>
      <c r="CL63">
        <f>CK63/(1+r_)^A63</f>
        <v>2.9353082982880907E-5</v>
      </c>
      <c r="CM63">
        <f>AD63*c_SEM</f>
        <v>1.8044906535871212</v>
      </c>
      <c r="CN63">
        <f>AE63*(c_Other+c_SEM)</f>
        <v>0.26373879664324451</v>
      </c>
      <c r="CO63">
        <f>AF63*(c_Stroke1+c_Stroke2+c_SEM)</f>
        <v>0.10358753879636172</v>
      </c>
      <c r="CP63">
        <f>AG63*(c_Stroke2 + c_SEM)</f>
        <v>-2.5174977939227048E-2</v>
      </c>
      <c r="CQ63">
        <f>AH63*(c_MI1+c_MI2 + c_SEM)</f>
        <v>8.2560910356794498E-2</v>
      </c>
      <c r="CR63">
        <f>AI63*(c_MI2+c_SEM)</f>
        <v>1.7030051083706688E-2</v>
      </c>
      <c r="CS63">
        <f>AJ63*(c_Stroke1+c_Stroke2+c_MI2+c_SEM)</f>
        <v>2.3169173079941076E-3</v>
      </c>
      <c r="CT63">
        <f>AK63*(c_Stroke2+c_MI1+c_MI2+c_SEM)</f>
        <v>1.0059156855423779E-3</v>
      </c>
      <c r="CU63">
        <f>AL63*(c_Stroke2+c_MI2+c_SEM)</f>
        <v>-1.3056496718708466E-3</v>
      </c>
      <c r="CV63">
        <f>AM63*(c_HF1+c_SEM)</f>
        <v>5.0629442121132198E-2</v>
      </c>
      <c r="CW63">
        <f>AN63*(c_HF2+c_SEM)</f>
        <v>3.4862881713086963E-2</v>
      </c>
      <c r="CX63">
        <f>AO63*(c_Stroke2+c_HF1+c_SEM)</f>
        <v>5.5545270295661621E-4</v>
      </c>
      <c r="CY63">
        <f>AP63*(c_Stroke1+c_Stroke2+c_HF2+c_SEM)</f>
        <v>2.691295690476281E-3</v>
      </c>
      <c r="CZ63">
        <f>AQ63*(c_Stroke2+c_HF2+c_SEM)</f>
        <v>-1.6952010193421912E-3</v>
      </c>
      <c r="DA63">
        <f>AR63*(c_DM+c_SEM)</f>
        <v>1.3536040220886685</v>
      </c>
      <c r="DB63">
        <f>AS63*(c_Other+c_DM+c_SEM)</f>
        <v>0.19547761307632172</v>
      </c>
      <c r="DC63">
        <f>AT63*(c_Stroke1+c_Stroke2+c_DM+c_SEM)</f>
        <v>9.6736932802228004E-2</v>
      </c>
      <c r="DD63">
        <f>AU63*(c_Stroke2+c_DM+c_SEM)</f>
        <v>-3.6456509242287105E-2</v>
      </c>
      <c r="DE63">
        <f>AV63*(c_MI1+c_MI2+c_DM+c_SEM)</f>
        <v>7.5138614246272273E-2</v>
      </c>
      <c r="DF63">
        <f>AW63*(c_MI2+c_DM+c_SEM)</f>
        <v>8.5094146547008177E-3</v>
      </c>
      <c r="DG63">
        <f>AX63*(c_Stroke1+c_Stroke2+c_MI2+c_DM+c_SEM)</f>
        <v>2.9319214012625094E-3</v>
      </c>
      <c r="DH63">
        <f>AY63*(c_Stroke2+c_MI1+c_MI2+c_DM+c_SEM)</f>
        <v>1.1606261377381487E-3</v>
      </c>
      <c r="DI63">
        <f>AZ63*(c_Stroke2+c_MI2+c_DM+c_SEM)</f>
        <v>-2.0008628122866511E-3</v>
      </c>
      <c r="DJ63">
        <f>BA63*(c_HF1+c_DM+c_SEM)</f>
        <v>4.5483811359741069E-2</v>
      </c>
      <c r="DK63">
        <f>BB63*(c_HF2+c_DM+c_SEM)</f>
        <v>1.4571357041784026E-2</v>
      </c>
      <c r="DL63">
        <f>BC63*(c_Stroke2+c_HF1+c_DM+c_SEM)</f>
        <v>6.2663372774942586E-4</v>
      </c>
      <c r="DM63">
        <f>BD63*(c_Stroke1+c_Stroke2+c_HF2+c_DM+c_SEM)</f>
        <v>2.7377260974547376E-3</v>
      </c>
      <c r="DN63">
        <f>BE63*(c_Stroke2+c_HF2+c_DM+c_SEM)</f>
        <v>-9.6692674131212042E-4</v>
      </c>
      <c r="DO63">
        <f t="shared" si="54"/>
        <v>0</v>
      </c>
      <c r="DP63">
        <f t="shared" si="55"/>
        <v>4.0928484008960115</v>
      </c>
      <c r="DQ63">
        <f>DP63/(1+r_)^A63</f>
        <v>0.69469180605283398</v>
      </c>
    </row>
    <row r="64" spans="1:121" x14ac:dyDescent="0.3">
      <c r="A64">
        <v>61</v>
      </c>
      <c r="B64">
        <v>106</v>
      </c>
      <c r="C64">
        <f t="shared" si="40"/>
        <v>32.793999999999997</v>
      </c>
      <c r="D64">
        <f t="shared" si="1"/>
        <v>125</v>
      </c>
      <c r="E64">
        <f t="shared" si="42"/>
        <v>5.4</v>
      </c>
      <c r="F64">
        <v>0.44868999999999998</v>
      </c>
      <c r="G64">
        <v>0.48133999999999999</v>
      </c>
      <c r="H64">
        <f t="shared" si="43"/>
        <v>0.45521999999999996</v>
      </c>
      <c r="I64">
        <f t="shared" si="44"/>
        <v>1.9177515277734612E-2</v>
      </c>
      <c r="J64">
        <f t="shared" si="22"/>
        <v>0.55517707410772155</v>
      </c>
      <c r="K64">
        <f t="shared" si="23"/>
        <v>0.67841991116302691</v>
      </c>
      <c r="L64">
        <f t="shared" si="24"/>
        <v>0.31852142103990455</v>
      </c>
      <c r="M64">
        <f t="shared" si="25"/>
        <v>0.41554476467596624</v>
      </c>
      <c r="N64">
        <f t="shared" si="26"/>
        <v>0.91029890446179051</v>
      </c>
      <c r="O64">
        <f t="shared" si="27"/>
        <v>0.96686287563197626</v>
      </c>
      <c r="P64">
        <f t="shared" si="28"/>
        <v>0.69458413074966741</v>
      </c>
      <c r="Q64">
        <f t="shared" si="29"/>
        <v>0.81286391660503954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4.5382751916106745E-2</v>
      </c>
      <c r="U64">
        <f t="shared" si="30"/>
        <v>0.82846734795638022</v>
      </c>
      <c r="V64">
        <f t="shared" si="31"/>
        <v>0.91533395160232212</v>
      </c>
      <c r="W64">
        <f t="shared" si="32"/>
        <v>0.56594910034260493</v>
      </c>
      <c r="X64">
        <f t="shared" si="33"/>
        <v>0.68927312529927609</v>
      </c>
      <c r="Y64">
        <f t="shared" si="34"/>
        <v>0.98347941661275018</v>
      </c>
      <c r="Z64">
        <f t="shared" si="35"/>
        <v>0.9969654828112805</v>
      </c>
      <c r="AA64">
        <f t="shared" si="36"/>
        <v>0.86711854969430369</v>
      </c>
      <c r="AB64">
        <f t="shared" si="37"/>
        <v>0.94226158599438614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6.761443385065577E-2</v>
      </c>
      <c r="AD64">
        <f t="shared" si="45"/>
        <v>6.7562055518392768E-5</v>
      </c>
      <c r="AE64">
        <f t="shared" si="46"/>
        <v>4.6033587900380085E-6</v>
      </c>
      <c r="AF64">
        <f t="shared" si="47"/>
        <v>1.4790238280546535E-6</v>
      </c>
      <c r="AG64">
        <f t="shared" si="48"/>
        <v>-7.3301733473449498E-7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1.0310345833213354E-6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4.2648874733250406E-7</v>
      </c>
      <c r="AJ64">
        <f t="shared" si="49"/>
        <v>2.9618161945376112E-8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1.0529674602340869E-8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-2.9915748637494996E-8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6.5511840742641295E-7</v>
      </c>
      <c r="AN64">
        <f t="shared" si="50"/>
        <v>4.7135165744120202E-7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6.0041358978517324E-9</v>
      </c>
      <c r="AP64">
        <f>AM63*T63*p_Stroke*p_Stroke_rec*(1-I63) + AN63*T63*p_Stroke*p_Stroke_rec*(1-I63) + AO63*(p_recur_Stroke*p_Stroke_rec)*(1-I63) + AP63*(p_recur_Stroke*p_Stroke_rec)*(1-I63) + AQ63*(p_recur_Stroke*p_Stroke_rec)*(1-I63)</f>
        <v>2.4218162301497448E-8</v>
      </c>
      <c r="AQ64">
        <f>AO63*(1-p_recur_Stroke-H63*rr_Stroke*rr_HF)*(1-I63) + AP63*(1-p_recur_Stroke-H63*rr_Stroke*rr_HF)*(1-I63) + AQ63*(1-p_recur_Stroke-H63*rr_Stroke*rr_HF)*(1-I63)</f>
        <v>-2.3663115095631262E-8</v>
      </c>
      <c r="AR64">
        <f>AR63*(1-AC63-H63*rr_DM) + AD63*(1-T63-H63)*I63</f>
        <v>2.4688180743105678E-5</v>
      </c>
      <c r="AS64">
        <f>AR63*AC63*p_Other + AD63*T63*p_Other*I63 + AE63*(1-T63*p_Stroke-T63*p_MI-H63*rr_Other)*I63 + AS63*(1-AC63*p_Stroke-AC63*p_MI-H63*rr_Other*rr_DM)</f>
        <v>2.1675395320058342E-6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9.5448983918915772E-7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-5.9320749586111907E-7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6.6749462326415161E-7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7.4487385864113622E-8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2.6422443593491401E-8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8.9657843384812161E-9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-3.1759624967352376E-8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4.1398427070400851E-7</v>
      </c>
      <c r="BB64">
        <f>AM63*(1-T63*p_Stroke - H63*rr_HF)*I63 + AN63*(1-T63*p_Stroke - H63*rr_HF)*I63 + BA63*(1-AC63*p_Stroke - H63*rr_HF*rr_DM) + BB63*(1-AC63*p_Stroke - H63*rr_HF*rr_DM)</f>
        <v>9.922893997961E-8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5.1423661258060804E-9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2.149888482362118E-8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-6.4905440481411155E-8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0.95789605023227975</v>
      </c>
      <c r="BG64">
        <f t="shared" si="51"/>
        <v>0.95799999999999974</v>
      </c>
      <c r="BH64">
        <f>(0.9442 - 0.0007*$B64 - dis_BMI*($C64-21.75))*AD64</f>
        <v>5.6316675675222784E-5</v>
      </c>
      <c r="BI64">
        <f>0.959*(0.9442 - 0.0007*$B64 - dis_BMI*($C64-21.75))*AE64</f>
        <v>3.6798285911204811E-6</v>
      </c>
      <c r="BJ64">
        <f>(0.943*(0.9442 - 0.0007*$B64 - dis_BMI*($C64-21.75)) - 0.19*0.5)*AF64</f>
        <v>1.022067845086347E-6</v>
      </c>
      <c r="BK64">
        <f>(0.943*(0.9442 - 0.0007*$B64 - dis_BMI*($C64-21.75)))*AG64</f>
        <v>-5.7618254113362969E-7</v>
      </c>
      <c r="BL64">
        <f>(0.955*(0.9442 - 0.0007*$B64 - dis_BMI*($C64-21.75)) - 0.15*0.5)*AH64</f>
        <v>7.4342215997919155E-7</v>
      </c>
      <c r="BM64">
        <f>(0.955*(0.9442 - 0.0007*$B64 - dis_BMI*($C64-21.75)))*AI64</f>
        <v>3.3950416407317116E-7</v>
      </c>
      <c r="BN64">
        <f>(0.955*0.943*(0.9442 - 0.0007*$B64 - dis_BMI*($C64-21.75)) - 0.19*0.5)*AJ64</f>
        <v>1.9419748490257366E-8</v>
      </c>
      <c r="BO64">
        <f>(0.955*0.943*(0.9442 - 0.0007*$B64 - dis_BMI*($C64-21.75)) - 0.15*0.5)*AK64</f>
        <v>7.1145881706779046E-9</v>
      </c>
      <c r="BP64">
        <f>(0.955*0.943*(0.9442 - 0.0007*$B64 - dis_BMI*($C64-21.75)))*AL64</f>
        <v>-2.2456863360107564E-8</v>
      </c>
      <c r="BQ64">
        <f>(0.93*(0.9442 - 0.0007*$B64 - dis_BMI*($C64-21.75)))*AM64</f>
        <v>5.078516965631373E-7</v>
      </c>
      <c r="BR64">
        <f>(0.93*(0.9442 - 0.0007*$B64 - dis_BMI*($C64-21.75)))*AN64</f>
        <v>3.6539461598970482E-7</v>
      </c>
      <c r="BS64">
        <f>(0.93*0.943*(0.9442 - 0.0007*$B64 - dis_BMI*($C64-21.75)))*AO64</f>
        <v>4.3891387651503316E-9</v>
      </c>
      <c r="BT64">
        <f>(0.93*0.943*(0.9442 - 0.0007*$B64 - dis_BMI*($C64-21.75))-0.19*0.5)*AP64</f>
        <v>1.5403216794963805E-8</v>
      </c>
      <c r="BU64">
        <f>(0.93*0.943*(0.9442 - 0.0007*$B64 - dis_BMI*($C64-21.75)))*AQ64</f>
        <v>-1.7298192035861534E-8</v>
      </c>
      <c r="BV64">
        <f>0.962*(0.9442 - 0.0007*$B64 - dis_BMI*($C64-21.75))*AR64</f>
        <v>1.9796951402339338E-5</v>
      </c>
      <c r="BW64">
        <f>0.962*0.959*(0.9442 - 0.0007*$B64 - dis_BMI*($C64-21.75))*AS64</f>
        <v>1.6668436423113956E-6</v>
      </c>
      <c r="BX64">
        <f>0.962*(0.943*(0.9442 - 0.0007*$B64 - dis_BMI*($C64-21.75)) - 0.19*0.5)*AT64</f>
        <v>6.3452821186361296E-7</v>
      </c>
      <c r="BY64">
        <f>0.962*(0.943*(0.9442 - 0.0007*$B64 - dis_BMI*($C64-21.75)))*AU64</f>
        <v>-4.4856723888153618E-7</v>
      </c>
      <c r="BZ64">
        <f>0.962*(0.955*(0.9442 - 0.0007*$B64 - dis_BMI*($C64-21.75)) - 0.15*0.5)*AV64</f>
        <v>4.6300439493395182E-7</v>
      </c>
      <c r="CA64">
        <f>0.962*(0.955*(0.9442 - 0.0007*$B64 - dis_BMI*($C64-21.75)))*AW64</f>
        <v>5.7042077364111171E-8</v>
      </c>
      <c r="CB64">
        <f>0.962*(0.955*0.943*(0.9442 - 0.0007*$B64 - dis_BMI*($C64-21.75)) - 0.19*0.5)*AX64</f>
        <v>1.6666083332544535E-8</v>
      </c>
      <c r="CC64">
        <f>0.962*(0.955*0.943*(0.9442 - 0.0007*$B64 - dis_BMI*($C64-21.75)) - 0.15*0.5)*AY64</f>
        <v>5.827713268588591E-9</v>
      </c>
      <c r="CD64">
        <f>0.962*(0.955*0.943*(0.9442 - 0.0007*$B64 - dis_BMI*($C64-21.75)))*AZ64</f>
        <v>-2.293504827040363E-8</v>
      </c>
      <c r="CE64">
        <f>0.962*(0.93*(0.9442 - 0.0007*$B64 - dis_BMI*($C64-21.75)))*BA64</f>
        <v>3.0872799877716425E-7</v>
      </c>
      <c r="CF64">
        <f>0.962*(0.93*(0.9442 - 0.0007*$B64 - dis_BMI*($C64-21.75)))*BB64</f>
        <v>7.3999797162795225E-8</v>
      </c>
      <c r="CG64">
        <f>0.962*(0.93*0.943*(0.9442 - 0.0007*$B64 - dis_BMI*($C64-21.75)))*BC64</f>
        <v>3.6163200922650844E-9</v>
      </c>
      <c r="CH64">
        <f>0.962*(0.93*0.943*(0.9442 - 0.0007*$B64 - dis_BMI*($C64-21.75))-0.19*0.5)*BD64</f>
        <v>1.3154103289849754E-8</v>
      </c>
      <c r="CI64">
        <f>0.962*(0.93*0.943*(0.9442 - 0.0007*$B64 - dis_BMI*($C64-21.75)))*BE64</f>
        <v>-4.5644133997450422E-8</v>
      </c>
      <c r="CJ64">
        <f t="shared" si="52"/>
        <v>0</v>
      </c>
      <c r="CK64">
        <f t="shared" si="53"/>
        <v>8.4928349167312479E-5</v>
      </c>
      <c r="CL64">
        <f>CK64/(1+r_)^A64</f>
        <v>1.3995292363263304E-5</v>
      </c>
      <c r="CM64">
        <f>AD64*c_SEM</f>
        <v>0.92006007204947271</v>
      </c>
      <c r="CN64">
        <f>AE64*(c_Other+c_SEM)</f>
        <v>0.12841990016569033</v>
      </c>
      <c r="CO64">
        <f>AF64*(c_Stroke1+c_Stroke2+c_SEM)</f>
        <v>5.5365777979397901E-2</v>
      </c>
      <c r="CP64">
        <f>AG64*(c_Stroke2 + c_SEM)</f>
        <v>-1.474684274018857E-2</v>
      </c>
      <c r="CQ64">
        <f>AH64*(c_MI1+c_MI2 + c_SEM)</f>
        <v>4.4096318094070198E-2</v>
      </c>
      <c r="CR64">
        <f>AI64*(c_MI2+c_SEM)</f>
        <v>7.1372891866094551E-3</v>
      </c>
      <c r="CS64">
        <f>AJ64*(c_Stroke1+c_Stroke2+c_MI2+c_SEM)</f>
        <v>1.2010460850469468E-3</v>
      </c>
      <c r="CT64">
        <f>AK64*(c_Stroke2+c_MI1+c_MI2+c_SEM)</f>
        <v>5.1878653798273229E-4</v>
      </c>
      <c r="CU64">
        <f>AL64*(c_Stroke2+c_MI2+c_SEM)</f>
        <v>-6.9509241959219618E-4</v>
      </c>
      <c r="CV64">
        <f>AM64*(c_HF1+c_SEM)</f>
        <v>2.6629253025068834E-2</v>
      </c>
      <c r="CW64">
        <f>AN64*(c_HF2+c_SEM)</f>
        <v>1.3774309485404247E-2</v>
      </c>
      <c r="CX64">
        <f>AO64*(c_Stroke2+c_HF1+c_SEM)</f>
        <v>2.8308299931191348E-4</v>
      </c>
      <c r="CY64">
        <f>AP64*(c_Stroke1+c_Stroke2+c_HF2+c_SEM)</f>
        <v>1.2845071103091232E-3</v>
      </c>
      <c r="CZ64">
        <f>AQ64*(c_Stroke2+c_HF2+c_SEM)</f>
        <v>-8.4531746056123558E-4</v>
      </c>
      <c r="DA64">
        <f>AR64*(c_DM+c_SEM)</f>
        <v>0.61826611034959544</v>
      </c>
      <c r="DB64">
        <f>AS64*(c_Other+c_DM+c_SEM)</f>
        <v>8.523198947753341E-2</v>
      </c>
      <c r="DC64">
        <f>AT64*(c_Stroke1+c_Stroke2+c_DM+c_SEM)</f>
        <v>4.6635419052943057E-2</v>
      </c>
      <c r="DD64">
        <f>AU64*(c_Stroke2+c_DM+c_SEM)</f>
        <v>-1.8711544041947279E-2</v>
      </c>
      <c r="DE64">
        <f>AV64*(c_MI1+c_MI2+c_DM+c_SEM)</f>
        <v>3.6174203613177434E-2</v>
      </c>
      <c r="DF64">
        <f>AW64*(c_MI2+c_DM+c_SEM)</f>
        <v>2.0975647859334395E-3</v>
      </c>
      <c r="DG64">
        <f>AX64*(c_Stroke1+c_Stroke2+c_MI2+c_DM+c_SEM)</f>
        <v>1.373332928215309E-3</v>
      </c>
      <c r="DH64">
        <f>AY64*(c_Stroke2+c_MI1+c_MI2+c_DM+c_SEM)</f>
        <v>5.4416931463977891E-4</v>
      </c>
      <c r="DI64">
        <f>AZ64*(c_Stroke2+c_MI2+c_DM+c_SEM)</f>
        <v>-1.1007886013684335E-3</v>
      </c>
      <c r="DJ64">
        <f>BA64*(c_HF1+c_DM+c_SEM)</f>
        <v>2.1557402928369836E-2</v>
      </c>
      <c r="DK64">
        <f>BB64*(c_HF2+c_DM+c_SEM)</f>
        <v>4.0334579522911876E-3</v>
      </c>
      <c r="DL64">
        <f>BC64*(c_Stroke2+c_HF1+c_DM+c_SEM)</f>
        <v>3.0120381108683956E-4</v>
      </c>
      <c r="DM64">
        <f>BD64*(c_Stroke1+c_Stroke2+c_HF2+c_DM+c_SEM)</f>
        <v>1.3859041112699157E-3</v>
      </c>
      <c r="DN64">
        <f>BE64*(c_Stroke2+c_HF2+c_DM+c_SEM)</f>
        <v>-3.0601617078175733E-3</v>
      </c>
      <c r="DO64">
        <f t="shared" si="54"/>
        <v>0</v>
      </c>
      <c r="DP64">
        <f t="shared" si="55"/>
        <v>1.9772113540719443</v>
      </c>
      <c r="DQ64">
        <f>DP64/(1+r_)^A64</f>
        <v>0.32582348809920048</v>
      </c>
    </row>
    <row r="65" spans="1:121" x14ac:dyDescent="0.3">
      <c r="A65">
        <v>62</v>
      </c>
      <c r="B65">
        <v>107</v>
      </c>
      <c r="C65">
        <f t="shared" si="40"/>
        <v>32.793999999999997</v>
      </c>
      <c r="D65">
        <f t="shared" si="1"/>
        <v>125</v>
      </c>
      <c r="E65">
        <f t="shared" si="42"/>
        <v>5.4</v>
      </c>
      <c r="F65">
        <v>0.46788999999999997</v>
      </c>
      <c r="G65">
        <v>0.49833</v>
      </c>
      <c r="H65">
        <f t="shared" si="43"/>
        <v>0.47397799999999995</v>
      </c>
      <c r="I65">
        <f t="shared" si="44"/>
        <v>1.9177515277734612E-2</v>
      </c>
      <c r="J65">
        <f t="shared" si="22"/>
        <v>0.56440541007486256</v>
      </c>
      <c r="K65">
        <f t="shared" si="23"/>
        <v>0.68772435245153063</v>
      </c>
      <c r="L65">
        <f t="shared" si="24"/>
        <v>0.32525129197928559</v>
      </c>
      <c r="M65">
        <f t="shared" si="25"/>
        <v>0.42361200226055129</v>
      </c>
      <c r="N65">
        <f t="shared" si="26"/>
        <v>0.9164904792654841</v>
      </c>
      <c r="O65">
        <f t="shared" si="27"/>
        <v>0.97004806388904208</v>
      </c>
      <c r="P65">
        <f t="shared" si="28"/>
        <v>0.70514219421109248</v>
      </c>
      <c r="Q65">
        <f t="shared" si="29"/>
        <v>0.82193911771835282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4.6134126650886752E-2</v>
      </c>
      <c r="U65">
        <f t="shared" si="30"/>
        <v>0.83611764346509099</v>
      </c>
      <c r="V65">
        <f t="shared" si="31"/>
        <v>0.92057465479990519</v>
      </c>
      <c r="W65">
        <f t="shared" si="32"/>
        <v>0.57522353046676944</v>
      </c>
      <c r="X65">
        <f t="shared" si="33"/>
        <v>0.69853151807287084</v>
      </c>
      <c r="Y65">
        <f t="shared" si="34"/>
        <v>0.98537253538669778</v>
      </c>
      <c r="Z65">
        <f t="shared" si="35"/>
        <v>0.99744492176423738</v>
      </c>
      <c r="AA65">
        <f t="shared" si="36"/>
        <v>0.87484020061491075</v>
      </c>
      <c r="AB65">
        <f t="shared" si="37"/>
        <v>0.94694481378522577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6.8390472485883619E-2</v>
      </c>
      <c r="AD65">
        <f t="shared" si="45"/>
        <v>3.3093249393819754E-5</v>
      </c>
      <c r="AE65">
        <f t="shared" si="46"/>
        <v>2.1717407002631635E-6</v>
      </c>
      <c r="AF65">
        <f t="shared" si="47"/>
        <v>7.6049335716989692E-7</v>
      </c>
      <c r="AG65">
        <f t="shared" si="48"/>
        <v>-4.0596381476760824E-7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5.298333947156934E-7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1.6613676501833109E-7</v>
      </c>
      <c r="AJ65">
        <f t="shared" si="49"/>
        <v>1.4836121893583607E-8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5.2480131333175076E-9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-1.5308151631121905E-8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3.3215001118652386E-7</v>
      </c>
      <c r="AN65">
        <f t="shared" si="50"/>
        <v>1.7795163746862687E-7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2.9600277236306789E-9</v>
      </c>
      <c r="AP65">
        <f>AM64*T64*p_Stroke*p_Stroke_rec*(1-I64) + AN64*T64*p_Stroke*p_Stroke_rec*(1-I64) + AO64*(p_recur_Stroke*p_Stroke_rec)*(1-I64) + AP64*(p_recur_Stroke*p_Stroke_rec)*(1-I64) + AQ64*(p_recur_Stroke*p_Stroke_rec)*(1-I64)</f>
        <v>1.1320275430360407E-8</v>
      </c>
      <c r="AQ65">
        <f>AO64*(1-p_recur_Stroke-H64*rr_Stroke*rr_HF)*(1-I64) + AP64*(1-p_recur_Stroke-H64*rr_Stroke*rr_HF)*(1-I64) + AQ64*(1-p_recur_Stroke-H64*rr_Stroke*rr_HF)*(1-I64)</f>
        <v>-1.1021731284151596E-8</v>
      </c>
      <c r="AR65">
        <f>AR64*(1-AC64-H64*rr_DM) + AD64*(1-T64-H64)*I64</f>
        <v>1.0741621902756687E-5</v>
      </c>
      <c r="AS65">
        <f>AR64*AC64*p_Other + AD64*T64*p_Other*I64 + AE64*(1-T64*p_Stroke-T64*p_MI-H64*rr_Other)*I64 + AS64*(1-AC64*p_Stroke-AC64*p_MI-H64*rr_Other*rr_DM)</f>
        <v>9.0619882417373628E-7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4.3898564693504298E-7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-2.8736765934633387E-7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3.0667035897416492E-7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5.6330721452220829E-9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1.1306376332453428E-8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3.781859244441009E-9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-7.0595148606675131E-9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1.8764938223666124E-7</v>
      </c>
      <c r="BB65">
        <f>AM64*(1-T64*p_Stroke - H64*rr_HF)*I64 + AN64*(1-T64*p_Stroke - H64*rr_HF)*I64 + BA64*(1-AC64*p_Stroke - H64*rr_HF*rr_DM) + BB64*(1-AC64*p_Stroke - H64*rr_HF*rr_DM)</f>
        <v>1.9734511463233042E-8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1.8604928795457836E-9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3.3396243092169458E-9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8.022298684506507E-8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0.95795075379613548</v>
      </c>
      <c r="BG65">
        <f t="shared" si="51"/>
        <v>0.95799999999999974</v>
      </c>
      <c r="BH65">
        <f>(0.9442 - 0.0007*$B65 - dis_BMI*($C65-21.75))*AD65</f>
        <v>2.7561871605239876E-5</v>
      </c>
      <c r="BI65">
        <f>0.959*(0.9442 - 0.0007*$B65 - dis_BMI*($C65-21.75))*AE65</f>
        <v>1.7345861352401862E-6</v>
      </c>
      <c r="BJ65">
        <f>(0.943*(0.9442 - 0.0007*$B65 - dis_BMI*($C65-21.75)) - 0.19*0.5)*AF65</f>
        <v>5.250309830113603E-7</v>
      </c>
      <c r="BK65">
        <f>(0.943*(0.9442 - 0.0007*$B65 - dis_BMI*($C65-21.75)))*AG65</f>
        <v>-3.1883670378544917E-7</v>
      </c>
      <c r="BL65">
        <f>(0.955*(0.9442 - 0.0007*$B65 - dis_BMI*($C65-21.75)) - 0.15*0.5)*AH65</f>
        <v>3.8167943851606624E-7</v>
      </c>
      <c r="BM65">
        <f>(0.955*(0.9442 - 0.0007*$B65 - dis_BMI*($C65-21.75)))*AI65</f>
        <v>1.3214125110289963E-7</v>
      </c>
      <c r="BN65">
        <f>(0.955*0.943*(0.9442 - 0.0007*$B65 - dis_BMI*($C65-21.75)) - 0.19*0.5)*AJ65</f>
        <v>9.7182515487829738E-9</v>
      </c>
      <c r="BO65">
        <f>(0.955*0.943*(0.9442 - 0.0007*$B65 - dis_BMI*($C65-21.75)) - 0.15*0.5)*AK65</f>
        <v>3.5426181712976899E-9</v>
      </c>
      <c r="BP65">
        <f>(0.955*0.943*(0.9442 - 0.0007*$B65 - dis_BMI*($C65-21.75)))*AL65</f>
        <v>-1.1481724257771225E-8</v>
      </c>
      <c r="BQ65">
        <f>(0.93*(0.9442 - 0.0007*$B65 - dis_BMI*($C65-21.75)))*AM65</f>
        <v>2.5726843995717765E-7</v>
      </c>
      <c r="BR65">
        <f>(0.93*(0.9442 - 0.0007*$B65 - dis_BMI*($C65-21.75)))*AN65</f>
        <v>1.3783332415325335E-7</v>
      </c>
      <c r="BS65">
        <f>(0.93*0.943*(0.9442 - 0.0007*$B65 - dis_BMI*($C65-21.75)))*AO65</f>
        <v>2.1620200294015645E-9</v>
      </c>
      <c r="BT65">
        <f>(0.93*0.943*(0.9442 - 0.0007*$B65 - dis_BMI*($C65-21.75))-0.19*0.5)*AP65</f>
        <v>7.1929633574279779E-9</v>
      </c>
      <c r="BU65">
        <f>(0.93*0.943*(0.9442 - 0.0007*$B65 - dis_BMI*($C65-21.75)))*AQ65</f>
        <v>-8.0503312873669327E-9</v>
      </c>
      <c r="BV65">
        <f>0.962*(0.9442 - 0.0007*$B65 - dis_BMI*($C65-21.75))*AR65</f>
        <v>8.6062553297591907E-6</v>
      </c>
      <c r="BW65">
        <f>0.962*0.959*(0.9442 - 0.0007*$B65 - dis_BMI*($C65-21.75))*AS65</f>
        <v>6.9628408178957179E-7</v>
      </c>
      <c r="BX65">
        <f>0.962*(0.943*(0.9442 - 0.0007*$B65 - dis_BMI*($C65-21.75)) - 0.19*0.5)*AT65</f>
        <v>2.9155124518806138E-7</v>
      </c>
      <c r="BY65">
        <f>0.962*(0.943*(0.9442 - 0.0007*$B65 - dis_BMI*($C65-21.75)))*AU65</f>
        <v>-2.1711705944610155E-7</v>
      </c>
      <c r="BZ65">
        <f>0.962*(0.955*(0.9442 - 0.0007*$B65 - dis_BMI*($C65-21.75)) - 0.15*0.5)*AV65</f>
        <v>2.1252318232439059E-7</v>
      </c>
      <c r="CA65">
        <f>0.962*(0.955*(0.9442 - 0.0007*$B65 - dis_BMI*($C65-21.75)))*AW65</f>
        <v>4.3101566056873346E-9</v>
      </c>
      <c r="CB65">
        <f>0.962*(0.955*0.943*(0.9442 - 0.0007*$B65 - dis_BMI*($C65-21.75)) - 0.19*0.5)*AX65</f>
        <v>7.1246945872123067E-9</v>
      </c>
      <c r="CC65">
        <f>0.962*(0.955*0.943*(0.9442 - 0.0007*$B65 - dis_BMI*($C65-21.75)) - 0.15*0.5)*AY65</f>
        <v>2.4558954005198606E-9</v>
      </c>
      <c r="CD65">
        <f>0.962*(0.955*0.943*(0.9442 - 0.0007*$B65 - dis_BMI*($C65-21.75)))*AZ65</f>
        <v>-5.0937108272687464E-9</v>
      </c>
      <c r="CE65">
        <f>0.962*(0.93*(0.9442 - 0.0007*$B65 - dis_BMI*($C65-21.75)))*BA65</f>
        <v>1.3982165960382771E-7</v>
      </c>
      <c r="CF65">
        <f>0.962*(0.93*(0.9442 - 0.0007*$B65 - dis_BMI*($C65-21.75)))*BB65</f>
        <v>1.47046161909555E-8</v>
      </c>
      <c r="CG65">
        <f>0.962*(0.93*0.943*(0.9442 - 0.0007*$B65 - dis_BMI*($C65-21.75)))*BC65</f>
        <v>1.3072751887355551E-9</v>
      </c>
      <c r="CH65">
        <f>0.962*(0.93*0.943*(0.9442 - 0.0007*$B65 - dis_BMI*($C65-21.75))-0.19*0.5)*BD65</f>
        <v>2.0413785163753833E-9</v>
      </c>
      <c r="CI65">
        <f>0.962*(0.93*0.943*(0.9442 - 0.0007*$B65 - dis_BMI*($C65-21.75)))*BE65</f>
        <v>5.63686759684971E-8</v>
      </c>
      <c r="CJ65">
        <f t="shared" si="52"/>
        <v>0</v>
      </c>
      <c r="CK65">
        <f t="shared" si="53"/>
        <v>4.0227195691846801E-5</v>
      </c>
      <c r="CL65">
        <f>CK65/(1+r_)^A65</f>
        <v>6.4359376260460782E-6</v>
      </c>
      <c r="CM65">
        <f>AD65*c_SEM</f>
        <v>0.4506638702450374</v>
      </c>
      <c r="CN65">
        <f>AE65*(c_Other+c_SEM)</f>
        <v>6.0585050315241473E-2</v>
      </c>
      <c r="CO65">
        <f>AF65*(c_Stroke1+c_Stroke2+c_SEM)</f>
        <v>2.8468308332297923E-2</v>
      </c>
      <c r="CP65">
        <f>AG65*(c_Stroke2 + c_SEM)</f>
        <v>-8.167180025494743E-3</v>
      </c>
      <c r="CQ65">
        <f>AH65*(c_MI1+c_MI2 + c_SEM)</f>
        <v>2.266044445859549E-2</v>
      </c>
      <c r="CR65">
        <f>AI65*(c_MI2+c_SEM)</f>
        <v>2.7802987625817708E-3</v>
      </c>
      <c r="CS65">
        <f>AJ65*(c_Stroke1+c_Stroke2+c_MI2+c_SEM)</f>
        <v>6.0161957890670888E-4</v>
      </c>
      <c r="CT65">
        <f>AK65*(c_Stroke2+c_MI1+c_MI2+c_SEM)</f>
        <v>2.5856435906542027E-4</v>
      </c>
      <c r="CU65">
        <f>AL65*(c_Stroke2+c_MI2+c_SEM)</f>
        <v>-3.556849031491175E-4</v>
      </c>
      <c r="CV65">
        <f>AM65*(c_HF1+c_SEM)</f>
        <v>1.3501233654709822E-2</v>
      </c>
      <c r="CW65">
        <f>AN65*(c_HF2+c_SEM)</f>
        <v>5.2002807017456831E-3</v>
      </c>
      <c r="CX65">
        <f>AO65*(c_Stroke2+c_HF1+c_SEM)</f>
        <v>1.3955938711373924E-4</v>
      </c>
      <c r="CY65">
        <f>AP65*(c_Stroke1+c_Stroke2+c_HF2+c_SEM)</f>
        <v>6.0041608855088558E-4</v>
      </c>
      <c r="CZ65">
        <f>AQ65*(c_Stroke2+c_HF2+c_SEM)</f>
        <v>-3.9372930666374745E-4</v>
      </c>
      <c r="DA65">
        <f>AR65*(c_DM+c_SEM)</f>
        <v>0.2690024373107357</v>
      </c>
      <c r="DB65">
        <f>AS65*(c_Other+c_DM+c_SEM)</f>
        <v>3.5633550164159658E-2</v>
      </c>
      <c r="DC65">
        <f>AT65*(c_Stroke1+c_Stroke2+c_DM+c_SEM)</f>
        <v>2.1448399723599264E-2</v>
      </c>
      <c r="DD65">
        <f>AU65*(c_Stroke2+c_DM+c_SEM)</f>
        <v>-9.0644380787614099E-3</v>
      </c>
      <c r="DE65">
        <f>AV65*(c_MI1+c_MI2+c_DM+c_SEM)</f>
        <v>1.6619693434245894E-2</v>
      </c>
      <c r="DF65">
        <f>AW65*(c_MI2+c_DM+c_SEM)</f>
        <v>1.5862731160945384E-4</v>
      </c>
      <c r="DG65">
        <f>AX65*(c_Stroke1+c_Stroke2+c_MI2+c_DM+c_SEM)</f>
        <v>5.8766021625559941E-4</v>
      </c>
      <c r="DH65">
        <f>AY65*(c_Stroke2+c_MI1+c_MI2+c_DM+c_SEM)</f>
        <v>2.295361649821026E-4</v>
      </c>
      <c r="DI65">
        <f>AZ65*(c_Stroke2+c_MI2+c_DM+c_SEM)</f>
        <v>-2.4468278507073599E-4</v>
      </c>
      <c r="DJ65">
        <f>BA65*(c_HF1+c_DM+c_SEM)</f>
        <v>9.7714662812096609E-3</v>
      </c>
      <c r="DK65">
        <f>BB65*(c_HF2+c_DM+c_SEM)</f>
        <v>8.0216842195749663E-4</v>
      </c>
      <c r="DL65">
        <f>BC65*(c_Stroke2+c_HF1+c_DM+c_SEM)</f>
        <v>1.0897464943363518E-4</v>
      </c>
      <c r="DM65">
        <f>BD65*(c_Stroke1+c_Stroke2+c_HF2+c_DM+c_SEM)</f>
        <v>2.1528554146936119E-4</v>
      </c>
      <c r="DN65">
        <f>BE65*(c_Stroke2+c_HF2+c_DM+c_SEM)</f>
        <v>3.7823533837711277E-3</v>
      </c>
      <c r="DO65">
        <f t="shared" si="54"/>
        <v>0</v>
      </c>
      <c r="DP65">
        <f t="shared" si="55"/>
        <v>0.92559408338813531</v>
      </c>
      <c r="DQ65">
        <f>DP65/(1+r_)^A65</f>
        <v>0.14808553480477143</v>
      </c>
    </row>
    <row r="66" spans="1:121" x14ac:dyDescent="0.3">
      <c r="A66">
        <v>63</v>
      </c>
      <c r="B66">
        <v>108</v>
      </c>
      <c r="C66">
        <f t="shared" si="40"/>
        <v>32.793999999999997</v>
      </c>
      <c r="D66">
        <f t="shared" si="1"/>
        <v>125</v>
      </c>
      <c r="E66">
        <f t="shared" si="42"/>
        <v>5.4</v>
      </c>
      <c r="F66">
        <v>0.48608000000000001</v>
      </c>
      <c r="G66">
        <v>0.51426000000000005</v>
      </c>
      <c r="H66">
        <f t="shared" si="43"/>
        <v>0.49171600000000004</v>
      </c>
      <c r="I66">
        <f t="shared" si="44"/>
        <v>1.9177515277734612E-2</v>
      </c>
      <c r="J66">
        <f t="shared" si="22"/>
        <v>0.57358727069087689</v>
      </c>
      <c r="K66">
        <f t="shared" si="23"/>
        <v>0.69690391399561635</v>
      </c>
      <c r="L66">
        <f t="shared" si="24"/>
        <v>0.33202220510733071</v>
      </c>
      <c r="M66">
        <f t="shared" si="25"/>
        <v>0.43169598239499829</v>
      </c>
      <c r="N66">
        <f t="shared" si="26"/>
        <v>0.92236550326053401</v>
      </c>
      <c r="O66">
        <f t="shared" si="27"/>
        <v>0.97298159878416379</v>
      </c>
      <c r="P66">
        <f t="shared" si="28"/>
        <v>0.71553493591471484</v>
      </c>
      <c r="Q66">
        <f t="shared" si="29"/>
        <v>0.83074210458770692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4.6882153747456044E-2</v>
      </c>
      <c r="U66">
        <f t="shared" si="30"/>
        <v>0.84354252851543032</v>
      </c>
      <c r="V66">
        <f t="shared" si="31"/>
        <v>0.92556812378941178</v>
      </c>
      <c r="W66">
        <f t="shared" si="32"/>
        <v>0.58444535362725891</v>
      </c>
      <c r="X66">
        <f t="shared" si="33"/>
        <v>0.70765747201286044</v>
      </c>
      <c r="Y66">
        <f t="shared" si="34"/>
        <v>0.98708011730584677</v>
      </c>
      <c r="Z66">
        <f t="shared" si="35"/>
        <v>0.99785597777146617</v>
      </c>
      <c r="AA66">
        <f t="shared" si="36"/>
        <v>0.88225382031115185</v>
      </c>
      <c r="AB66">
        <f t="shared" si="37"/>
        <v>0.95133035750724859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6.9152888846467378E-2</v>
      </c>
      <c r="AD66">
        <f t="shared" si="45"/>
        <v>1.5576490012572512E-5</v>
      </c>
      <c r="AE66">
        <f t="shared" si="46"/>
        <v>9.9119583936565393E-7</v>
      </c>
      <c r="AF66">
        <f t="shared" si="47"/>
        <v>3.7604364468185126E-7</v>
      </c>
      <c r="AG66">
        <f t="shared" si="48"/>
        <v>-2.1340246178330385E-7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2.6186967884669254E-7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5.8981312520475982E-8</v>
      </c>
      <c r="AJ66">
        <f t="shared" si="49"/>
        <v>7.1809115285865776E-9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2.527417597252527E-9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-7.5798651324509744E-9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1.6224953845214926E-7</v>
      </c>
      <c r="AN66">
        <f t="shared" si="50"/>
        <v>6.3415049530125557E-8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1.4136285239760413E-9</v>
      </c>
      <c r="AP66">
        <f>AM65*T65*p_Stroke*p_Stroke_rec*(1-I65) + AN65*T65*p_Stroke*p_Stroke_rec*(1-I65) + AO65*(p_recur_Stroke*p_Stroke_rec)*(1-I65) + AP65*(p_recur_Stroke*p_Stroke_rec)*(1-I65) + AQ65*(p_recur_Stroke*p_Stroke_rec)*(1-I65)</f>
        <v>5.2369535905918207E-9</v>
      </c>
      <c r="AQ66">
        <f>AO65*(1-p_recur_Stroke-H65*rr_Stroke*rr_HF)*(1-I65) + AP65*(1-p_recur_Stroke-H65*rr_Stroke*rr_HF)*(1-I65) + AQ65*(1-p_recur_Stroke-H65*rr_Stroke*rr_HF)*(1-I65)</f>
        <v>-5.8170682077421097E-9</v>
      </c>
      <c r="AR66">
        <f>AR65*(1-AC65-H65*rr_DM) + AD65*(1-T65-H65)*I65</f>
        <v>4.4565700306433941E-6</v>
      </c>
      <c r="AS66">
        <f>AR65*AC65*p_Other + AD65*T65*p_Other*I65 + AE65*(1-T65*p_Stroke-T65*p_MI-H65*rr_Other)*I65 + AS65*(1-AC65*p_Stroke-AC65*p_MI-H65*rr_Other*rr_DM)</f>
        <v>3.6323627893285386E-7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1.926517650813651E-7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-1.3170294275693546E-7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1.3447287934236431E-7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-8.5431141672476703E-9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5.5462507815123183E-9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1.9246722301123881E-9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-1.5962476109154324E-8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8.1326161077883248E-8</v>
      </c>
      <c r="BB66">
        <f>AM65*(1-T65*p_Stroke - H65*rr_HF)*I65 + AN65*(1-T65*p_Stroke - H65*rr_HF)*I65 + BA65*(1-AC65*p_Stroke - H65*rr_HF*rr_DM) + BB65*(1-AC65*p_Stroke - H65*rr_HF*rr_DM)</f>
        <v>-3.7057240189863416E-10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1.4407479180730956E-9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1.2534246385033006E-8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-1.9018634085638427E-7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0.9579778172578215</v>
      </c>
      <c r="BG66">
        <f t="shared" si="51"/>
        <v>0.95799999999999963</v>
      </c>
      <c r="BH66">
        <f>(0.9442 - 0.0007*$B66 - dis_BMI*($C66-21.75))*AD66</f>
        <v>1.2962050931114277E-5</v>
      </c>
      <c r="BI66">
        <f>0.959*(0.9442 - 0.0007*$B66 - dis_BMI*($C66-21.75))*AE66</f>
        <v>7.9101041207396345E-7</v>
      </c>
      <c r="BJ66">
        <f>(0.943*(0.9442 - 0.0007*$B66 - dis_BMI*($C66-21.75)) - 0.19*0.5)*AF66</f>
        <v>2.5936556582262583E-7</v>
      </c>
      <c r="BK66">
        <f>(0.943*(0.9442 - 0.0007*$B66 - dis_BMI*($C66-21.75)))*AG66</f>
        <v>-1.6746160157921969E-7</v>
      </c>
      <c r="BL66">
        <f>(0.955*(0.9442 - 0.0007*$B66 - dis_BMI*($C66-21.75)) - 0.15*0.5)*AH66</f>
        <v>1.8846965935302872E-7</v>
      </c>
      <c r="BM66">
        <f>(0.955*(0.9442 - 0.0007*$B66 - dis_BMI*($C66-21.75)))*AI66</f>
        <v>4.6872911119624551E-8</v>
      </c>
      <c r="BN66">
        <f>(0.955*0.943*(0.9442 - 0.0007*$B66 - dis_BMI*($C66-21.75)) - 0.19*0.5)*AJ66</f>
        <v>4.6992566329323096E-9</v>
      </c>
      <c r="BO66">
        <f>(0.955*0.943*(0.9442 - 0.0007*$B66 - dis_BMI*($C66-21.75)) - 0.15*0.5)*AK66</f>
        <v>1.7045144063655164E-9</v>
      </c>
      <c r="BP66">
        <f>(0.955*0.943*(0.9442 - 0.0007*$B66 - dis_BMI*($C66-21.75)))*AL66</f>
        <v>-5.6804228439411694E-9</v>
      </c>
      <c r="BQ66">
        <f>(0.93*(0.9442 - 0.0007*$B66 - dis_BMI*($C66-21.75)))*AM66</f>
        <v>1.2556556096528877E-7</v>
      </c>
      <c r="BR66">
        <f>(0.93*(0.9442 - 0.0007*$B66 - dis_BMI*($C66-21.75)))*AN66</f>
        <v>4.9077158208620516E-8</v>
      </c>
      <c r="BS66">
        <f>(0.93*0.943*(0.9442 - 0.0007*$B66 - dis_BMI*($C66-21.75)))*AO66</f>
        <v>1.0316539933838015E-9</v>
      </c>
      <c r="BT66">
        <f>(0.93*0.943*(0.9442 - 0.0007*$B66 - dis_BMI*($C66-21.75))-0.19*0.5)*AP66</f>
        <v>3.3243733007833673E-9</v>
      </c>
      <c r="BU66">
        <f>(0.93*0.943*(0.9442 - 0.0007*$B66 - dis_BMI*($C66-21.75)))*AQ66</f>
        <v>-4.2452465725746847E-9</v>
      </c>
      <c r="BV66">
        <f>0.962*(0.9442 - 0.0007*$B66 - dis_BMI*($C66-21.75))*AR66</f>
        <v>3.5676310091196778E-6</v>
      </c>
      <c r="BW66">
        <f>0.962*0.959*(0.9442 - 0.0007*$B66 - dis_BMI*($C66-21.75))*AS66</f>
        <v>2.7886051162804121E-7</v>
      </c>
      <c r="BX66">
        <f>0.962*(0.943*(0.9442 - 0.0007*$B66 - dis_BMI*($C66-21.75)) - 0.19*0.5)*AT66</f>
        <v>1.2782686223445067E-7</v>
      </c>
      <c r="BY66">
        <f>0.962*(0.943*(0.9442 - 0.0007*$B66 - dis_BMI*($C66-21.75)))*AU66</f>
        <v>-9.9422886183477553E-8</v>
      </c>
      <c r="BZ66">
        <f>0.962*(0.955*(0.9442 - 0.0007*$B66 - dis_BMI*($C66-21.75)) - 0.15*0.5)*AV66</f>
        <v>9.3103499703753387E-8</v>
      </c>
      <c r="CA66">
        <f>0.962*(0.955*(0.9442 - 0.0007*$B66 - dis_BMI*($C66-21.75)))*AW66</f>
        <v>-6.5312871247603211E-9</v>
      </c>
      <c r="CB66">
        <f>0.962*(0.955*0.943*(0.9442 - 0.0007*$B66 - dis_BMI*($C66-21.75)) - 0.19*0.5)*AX66</f>
        <v>3.4915974042771158E-9</v>
      </c>
      <c r="CC66">
        <f>0.962*(0.955*0.943*(0.9442 - 0.0007*$B66 - dis_BMI*($C66-21.75)) - 0.15*0.5)*AY66</f>
        <v>1.2486925581772277E-9</v>
      </c>
      <c r="CD66">
        <f>0.962*(0.955*0.943*(0.9442 - 0.0007*$B66 - dis_BMI*($C66-21.75)))*AZ66</f>
        <v>-1.1507858660081504E-8</v>
      </c>
      <c r="CE66">
        <f>0.962*(0.93*(0.9442 - 0.0007*$B66 - dis_BMI*($C66-21.75)))*BA66</f>
        <v>6.0546970174543477E-8</v>
      </c>
      <c r="CF66">
        <f>0.962*(0.93*(0.9442 - 0.0007*$B66 - dis_BMI*($C66-21.75)))*BB66</f>
        <v>-2.7588952764877674E-10</v>
      </c>
      <c r="CG66">
        <f>0.962*(0.93*0.943*(0.9442 - 0.0007*$B66 - dis_BMI*($C66-21.75)))*BC66</f>
        <v>1.011490566190952E-9</v>
      </c>
      <c r="CH66">
        <f>0.962*(0.93*0.943*(0.9442 - 0.0007*$B66 - dis_BMI*($C66-21.75))-0.19*0.5)*BD66</f>
        <v>7.6542802607223645E-9</v>
      </c>
      <c r="CI66">
        <f>0.962*(0.93*0.943*(0.9442 - 0.0007*$B66 - dis_BMI*($C66-21.75)))*BE66</f>
        <v>-1.3352210139015425E-7</v>
      </c>
      <c r="CJ66">
        <f t="shared" si="52"/>
        <v>0</v>
      </c>
      <c r="CK66">
        <f t="shared" si="53"/>
        <v>1.8145899616758871E-5</v>
      </c>
      <c r="CL66">
        <f>CK66/(1+r_)^A66</f>
        <v>2.8185993510549414E-6</v>
      </c>
      <c r="CM66">
        <f>AD66*c_SEM</f>
        <v>0.21212064099121247</v>
      </c>
      <c r="CN66">
        <f>AE66*(c_Other+c_SEM)</f>
        <v>2.7651390330783648E-2</v>
      </c>
      <c r="CO66">
        <f>AF66*(c_Stroke1+c_Stroke2+c_SEM)</f>
        <v>1.4076817795020419E-2</v>
      </c>
      <c r="CP66">
        <f>AG66*(c_Stroke2 + c_SEM)</f>
        <v>-4.2932307261565068E-3</v>
      </c>
      <c r="CQ66">
        <f>AH66*(c_MI1+c_MI2 + c_SEM)</f>
        <v>1.1199904294594193E-2</v>
      </c>
      <c r="CR66">
        <f>AI66*(c_MI2+c_SEM)</f>
        <v>9.8705226503016555E-4</v>
      </c>
      <c r="CS66">
        <f>AJ66*(c_Stroke1+c_Stroke2+c_MI2+c_SEM)</f>
        <v>2.9119314339571433E-4</v>
      </c>
      <c r="CT66">
        <f>AK66*(c_Stroke2+c_MI1+c_MI2+c_SEM)</f>
        <v>1.2452333759903475E-4</v>
      </c>
      <c r="CU66">
        <f>AL66*(c_Stroke2+c_MI2+c_SEM)</f>
        <v>-1.7611816635249838E-4</v>
      </c>
      <c r="CV66">
        <f>AM66*(c_HF1+c_SEM)</f>
        <v>6.5951192390029632E-3</v>
      </c>
      <c r="CW66">
        <f>AN66*(c_HF2+c_SEM)</f>
        <v>1.8531779924188592E-3</v>
      </c>
      <c r="CX66">
        <f>AO66*(c_Stroke2+c_HF1+c_SEM)</f>
        <v>6.6649757648422399E-5</v>
      </c>
      <c r="CY66">
        <f>AP66*(c_Stroke1+c_Stroke2+c_HF2+c_SEM)</f>
        <v>2.7776278149139956E-4</v>
      </c>
      <c r="CZ66">
        <f>AQ66*(c_Stroke2+c_HF2+c_SEM)</f>
        <v>-2.0780312758517138E-4</v>
      </c>
      <c r="DA66">
        <f>AR66*(c_DM+c_SEM)</f>
        <v>0.11160588327740252</v>
      </c>
      <c r="DB66">
        <f>AS66*(c_Other+c_DM+c_SEM)</f>
        <v>1.428317696019768E-2</v>
      </c>
      <c r="DC66">
        <f>AT66*(c_Stroke1+c_Stroke2+c_DM+c_SEM)</f>
        <v>9.4127725901104169E-3</v>
      </c>
      <c r="DD66">
        <f>AU66*(c_Stroke2+c_DM+c_SEM)</f>
        <v>-4.1543059233820154E-3</v>
      </c>
      <c r="DE66">
        <f>AV66*(c_MI1+c_MI2+c_DM+c_SEM)</f>
        <v>7.2876232230800917E-3</v>
      </c>
      <c r="DF66">
        <f>AW66*(c_MI2+c_DM+c_SEM)</f>
        <v>-2.4057409494969439E-4</v>
      </c>
      <c r="DG66">
        <f>AX66*(c_Stroke1+c_Stroke2+c_MI2+c_DM+c_SEM)</f>
        <v>2.8827193061988426E-4</v>
      </c>
      <c r="DH66">
        <f>AY66*(c_Stroke2+c_MI1+c_MI2+c_DM+c_SEM)</f>
        <v>1.1681605633444129E-4</v>
      </c>
      <c r="DI66">
        <f>AZ66*(c_Stroke2+c_MI2+c_DM+c_SEM)</f>
        <v>-5.5325942194328886E-4</v>
      </c>
      <c r="DJ66">
        <f>BA66*(c_HF1+c_DM+c_SEM)</f>
        <v>4.2348971858086146E-3</v>
      </c>
      <c r="DK66">
        <f>BB66*(c_HF2+c_DM+c_SEM)</f>
        <v>-1.506302699237568E-5</v>
      </c>
      <c r="DL66">
        <f>BC66*(c_Stroke2+c_HF1+c_DM+c_SEM)</f>
        <v>8.4388927805295434E-5</v>
      </c>
      <c r="DM66">
        <f>BD66*(c_Stroke1+c_Stroke2+c_HF2+c_DM+c_SEM)</f>
        <v>8.0800765896476775E-4</v>
      </c>
      <c r="DN66">
        <f>BE66*(c_Stroke2+c_HF2+c_DM+c_SEM)</f>
        <v>-8.9669055986968046E-3</v>
      </c>
      <c r="DO66">
        <f t="shared" si="54"/>
        <v>0</v>
      </c>
      <c r="DP66">
        <f t="shared" si="55"/>
        <v>0.40475880965246258</v>
      </c>
      <c r="DQ66">
        <f>DP66/(1+r_)^A66</f>
        <v>6.2871113712463872E-2</v>
      </c>
    </row>
    <row r="67" spans="1:121" x14ac:dyDescent="0.3">
      <c r="A67">
        <v>64</v>
      </c>
      <c r="B67">
        <v>109</v>
      </c>
      <c r="C67">
        <f t="shared" si="40"/>
        <v>32.793999999999997</v>
      </c>
      <c r="D67">
        <f t="shared" ref="D67" si="56">SBP_BL</f>
        <v>125</v>
      </c>
      <c r="E67">
        <f t="shared" si="42"/>
        <v>5.4</v>
      </c>
      <c r="F67">
        <v>0.50319000000000003</v>
      </c>
      <c r="G67">
        <v>0.52910000000000001</v>
      </c>
      <c r="H67">
        <f t="shared" si="43"/>
        <v>0.50837200000000005</v>
      </c>
      <c r="I67">
        <f t="shared" si="44"/>
        <v>1.9177515277734612E-2</v>
      </c>
      <c r="J67">
        <f t="shared" si="22"/>
        <v>0.58271841467989671</v>
      </c>
      <c r="K67">
        <f t="shared" si="23"/>
        <v>0.70595459909195712</v>
      </c>
      <c r="L67">
        <f t="shared" si="24"/>
        <v>0.33883229656428904</v>
      </c>
      <c r="M67">
        <f t="shared" si="25"/>
        <v>0.43979370213407176</v>
      </c>
      <c r="N67">
        <f t="shared" si="26"/>
        <v>0.92793115659214842</v>
      </c>
      <c r="O67">
        <f t="shared" si="27"/>
        <v>0.97567740292453331</v>
      </c>
      <c r="P67">
        <f t="shared" si="28"/>
        <v>0.7257558634324196</v>
      </c>
      <c r="Q67">
        <f t="shared" si="29"/>
        <v>0.8392709783173643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4.7626595182368149E-2</v>
      </c>
      <c r="U67">
        <f t="shared" si="30"/>
        <v>0.85074222573734326</v>
      </c>
      <c r="V67">
        <f t="shared" si="31"/>
        <v>0.93032037122229916</v>
      </c>
      <c r="W67">
        <f t="shared" si="32"/>
        <v>0.59361028169712204</v>
      </c>
      <c r="X67">
        <f t="shared" si="33"/>
        <v>0.71664711708476991</v>
      </c>
      <c r="Y67">
        <f t="shared" si="34"/>
        <v>0.98861631285920493</v>
      </c>
      <c r="Z67">
        <f t="shared" si="35"/>
        <v>0.99820712775942788</v>
      </c>
      <c r="AA67">
        <f t="shared" si="36"/>
        <v>0.88936186063274414</v>
      </c>
      <c r="AB67">
        <f t="shared" si="37"/>
        <v>0.95542943250335399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6.9901592126866557E-2</v>
      </c>
      <c r="AD67">
        <f t="shared" si="45"/>
        <v>7.0491920401132298E-6</v>
      </c>
      <c r="AE67">
        <f t="shared" si="46"/>
        <v>4.3734115408635186E-7</v>
      </c>
      <c r="AF67">
        <f t="shared" si="47"/>
        <v>1.7881512003526107E-7</v>
      </c>
      <c r="AG67">
        <f t="shared" si="48"/>
        <v>-1.0678174494523158E-7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1.2448139609957843E-7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1.8317248836038814E-8</v>
      </c>
      <c r="AJ67">
        <f t="shared" si="49"/>
        <v>3.3523618784847146E-9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1.1736114337034119E-9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-3.5611728697753863E-9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7.6343028950020963E-8</v>
      </c>
      <c r="AN67">
        <f t="shared" si="50"/>
        <v>2.0870738427468019E-8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6.4941632715406608E-10</v>
      </c>
      <c r="AP67">
        <f>AM66*T66*p_Stroke*p_Stroke_rec*(1-I66) + AN66*T66*p_Stroke*p_Stroke_rec*(1-I66) + AO66*(p_recur_Stroke*p_Stroke_rec)*(1-I66) + AP66*(p_recur_Stroke*p_Stroke_rec)*(1-I66) + AQ66*(p_recur_Stroke*p_Stroke_rec)*(1-I66)</f>
        <v>2.2859756622690252E-9</v>
      </c>
      <c r="AQ67">
        <f>AO66*(1-p_recur_Stroke-H66*rr_Stroke*rr_HF)*(1-I66) + AP66*(1-p_recur_Stroke-H66*rr_Stroke*rr_HF)*(1-I66) + AQ66*(1-p_recur_Stroke-H66*rr_Stroke*rr_HF)*(1-I66)</f>
        <v>-1.5705629665458805E-9</v>
      </c>
      <c r="AR67">
        <f>AR66*(1-AC66-H66*rr_DM) + AD66*(1-T66-H66)*I66</f>
        <v>1.7661427409338262E-6</v>
      </c>
      <c r="AS67">
        <f>AR66*AC66*p_Other + AD66*T66*p_Other*I66 + AE66*(1-T66*p_Stroke-T66*p_MI-H66*rr_Other)*I66 + AS66*(1-AC66*p_Stroke-AC66*p_MI-H66*rr_Other*rr_DM)</f>
        <v>1.3972462608892971E-7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8.0752056582822631E-8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-5.7255393081345009E-8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5.632704869384657E-8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-7.6324908684105161E-9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9.7077847030786343E-10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2.1726198159606284E-10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1.7512913431937835E-8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3.3719467163297284E-8</v>
      </c>
      <c r="BB67">
        <f>AM66*(1-T66*p_Stroke - H66*rr_HF)*I66 + AN66*(1-T66*p_Stroke - H66*rr_HF)*I66 + BA66*(1-AC66*p_Stroke - H66*rr_HF*rr_DM) + BB66*(1-AC66*p_Stroke - H66*rr_HF*rr_DM)</f>
        <v>-3.2403307079726012E-9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-5.8675475103713449E-10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-1.8224433164648482E-8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4.1252864775558131E-7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0.9579897781352501</v>
      </c>
      <c r="BG67">
        <f t="shared" si="51"/>
        <v>0.95799999999999974</v>
      </c>
      <c r="BH67">
        <f>(0.9442 - 0.0007*$B67 - dis_BMI*($C67-21.75))*AD67</f>
        <v>5.8610845578739375E-6</v>
      </c>
      <c r="BI67">
        <f>0.959*(0.9442 - 0.0007*$B67 - dis_BMI*($C67-21.75))*AE67</f>
        <v>3.4872059632872878E-7</v>
      </c>
      <c r="BJ67">
        <f>(0.943*(0.9442 - 0.0007*$B67 - dis_BMI*($C67-21.75)) - 0.19*0.5)*AF67</f>
        <v>1.2321468214018823E-7</v>
      </c>
      <c r="BK67">
        <f>(0.943*(0.9442 - 0.0007*$B67 - dis_BMI*($C67-21.75)))*AG67</f>
        <v>-8.3723495307024493E-8</v>
      </c>
      <c r="BL67">
        <f>(0.955*(0.9442 - 0.0007*$B67 - dis_BMI*($C67-21.75)) - 0.15*0.5)*AH67</f>
        <v>8.9507020146831085E-8</v>
      </c>
      <c r="BM67">
        <f>(0.955*(0.9442 - 0.0007*$B67 - dis_BMI*($C67-21.75)))*AI67</f>
        <v>1.4544616066480536E-8</v>
      </c>
      <c r="BN67">
        <f>(0.955*0.943*(0.9442 - 0.0007*$B67 - dis_BMI*($C67-21.75)) - 0.19*0.5)*AJ67</f>
        <v>2.1917041048437615E-9</v>
      </c>
      <c r="BO67">
        <f>(0.955*0.943*(0.9442 - 0.0007*$B67 - dis_BMI*($C67-21.75)) - 0.15*0.5)*AK67</f>
        <v>7.9075484611690585E-10</v>
      </c>
      <c r="BP67">
        <f>(0.955*0.943*(0.9442 - 0.0007*$B67 - dis_BMI*($C67-21.75)))*AL67</f>
        <v>-2.6665317877501235E-9</v>
      </c>
      <c r="BQ67">
        <f>(0.93*(0.9442 - 0.0007*$B67 - dis_BMI*($C67-21.75)))*AM67</f>
        <v>5.9032473416341526E-8</v>
      </c>
      <c r="BR67">
        <f>(0.93*(0.9442 - 0.0007*$B67 - dis_BMI*($C67-21.75)))*AN67</f>
        <v>1.6138360349908349E-8</v>
      </c>
      <c r="BS67">
        <f>(0.93*0.943*(0.9442 - 0.0007*$B67 - dis_BMI*($C67-21.75)))*AO67</f>
        <v>4.7353980315088847E-10</v>
      </c>
      <c r="BT67">
        <f>(0.93*0.943*(0.9442 - 0.0007*$B67 - dis_BMI*($C67-21.75))-0.19*0.5)*AP67</f>
        <v>1.4497144335463905E-9</v>
      </c>
      <c r="BU67">
        <f>(0.93*0.943*(0.9442 - 0.0007*$B67 - dis_BMI*($C67-21.75)))*AQ67</f>
        <v>-1.1452192482955117E-9</v>
      </c>
      <c r="BV67">
        <f>0.962*(0.9442 - 0.0007*$B67 - dis_BMI*($C67-21.75))*AR67</f>
        <v>1.4126660807760722E-6</v>
      </c>
      <c r="BW67">
        <f>0.962*0.959*(0.9442 - 0.0007*$B67 - dis_BMI*($C67-21.75))*AS67</f>
        <v>1.0717790906749808E-7</v>
      </c>
      <c r="BX67">
        <f>0.962*(0.943*(0.9442 - 0.0007*$B67 - dis_BMI*($C67-21.75)) - 0.19*0.5)*AT67</f>
        <v>5.3528723414098218E-8</v>
      </c>
      <c r="BY67">
        <f>0.962*(0.943*(0.9442 - 0.0007*$B67 - dis_BMI*($C67-21.75)))*AU67</f>
        <v>-4.3185883637910544E-8</v>
      </c>
      <c r="BZ67">
        <f>0.962*(0.955*(0.9442 - 0.0007*$B67 - dis_BMI*($C67-21.75)) - 0.15*0.5)*AV67</f>
        <v>3.8962311763006668E-8</v>
      </c>
      <c r="CA67">
        <f>0.962*(0.955*(0.9442 - 0.0007*$B67 - dis_BMI*($C67-21.75)))*AW67</f>
        <v>-5.8301990432090446E-9</v>
      </c>
      <c r="CB67">
        <f>0.962*(0.955*0.943*(0.9442 - 0.0007*$B67 - dis_BMI*($C67-21.75)) - 0.19*0.5)*AX67</f>
        <v>6.1055702947519724E-10</v>
      </c>
      <c r="CC67">
        <f>0.962*(0.955*0.943*(0.9442 - 0.0007*$B67 - dis_BMI*($C67-21.75)) - 0.15*0.5)*AY67</f>
        <v>1.4082389061190892E-10</v>
      </c>
      <c r="CD67">
        <f>0.962*(0.955*0.943*(0.9442 - 0.0007*$B67 - dis_BMI*($C67-21.75)))*AZ67</f>
        <v>1.2614997887322855E-8</v>
      </c>
      <c r="CE67">
        <f>0.962*(0.93*(0.9442 - 0.0007*$B67 - dis_BMI*($C67-21.75)))*BA67</f>
        <v>2.5082878167236525E-8</v>
      </c>
      <c r="CF67">
        <f>0.962*(0.93*(0.9442 - 0.0007*$B67 - dis_BMI*($C67-21.75)))*BB67</f>
        <v>-2.4103827019573911E-9</v>
      </c>
      <c r="CG67">
        <f>0.962*(0.93*0.943*(0.9442 - 0.0007*$B67 - dis_BMI*($C67-21.75)))*BC67</f>
        <v>-4.1159015013031871E-10</v>
      </c>
      <c r="CH67">
        <f>0.962*(0.93*0.943*(0.9442 - 0.0007*$B67 - dis_BMI*($C67-21.75))-0.19*0.5)*BD67</f>
        <v>-1.1118340285516828E-8</v>
      </c>
      <c r="CI67">
        <f>0.962*(0.93*0.943*(0.9442 - 0.0007*$B67 - dis_BMI*($C67-21.75)))*BE67</f>
        <v>2.8937597482194269E-7</v>
      </c>
      <c r="CJ67">
        <f t="shared" si="52"/>
        <v>0</v>
      </c>
      <c r="CK67">
        <f t="shared" si="53"/>
        <v>8.3068166341655431E-6</v>
      </c>
      <c r="CL67">
        <f>CK67/(1+r_)^A67</f>
        <v>1.2527148992433886E-6</v>
      </c>
      <c r="CM67">
        <f>AD67*c_SEM</f>
        <v>9.5995897202261968E-2</v>
      </c>
      <c r="CN67">
        <f>AE67*(c_Other+c_SEM)</f>
        <v>1.2200506175546957E-2</v>
      </c>
      <c r="CO67">
        <f>AF67*(c_Stroke1+c_Stroke2+c_SEM)</f>
        <v>6.6937652033999626E-3</v>
      </c>
      <c r="CP67">
        <f>AG67*(c_Stroke2 + c_SEM)</f>
        <v>-2.148235144808169E-3</v>
      </c>
      <c r="CQ67">
        <f>AH67*(c_MI1+c_MI2 + c_SEM)</f>
        <v>5.3239448297828697E-3</v>
      </c>
      <c r="CR67">
        <f>AI67*(c_MI2+c_SEM)</f>
        <v>3.0653915927110958E-4</v>
      </c>
      <c r="CS67">
        <f>AJ67*(c_Stroke1+c_Stroke2+c_MI2+c_SEM)</f>
        <v>1.3594162653443367E-4</v>
      </c>
      <c r="CT67">
        <f>AK67*(c_Stroke2+c_MI1+c_MI2+c_SEM)</f>
        <v>5.7822661727133398E-5</v>
      </c>
      <c r="CU67">
        <f>AL67*(c_Stroke2+c_MI2+c_SEM)</f>
        <v>-8.2743851629231102E-5</v>
      </c>
      <c r="CV67">
        <f>AM67*(c_HF1+c_SEM)</f>
        <v>3.1031914407604519E-3</v>
      </c>
      <c r="CW67">
        <f>AN67*(c_HF2+c_SEM)</f>
        <v>6.0990558906589794E-4</v>
      </c>
      <c r="CX67">
        <f>AO67*(c_Stroke2+c_HF1+c_SEM)</f>
        <v>3.0618680992659911E-5</v>
      </c>
      <c r="CY67">
        <f>AP67*(c_Stroke1+c_Stroke2+c_HF2+c_SEM)</f>
        <v>1.2124586315108683E-4</v>
      </c>
      <c r="CZ67">
        <f>AQ67*(c_Stroke2+c_HF2+c_SEM)</f>
        <v>-5.6105220853918486E-5</v>
      </c>
      <c r="DA67">
        <f>AR67*(c_DM+c_SEM)</f>
        <v>4.4229512661205811E-2</v>
      </c>
      <c r="DB67">
        <f>AS67*(c_Other+c_DM+c_SEM)</f>
        <v>5.4942517470688941E-3</v>
      </c>
      <c r="DC67">
        <f>AT67*(c_Stroke1+c_Stroke2+c_DM+c_SEM)</f>
        <v>3.9454647325801312E-3</v>
      </c>
      <c r="DD67">
        <f>AU67*(c_Stroke2+c_DM+c_SEM)</f>
        <v>-1.8060068639648656E-3</v>
      </c>
      <c r="DE67">
        <f>AV67*(c_MI1+c_MI2+c_DM+c_SEM)</f>
        <v>3.052588076914321E-3</v>
      </c>
      <c r="DF67">
        <f>AW67*(c_MI2+c_DM+c_SEM)</f>
        <v>-2.1493094285444014E-4</v>
      </c>
      <c r="DG67">
        <f>AX67*(c_Stroke1+c_Stroke2+c_MI2+c_DM+c_SEM)</f>
        <v>5.045718177272151E-5</v>
      </c>
      <c r="DH67">
        <f>AY67*(c_Stroke2+c_MI1+c_MI2+c_DM+c_SEM)</f>
        <v>1.3186498710991437E-5</v>
      </c>
      <c r="DI67">
        <f>AZ67*(c_Stroke2+c_MI2+c_DM+c_SEM)</f>
        <v>6.0699757955096534E-4</v>
      </c>
      <c r="DJ67">
        <f>BA67*(c_HF1+c_DM+c_SEM)</f>
        <v>1.7558738135943794E-3</v>
      </c>
      <c r="DK67">
        <f>BB67*(c_HF2+c_DM+c_SEM)</f>
        <v>-1.3171296261767028E-4</v>
      </c>
      <c r="DL67">
        <f>BC67*(c_Stroke2+c_HF1+c_DM+c_SEM)</f>
        <v>-3.4367986032498081E-5</v>
      </c>
      <c r="DM67">
        <f>BD67*(c_Stroke1+c_Stroke2+c_HF2+c_DM+c_SEM)</f>
        <v>-1.1748198595258998E-3</v>
      </c>
      <c r="DN67">
        <f>BE67*(c_Stroke2+c_HF2+c_DM+c_SEM)</f>
        <v>1.9449900684380149E-2</v>
      </c>
      <c r="DO67">
        <f t="shared" si="54"/>
        <v>0</v>
      </c>
      <c r="DP67">
        <f t="shared" si="55"/>
        <v>0.19752868857598621</v>
      </c>
      <c r="DQ67">
        <f>DP67/(1+r_)^A67</f>
        <v>2.978844268566215E-2</v>
      </c>
    </row>
    <row r="68" spans="1:121" x14ac:dyDescent="0.3">
      <c r="CF68" s="6" t="s">
        <v>192</v>
      </c>
      <c r="CG68" s="6"/>
      <c r="CH68" s="6"/>
      <c r="CI68" s="6"/>
      <c r="CJ68" s="6"/>
      <c r="CK68">
        <f>SUM(CK3:CK67)</f>
        <v>27.764861576741087</v>
      </c>
      <c r="CL68">
        <f>SUM(CL3:CL67)</f>
        <v>17.207368525049755</v>
      </c>
      <c r="DK68" s="6" t="s">
        <v>196</v>
      </c>
      <c r="DL68" s="6"/>
      <c r="DM68" s="6"/>
      <c r="DN68" s="6"/>
      <c r="DO68" s="6"/>
      <c r="DP68" s="11">
        <f>SUM(DP3:DP67)</f>
        <v>621597.43568194471</v>
      </c>
      <c r="DQ68" s="11">
        <f>SUM(DQ3:DQ67)</f>
        <v>355128.79010310391</v>
      </c>
    </row>
    <row r="69" spans="1:121" x14ac:dyDescent="0.3">
      <c r="CF69" s="6" t="s">
        <v>193</v>
      </c>
      <c r="CG69" s="6"/>
      <c r="CH69" s="6"/>
      <c r="CI69" s="6"/>
      <c r="CJ69" s="6"/>
      <c r="CK69">
        <f>disc_SEM*TRT_DISC!CK68</f>
        <v>1.1481115278652145</v>
      </c>
      <c r="CL69">
        <f>disc_SEM*TRT_DISC!CL68</f>
        <v>0.72132338569124266</v>
      </c>
      <c r="DK69" s="6" t="s">
        <v>195</v>
      </c>
      <c r="DL69" s="6"/>
      <c r="DM69" s="6"/>
      <c r="DN69" s="6"/>
      <c r="DO69" s="6"/>
      <c r="DP69" s="11">
        <f>disc_SEM*TRT_DISC!DP68</f>
        <v>12848.998553664591</v>
      </c>
      <c r="DQ69" s="11">
        <f>disc_SEM*TRT_DISC!DQ68</f>
        <v>6583.4149256766477</v>
      </c>
    </row>
    <row r="70" spans="1:121" x14ac:dyDescent="0.3">
      <c r="CI70" s="6" t="s">
        <v>194</v>
      </c>
      <c r="CJ70" s="6"/>
      <c r="CK70">
        <f>CK68+CK69</f>
        <v>28.912973104606301</v>
      </c>
      <c r="CL70">
        <f>CL68+CL69</f>
        <v>17.928691910740998</v>
      </c>
      <c r="DN70" s="6" t="s">
        <v>197</v>
      </c>
      <c r="DO70" s="6"/>
      <c r="DP70" s="11">
        <f>DP68+DP69</f>
        <v>634446.43423560925</v>
      </c>
      <c r="DQ70" s="11">
        <f>DQ68+DQ69</f>
        <v>361712.20502878056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7" priority="2" operator="equal">
      <formula>"$AB$3"</formula>
    </cfRule>
  </conditionalFormatting>
  <conditionalFormatting sqref="BG3:BG67">
    <cfRule type="cellIs" dxfId="6" priority="1" operator="equal">
      <formula>$AD$3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F6C-DD76-4DC3-A44E-0CCC970E6E89}">
  <dimension ref="A1:DQ70"/>
  <sheetViews>
    <sheetView topLeftCell="A47" workbookViewId="0">
      <selection activeCell="F3" sqref="F3:G67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44" si="0">BMI_BL</f>
        <v>38</v>
      </c>
      <c r="D3">
        <f t="shared" ref="D3:D66" si="1">SBP_BL</f>
        <v>125</v>
      </c>
      <c r="E3">
        <f t="shared" ref="E3:E44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f>1-disc_LIR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>(0.9442 - 0.0007*$B3 - dis_BMI*($C3-21.75))*AD3</f>
        <v>0.80924865000000001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>CK3/(1+r_)^A3</f>
        <v>0.80924865000000001</v>
      </c>
      <c r="CM3">
        <f>AD3*c_LIR_1</f>
        <v>10653.078</v>
      </c>
      <c r="CN3">
        <f>AE3*(c_Other+c_LIR_1)</f>
        <v>0</v>
      </c>
      <c r="CO3">
        <f>AF3*(c_Stroke1+c_Stroke2+c_LIR_1)</f>
        <v>0</v>
      </c>
      <c r="CP3">
        <f>AG3*(c_Stroke2 + c_LIR_1)</f>
        <v>0</v>
      </c>
      <c r="CQ3">
        <f>AH3*(c_MI1+c_MI2 + c_LIR_1)</f>
        <v>0</v>
      </c>
      <c r="CR3">
        <f>AI3*(c_MI2+c_LIR_1)</f>
        <v>0</v>
      </c>
      <c r="CS3">
        <f>AJ3*(c_Stroke1+c_Stroke2+c_MI2+c_LIR_1)</f>
        <v>0</v>
      </c>
      <c r="CT3">
        <f>AK3*(c_Stroke2+c_MI1+c_MI2+c_LIR_1)</f>
        <v>0</v>
      </c>
      <c r="CU3">
        <f>AL3*(c_Stroke2+c_MI2+c_LIR_1)</f>
        <v>0</v>
      </c>
      <c r="CV3">
        <f>AM3*(c_HF1+c_LIR_1)</f>
        <v>0</v>
      </c>
      <c r="CW3">
        <f>AN3*(c_HF2+c_LIR_1)</f>
        <v>0</v>
      </c>
      <c r="CX3">
        <f>AO3*(c_Stroke2+c_HF1+c_LIR_1)</f>
        <v>0</v>
      </c>
      <c r="CY3">
        <f>AP3*(c_Stroke1+c_Stroke2+c_HF2+c_LIR_1)</f>
        <v>0</v>
      </c>
      <c r="CZ3">
        <f>AQ3*(c_Stroke2+c_HF2+c_LIR_1)</f>
        <v>0</v>
      </c>
      <c r="DA3">
        <f>AR3*(c_DM+c_LIR_1)</f>
        <v>0</v>
      </c>
      <c r="DB3">
        <f>AS3*(c_Other+c_DM+c_LIR_1)</f>
        <v>0</v>
      </c>
      <c r="DC3">
        <f>AT3*(c_Stroke1+c_Stroke2+c_DM+c_LIR_1)</f>
        <v>0</v>
      </c>
      <c r="DD3">
        <f>AU3*(c_Stroke2+c_DM+c_LIR_1)</f>
        <v>0</v>
      </c>
      <c r="DE3">
        <f>AV3*(c_MI1+c_MI2+c_DM+c_LIR_1)</f>
        <v>0</v>
      </c>
      <c r="DF3">
        <f>AW3*(c_MI2+c_DM+c_LIR_1)</f>
        <v>0</v>
      </c>
      <c r="DG3">
        <f>AX3*(c_Stroke1+c_Stroke2+c_MI2+c_DM+c_LIR_1)</f>
        <v>0</v>
      </c>
      <c r="DH3">
        <f>AY3*(c_Stroke2+c_MI1+c_MI2+c_DM+c_LIR_1)</f>
        <v>0</v>
      </c>
      <c r="DI3">
        <f>AZ3*(c_Stroke2+c_MI2+c_DM+c_LIR_1)</f>
        <v>0</v>
      </c>
      <c r="DJ3">
        <f>BA3*(c_HF1+c_DM+c_LIR_1)</f>
        <v>0</v>
      </c>
      <c r="DK3">
        <f>BB3*(c_HF2+c_DM+c_LIR_1)</f>
        <v>0</v>
      </c>
      <c r="DL3">
        <f>BC3*(c_Stroke2+c_HF1+c_DM+c_LIR_1)</f>
        <v>0</v>
      </c>
      <c r="DM3">
        <f>BD3*(c_Stroke1+c_Stroke2+c_HF2+c_DM+c_LIR_1)</f>
        <v>0</v>
      </c>
      <c r="DN3">
        <f>BE3*(c_Stroke2+c_HF2+c_DM+c_LIR_1)</f>
        <v>0</v>
      </c>
      <c r="DO3">
        <f t="shared" ref="DO3:DO44" si="5">BF3*0</f>
        <v>0</v>
      </c>
      <c r="DP3">
        <f>SUM(CM3:DO3)</f>
        <v>10653.078</v>
      </c>
      <c r="DQ3">
        <f>DP3/(1+r_)^A3</f>
        <v>10653.078</v>
      </c>
    </row>
    <row r="4" spans="1:121" x14ac:dyDescent="0.3">
      <c r="A4">
        <v>1</v>
      </c>
      <c r="B4">
        <v>46</v>
      </c>
      <c r="C4">
        <f>C3*(1+w_red_LSM+w_red_LIR)</f>
        <v>36.1</v>
      </c>
      <c r="D4">
        <f t="shared" si="1"/>
        <v>125</v>
      </c>
      <c r="E4">
        <f>E3+h_red_LSM+h_red_LIR</f>
        <v>5.5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3.2286349135090861E-2</v>
      </c>
      <c r="J4">
        <f>1 - 0.94833 ^ (EXP(2.72107*(LN($B4)-3.8686) + 0.51125*(LN($C4)-LN(21.75)) + 2.81291*(LN($D4)*(1-0) - 4.24) + 2.88267*(LN($D4)*0 - 0.5826) + 0.61868*(1-0.3423) + 0.77763*(0-0.0376)))</f>
        <v>8.4026321037347862E-2</v>
      </c>
      <c r="K4">
        <f>1 - 0.94833 ^ (EXP(2.72107*(LN($B4)-3.8686) + 0.51125*(LN($C4)-LN(21.75)) + 2.81291*(LN($D4)*(1-1) - 4.24) + 2.88267*(LN($D4)*1 - 0.5826) + 0.61868*(1-0.3423) + 0.77763*(0-0.0376)))</f>
        <v>0.11566368089353074</v>
      </c>
      <c r="L4">
        <f>1 - 0.94833 ^ (EXP(2.72107*(LN($B4)-3.8686) + 0.51125*(LN($C4)-LN(28)) + 2.81291*(LN($D4)*(1-0) - 4.24) + 2.88267*(LN($D4)*0 - 0.5826) + 0.61868*(0-0.3423) + 0.77763*(0-0.0376)))</f>
        <v>4.0697771263978111E-2</v>
      </c>
      <c r="M4">
        <f>1 - 0.94833 ^ (EXP(2.72107*(LN($B4)-3.8686) + 0.51125*(LN($C4)-LN(28)) + 2.81291*(LN($D4)*(1-1) - 4.24) + 2.88267*(LN($D4)*1 - 0.5826) + 0.61868*(0-0.3423) + 0.77763*(0-0.0376)))</f>
        <v>5.6528538520740801E-2</v>
      </c>
      <c r="N4">
        <f>1 - 0.8843 ^ (EXP(3.113*(LN($B4)-3.856) + 0.7928*(LN($C4)-LN(28)) + 1.8551*(LN($D4)*(1-0) - 4.3544) + 1.9267*(LN($D4)*0 - 0.5019) + 0.7095*(1-0.3522) + 0.5316*(0-0.065)))</f>
        <v>0.17593867267627339</v>
      </c>
      <c r="O4">
        <f>1 - 0.8843 ^ (EXP(3.113*(LN($B4)-3.856) + 0.7928*(LN($C4)-LN(28)) + 1.8551*(LN($D4)*(1-1) - 4.3544) + 1.9267*(LN($D4)*1 - 0.5019) + 0.7095*(1-0.3522) + 0.5316*(0-0.065)))</f>
        <v>0.23923284944495216</v>
      </c>
      <c r="P4">
        <f>1 - 0.8843 ^ (EXP(3.113*(LN($B4)-3.856) + 0.7928*(LN($C4)-LN(28)) + 1.8551*(LN($D4)*(1-0) - 4.3544) + 1.9267*(LN($D4)*0 - 0.5019) + 0.7095*(0-0.3522) + 0.5316*(0-0.065)))</f>
        <v>9.0796020127487553E-2</v>
      </c>
      <c r="Q4">
        <f>1 - 0.8843 ^ (EXP(3.113*(LN($B4)-3.856) + 0.7928*(LN($C4)-LN(28)) + 1.8551*(LN($D4)*(1-1) - 4.3544) + 1.9267*(LN($D4)*1 - 0.5019) + 0.7095*(0-0.3522) + 0.5316*(0-0.065)))</f>
        <v>0.12584405686653788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6.6205611097469655E-3</v>
      </c>
      <c r="U4">
        <f>1 - 0.94833 ^ (EXP(2.72107*(LN($B4)-3.8686) + 0.51125*(LN($C4)-LN(21.75)) + 2.81291*(LN($D4)*(1-0) - 4.24) + 2.88267*(LN($D4)*0 - 0.5826) + 0.61868*(1-0.3423) + 0.77763*(1-0.0376)))</f>
        <v>0.17387523020659679</v>
      </c>
      <c r="V4">
        <f>1 - 0.94833 ^ (EXP(2.72107*(LN($B4)-3.8686) + 0.51125*(LN($C4)-LN(21.75)) + 2.81291*(LN($D4)*(1-1) - 4.24) + 2.88267*(LN($D4)*1 - 0.5826) + 0.61868*(1-0.3423) + 0.77763*(1-0.0376)))</f>
        <v>0.23471510988902355</v>
      </c>
      <c r="W4">
        <f>1 - 0.94833 ^ (EXP(2.72107*(LN($B4)-3.8686) + 0.51125*(LN($C4)-LN(28)) + 2.81291*(LN($D4)*(1-0) - 4.24) + 2.88267*(LN($D4)*0 - 0.5826) + 0.61868*(0-0.3423) + 0.77763*(1-0.0376)))</f>
        <v>8.6455928365954282E-2</v>
      </c>
      <c r="X4">
        <f>1 - 0.94833 ^ (EXP(2.72107*(LN($B4)-3.8686) + 0.51125*(LN($C4)-LN(28)) + 2.81291*(LN($D4)*(1-1) - 4.24) + 2.88267*(LN($D4)*1 - 0.5826) + 0.61868*(0-0.3423) + 0.77763*(1-0.0376)))</f>
        <v>0.11894705326984201</v>
      </c>
      <c r="Y4">
        <f>1 - 0.8843 ^ (EXP(3.113*(LN($B4)-3.856) + 0.7928*(LN($C4)-LN(28)) + 1.8551*(LN($D4)*(1-0) - 4.3544) + 1.9267*(LN($D4)*0 - 0.5019) + 0.7095*(1-0.3522) + 0.5316*(1-0.065)))</f>
        <v>0.28056376638778968</v>
      </c>
      <c r="Z4">
        <f>1 - 0.8843 ^ (EXP(3.113*(LN($B4)-3.856) + 0.7928*(LN($C4)-LN(28)) + 1.8551*(LN($D4)*(1-1) - 4.3544) + 1.9267*(LN($D4)*1 - 0.5019) + 0.7095*(1-0.3522) + 0.5316*(1-0.065)))</f>
        <v>0.37204038612247625</v>
      </c>
      <c r="AA4">
        <f>1 - 0.8843 ^ (EXP(3.113*(LN($B4)-3.856) + 0.7928*(LN($C4)-LN(28)) + 1.8551*(LN($D4)*(1-0) - 4.3544) + 1.9267*(LN($D4)*0 - 0.5019) + 0.7095*(0-0.3522) + 0.5316*(1-0.065)))</f>
        <v>0.14953600102182951</v>
      </c>
      <c r="AB4">
        <f>1 - 0.8843 ^ (EXP(3.113*(LN($B4)-3.856) + 0.7928*(LN($C4)-LN(28)) + 1.8551*(LN($D4)*(1-1) - 4.3544) + 1.9267*(LN($D4)*1 - 0.5019) + 0.7095*(0-0.3522) + 0.5316*(1-0.065)))</f>
        <v>0.20456515054485813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1.273764062398485E-2</v>
      </c>
      <c r="AD4">
        <f>AD3*(1-T3-H3)*(1-I3)</f>
        <v>0.88083704550122499</v>
      </c>
      <c r="AE4">
        <f t="shared" ref="AE4:AE44" si="6">AD3*T3*p_Other*(1-I3) + AE3*(1-T3*(1-p_Other)-H3*rr_Other)*(1-I3)</f>
        <v>3.0628702624290812E-3</v>
      </c>
      <c r="AF4">
        <f t="shared" ref="AF4:AF44" si="7">AD3*T3*p_Stroke*p_Stroke_rec*(1-I3)+AE3*T3*p_Stroke*p_Stroke_rec*(1-I3) + AF3*p_recur_Stroke*p_Stroke_rec*(1-I3) + AG3*p_recur_Stroke*p_Stroke_rec*(1-I3)</f>
        <v>1.1783697227818065E-3</v>
      </c>
      <c r="AG4">
        <f t="shared" ref="AG4:AG44" si="8">AF3*(1-p_recur_Stroke-T3*p_MI-H3*rr_Stroke)*(1-I3) + AG3*(1-p_recur_Stroke-T3*p_MI-H3*rr_Stroke)*(1-I3)</f>
        <v>0</v>
      </c>
      <c r="AH4">
        <f t="shared" ref="AH4:AH44" si="9">AD3*T3*p_MI*p_MI_rec_young*(1-I3)+AE3*T3*p_MI*p_MI_rec_young*(1-I3) + AH3*(PREV_FEMALE*p_recur_MI_F + (1-PREV_FEMALE)*p_recur_MI_M)*p_MI_rec_young*(1-I3) + AI3*(PREV_FEMALE*p_recur_MI_F + (1-PREV_FEMALE)*p_recur_MI_M)*p_MI_rec_young*(1-I3)</f>
        <v>1.0053565349397216E-3</v>
      </c>
      <c r="AI4">
        <f t="shared" ref="AI4:AI44" si="10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1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2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3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4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1.2177972163418027E-4</v>
      </c>
      <c r="AN4">
        <f t="shared" ref="AN4:AN44" si="15">AM3*(1-T3*p_Stroke - H3*rr_HF)*(1-I3) + AN3*(1-T3*p_Stroke-H3*rr_HF)*(1-I3)</f>
        <v>0</v>
      </c>
      <c r="AO4">
        <f t="shared" ref="AO4:AO44" si="16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5.3101201429578242E-2</v>
      </c>
      <c r="AS4">
        <f>AR3*AC3*p_Other + AD3*T3*p_Other*I3 + AE3*(1-T3*p_Stroke-T3*p_MI-H3*rr_Other)*I3 + AS3*(1-AC3*p_Stroke-AC3*p_MI-H3*rr_Other*rr_DM)</f>
        <v>1.8464492562907952E-4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7.1037938660205855E-5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6.0607850388489055E-5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7.3414822430122007E-6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2.3697446304910795E-3</v>
      </c>
      <c r="BG4">
        <f t="shared" ref="BG4:BG44" si="17">SUM(AD4:BF4)</f>
        <v>0.94200000000000006</v>
      </c>
      <c r="BH4">
        <f>(0.9442 - 0.0007*$B4 - dis_BMI*($C4-21.75))*AD4</f>
        <v>0.76161134720740664</v>
      </c>
      <c r="BI4">
        <f>0.959*(0.9442 - 0.0007*$B4 - dis_BMI*($C4-21.75))*AE4</f>
        <v>2.5397153442776152E-3</v>
      </c>
      <c r="BJ4">
        <f>(0.943*(0.9442 - 0.0007*$B4 - dis_BMI*($C4-21.75)) - 0.19*0.5)*AF4</f>
        <v>8.4885069041998698E-4</v>
      </c>
      <c r="BK4">
        <f>(0.943*(0.9442 - 0.0007*$B4 - dis_BMI*($C4-21.75)))*AG4</f>
        <v>0</v>
      </c>
      <c r="BL4">
        <f>(0.955*(0.9442 - 0.0007*$B4 - dis_BMI*($C4-21.75)) - 0.15*0.5)*AH4</f>
        <v>7.5475731848059346E-4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9.7925491493518798E-5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4.4168968154294726E-2</v>
      </c>
      <c r="BW4">
        <f>0.962*0.959*(0.9442 - 0.0007*$B4 - dis_BMI*($C4-21.75))*AS4</f>
        <v>1.4728851739629218E-4</v>
      </c>
      <c r="BX4">
        <f>0.962*(0.943*(0.9442 - 0.0007*$B4 - dis_BMI*($C4-21.75)) - 0.19*0.5)*AT4</f>
        <v>4.922833575206858E-5</v>
      </c>
      <c r="BY4">
        <f>0.962*(0.943*(0.9442 - 0.0007*$B4 - dis_BMI*($C4-21.75)))*AU4</f>
        <v>0</v>
      </c>
      <c r="BZ4">
        <f>0.962*(0.955*(0.9442 - 0.0007*$B4 - dis_BMI*($C4-21.75)) - 0.15*0.5)*AV4</f>
        <v>4.377147489520231E-5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5.6791011992275463E-6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8">0*BF4</f>
        <v>0</v>
      </c>
      <c r="CK4">
        <f t="shared" ref="CK4:CK44" si="19">SUM(BH4:CJ4)</f>
        <v>0.81026753163561593</v>
      </c>
      <c r="CL4">
        <f>CK4/(1+r_)^A4</f>
        <v>0.78666750644234551</v>
      </c>
      <c r="CM4">
        <f>AD4*c_LIR_2</f>
        <v>10358.643655094405</v>
      </c>
      <c r="CN4">
        <f>AE4*(c_Other+c_LIR_2)</f>
        <v>79.754078763390851</v>
      </c>
      <c r="CO4">
        <f>AF4*(c_Stroke1+c_Stroke2+c_LIR_2)</f>
        <v>41.921681257685549</v>
      </c>
      <c r="CP4">
        <f>AG4*(c_Stroke2 + c_LIR_2)</f>
        <v>0</v>
      </c>
      <c r="CQ4">
        <f>AH4*(c_MI1+c_MI2 + c_LIR_2)</f>
        <v>41.130141200918949</v>
      </c>
      <c r="CR4">
        <f>AI4*(c_MI2+c_LIR_2)</f>
        <v>0</v>
      </c>
      <c r="CS4">
        <f>AJ4*(c_Stroke1+c_Stroke2+c_MI2+c_LIR_2)</f>
        <v>0</v>
      </c>
      <c r="CT4">
        <f>AK4*(c_Stroke2+c_MI1+c_MI2+c_LIR_2)</f>
        <v>0</v>
      </c>
      <c r="CU4">
        <f>AL4*(c_Stroke2+c_MI2+c_LIR_2)</f>
        <v>0</v>
      </c>
      <c r="CV4">
        <f>AM4*(c_HF1+c_LIR_2)</f>
        <v>4.7238354021898523</v>
      </c>
      <c r="CW4">
        <f>AN4*(c_HF2+c_LIR_2)</f>
        <v>0</v>
      </c>
      <c r="CX4">
        <f>AO4*(c_Stroke2+c_HF1+c_LIR_2)</f>
        <v>0</v>
      </c>
      <c r="CY4">
        <f>AP4*(c_Stroke1+c_Stroke2+c_HF2+c_LIR_2)</f>
        <v>0</v>
      </c>
      <c r="CZ4">
        <f>AQ4*(c_Stroke2+c_HF2+c_LIR_2)</f>
        <v>0</v>
      </c>
      <c r="DA4">
        <f>AR4*(c_DM+c_LIR_2)</f>
        <v>1231.1513551447715</v>
      </c>
      <c r="DB4">
        <f>AS4*(c_Other+c_DM+c_LIR_2)</f>
        <v>6.9175374937678349</v>
      </c>
      <c r="DC4">
        <f>AT4*(c_Stroke1+c_Stroke2+c_DM+c_LIR_2)</f>
        <v>3.3388541549683355</v>
      </c>
      <c r="DD4">
        <f>AU4*(c_Stroke2+c_DM+c_LIR_2)</f>
        <v>0</v>
      </c>
      <c r="DE4">
        <f>AV4*(c_MI1+c_MI2+c_DM+c_LIR_2)</f>
        <v>3.1719724579319633</v>
      </c>
      <c r="DF4">
        <f>AW4*(c_MI2+c_DM+c_LIR_2)</f>
        <v>0</v>
      </c>
      <c r="DG4">
        <f>AX4*(c_Stroke1+c_Stroke2+c_MI2+c_DM+c_LIR_2)</f>
        <v>0</v>
      </c>
      <c r="DH4">
        <f>AY4*(c_Stroke2+c_MI1+c_MI2+c_DM+c_LIR_2)</f>
        <v>0</v>
      </c>
      <c r="DI4">
        <f>AZ4*(c_Stroke2+c_MI2+c_DM+c_LIR_2)</f>
        <v>0</v>
      </c>
      <c r="DJ4">
        <f>BA4*(c_HF1+c_DM+c_LIR_2)</f>
        <v>0.36865253083285765</v>
      </c>
      <c r="DK4">
        <f>BB4*(c_HF2+c_DM+c_LIR_2)</f>
        <v>0</v>
      </c>
      <c r="DL4">
        <f>BC4*(c_Stroke2+c_HF1+c_DM+c_LIR_2)</f>
        <v>0</v>
      </c>
      <c r="DM4">
        <f>BD4*(c_Stroke1+c_Stroke2+c_HF2+c_DM+c_LIR_2)</f>
        <v>0</v>
      </c>
      <c r="DN4">
        <f>BE4*(c_Stroke2+c_HF2+c_DM+c_LIR_2)</f>
        <v>0</v>
      </c>
      <c r="DO4">
        <f t="shared" si="5"/>
        <v>0</v>
      </c>
      <c r="DP4">
        <f>BG4*0</f>
        <v>0</v>
      </c>
      <c r="DQ4">
        <f>DP4/(1+r_)^A4</f>
        <v>0</v>
      </c>
    </row>
    <row r="5" spans="1:121" x14ac:dyDescent="0.3">
      <c r="A5">
        <v>2</v>
      </c>
      <c r="B5">
        <v>47</v>
      </c>
      <c r="C5">
        <f>C$4</f>
        <v>36.1</v>
      </c>
      <c r="D5">
        <f t="shared" si="1"/>
        <v>125</v>
      </c>
      <c r="E5">
        <f>E$4</f>
        <v>5.5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20">0.00000146 * EXP(1.87 * E5) * 0.0197 * EXP(0.101*C5)</f>
        <v>3.2286349135090861E-2</v>
      </c>
      <c r="J5">
        <f t="shared" ref="J5:J67" si="21">1 - 0.94833 ^ (EXP(2.72107*(LN($B5)-3.8686) + 0.51125*(LN($C5)-LN(21.75)) + 2.81291*(LN($D5)*(1-0) - 4.24) + 2.88267*(LN($D5)*0 - 0.5826) + 0.61868*(1-0.3423) + 0.77763*(0-0.0376)))</f>
        <v>8.8858491957386487E-2</v>
      </c>
      <c r="K5">
        <f t="shared" ref="K5:K67" si="22">1 - 0.94833 ^ (EXP(2.72107*(LN($B5)-3.8686) + 0.51125*(LN($C5)-LN(21.75)) + 2.81291*(LN($D5)*(1-1) - 4.24) + 2.88267*(LN($D5)*1 - 0.5826) + 0.61868*(1-0.3423) + 0.77763*(0-0.0376)))</f>
        <v>0.12219044155453285</v>
      </c>
      <c r="L5">
        <f t="shared" ref="L5:L67" si="23">1 - 0.94833 ^ (EXP(2.72107*(LN($B5)-3.8686) + 0.51125*(LN($C5)-LN(28)) + 2.81291*(LN($D5)*(1-0) - 4.24) + 2.88267*(LN($D5)*0 - 0.5826) + 0.61868*(0-0.3423) + 0.77763*(0-0.0376)))</f>
        <v>4.3096860442820462E-2</v>
      </c>
      <c r="M5">
        <f t="shared" ref="M5:M67" si="24">1 - 0.94833 ^ (EXP(2.72107*(LN($B5)-3.8686) + 0.51125*(LN($C5)-LN(28)) + 2.81291*(LN($D5)*(1-1) - 4.24) + 2.88267*(LN($D5)*1 - 0.5826) + 0.61868*(0-0.3423) + 0.77763*(0-0.0376)))</f>
        <v>5.9831340194136273E-2</v>
      </c>
      <c r="N5">
        <f t="shared" ref="N5:N67" si="25">1 - 0.8843 ^ (EXP(3.113*(LN($B5)-3.856) + 0.7928*(LN($C5)-LN(28)) + 1.8551*(LN($D5)*(1-0) - 4.3544) + 1.9267*(LN($D5)*0 - 0.5019) + 0.7095*(1-0.3522) + 0.5316*(0-0.065)))</f>
        <v>0.18690646388723853</v>
      </c>
      <c r="O5">
        <f t="shared" ref="O5:O67" si="26">1 - 0.8843 ^ (EXP(3.113*(LN($B5)-3.856) + 0.7928*(LN($C5)-LN(28)) + 1.8551*(LN($D5)*(1-1) - 4.3544) + 1.9267*(LN($D5)*1 - 0.5019) + 0.7095*(1-0.3522) + 0.5316*(0-0.065)))</f>
        <v>0.25350047787788921</v>
      </c>
      <c r="P5">
        <f t="shared" ref="P5:P67" si="27">1 - 0.8843 ^ (EXP(3.113*(LN($B5)-3.856) + 0.7928*(LN($C5)-LN(28)) + 1.8551*(LN($D5)*(1-0) - 4.3544) + 1.9267*(LN($D5)*0 - 0.5019) + 0.7095*(0-0.3522) + 0.5316*(0-0.065)))</f>
        <v>9.6768640669558037E-2</v>
      </c>
      <c r="Q5">
        <f t="shared" ref="Q5:Q67" si="28">1 - 0.8843 ^ (EXP(3.113*(LN($B5)-3.856) + 0.7928*(LN($C5)-LN(28)) + 1.8551*(LN($D5)*(1-1) - 4.3544) + 1.9267*(LN($D5)*1 - 0.5019) + 0.7095*(0-0.3522) + 0.5316*(0-0.065)))</f>
        <v>0.13394696652704963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7.0185347733026163E-3</v>
      </c>
      <c r="U5">
        <f t="shared" ref="U5:U67" si="29">1 - 0.94833 ^ (EXP(2.72107*(LN($B5)-3.8686) + 0.51125*(LN($C5)-LN(21.75)) + 2.81291*(LN($D5)*(1-0) - 4.24) + 2.88267*(LN($D5)*0 - 0.5826) + 0.61868*(1-0.3423) + 0.77763*(1-0.0376)))</f>
        <v>0.18333054867738297</v>
      </c>
      <c r="V5">
        <f t="shared" ref="V5:V67" si="30">1 - 0.94833 ^ (EXP(2.72107*(LN($B5)-3.8686) + 0.51125*(LN($C5)-LN(21.75)) + 2.81291*(LN($D5)*(1-1) - 4.24) + 2.88267*(LN($D5)*1 - 0.5826) + 0.61868*(1-0.3423) + 0.77763*(1-0.0376)))</f>
        <v>0.24695381043715958</v>
      </c>
      <c r="W5">
        <f t="shared" ref="W5:W67" si="31">1 - 0.94833 ^ (EXP(2.72107*(LN($B5)-3.8686) + 0.51125*(LN($C5)-LN(28)) + 2.81291*(LN($D5)*(1-0) - 4.24) + 2.88267*(LN($D5)*0 - 0.5826) + 0.61868*(0-0.3423) + 0.77763*(1-0.0376)))</f>
        <v>9.1420727489498366E-2</v>
      </c>
      <c r="X5">
        <f t="shared" ref="X5:X67" si="32">1 - 0.94833 ^ (EXP(2.72107*(LN($B5)-3.8686) + 0.51125*(LN($C5)-LN(28)) + 2.81291*(LN($D5)*(1-1) - 4.24) + 2.88267*(LN($D5)*1 - 0.5826) + 0.61868*(0-0.3423) + 0.77763*(1-0.0376)))</f>
        <v>0.12564560981712991</v>
      </c>
      <c r="Y5">
        <f t="shared" ref="Y5:Y67" si="33">1 - 0.8843 ^ (EXP(3.113*(LN($B5)-3.856) + 0.7928*(LN($C5)-LN(28)) + 1.8551*(LN($D5)*(1-0) - 4.3544) + 1.9267*(LN($D5)*0 - 0.5019) + 0.7095*(1-0.3522) + 0.5316*(1-0.065)))</f>
        <v>0.29678140374861761</v>
      </c>
      <c r="Z5">
        <f t="shared" ref="Z5:Z67" si="34">1 - 0.8843 ^ (EXP(3.113*(LN($B5)-3.856) + 0.7928*(LN($C5)-LN(28)) + 1.8551*(LN($D5)*(1-1) - 4.3544) + 1.9267*(LN($D5)*1 - 0.5019) + 0.7095*(1-0.3522) + 0.5316*(1-0.065)))</f>
        <v>0.39194851407012843</v>
      </c>
      <c r="AA5">
        <f t="shared" ref="AA5:AA67" si="35">1 - 0.8843 ^ (EXP(3.113*(LN($B5)-3.856) + 0.7928*(LN($C5)-LN(28)) + 1.8551*(LN($D5)*(1-0) - 4.3544) + 1.9267*(LN($D5)*0 - 0.5019) + 0.7095*(0-0.3522) + 0.5316*(1-0.065)))</f>
        <v>0.1590207925284105</v>
      </c>
      <c r="AB5">
        <f t="shared" ref="AB5:AB67" si="36">1 - 0.8843 ^ (EXP(3.113*(LN($B5)-3.856) + 0.7928*(LN($C5)-LN(28)) + 1.8551*(LN($D5)*(1-1) - 4.3544) + 1.9267*(LN($D5)*1 - 0.5019) + 0.7095*(0-0.3522) + 0.5316*(1-0.065)))</f>
        <v>0.21707095766977391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1.3464436345267046E-2</v>
      </c>
      <c r="AD5">
        <f t="shared" ref="AD5:AD44" si="37">AD4*(1-T4-H4)*(1-I4)</f>
        <v>0.84461686558389526</v>
      </c>
      <c r="AE5">
        <f t="shared" si="6"/>
        <v>6.0448712483509772E-3</v>
      </c>
      <c r="AF5">
        <f t="shared" si="7"/>
        <v>1.3241776459287176E-3</v>
      </c>
      <c r="AG5">
        <f t="shared" si="8"/>
        <v>9.9287302852722097E-4</v>
      </c>
      <c r="AH5">
        <f t="shared" si="9"/>
        <v>1.0815069085840158E-3</v>
      </c>
      <c r="AI5">
        <f t="shared" si="10"/>
        <v>8.8379408980840499E-4</v>
      </c>
      <c r="AJ5">
        <f t="shared" si="11"/>
        <v>1.3629421874925231E-6</v>
      </c>
      <c r="AK5">
        <f t="shared" si="12"/>
        <v>1.3629421874925229E-6</v>
      </c>
      <c r="AL5">
        <f t="shared" si="13"/>
        <v>0</v>
      </c>
      <c r="AM5">
        <f t="shared" si="14"/>
        <v>1.4267865030833318E-4</v>
      </c>
      <c r="AN5">
        <f t="shared" si="15"/>
        <v>1.1713052479801337E-4</v>
      </c>
      <c r="AO5">
        <f t="shared" si="16"/>
        <v>1.6509438634749792E-7</v>
      </c>
      <c r="AP5">
        <f>AM4*T4*p_Stroke*p_Stroke_rec*(1-I4) + AN4*T4*p_Stroke*p_Stroke_rec*(1-I4) + AO4*(p_recur_Stroke*p_Stroke_rec)*(1-I4) + AP4*(p_recur_Stroke*p_Stroke_rec)*(1-I4) + AQ4*(p_recur_Stroke*p_Stroke_rec)*(1-I4)</f>
        <v>1.6509438634749792E-7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8.0451068043646198E-2</v>
      </c>
      <c r="AS5">
        <f>AR4*AC4*p_Other + AD4*T4*p_Other*I4 + AE4*(1-T4*p_Stroke-T4*p_MI-H4*rr_Other)*I4 + AS4*(1-AC4*p_Stroke-AC4*p_MI-H4*rr_Other*rr_DM)</f>
        <v>7.5626419202079681E-4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1.9564236625447393E-4</v>
      </c>
      <c r="AU5">
        <f>AF4*(1-p_recur_Stroke-T4*p_MI-H4*rr_Stroke)*I4 + AG4*(1-p_recur_Stroke-T4*p_MI-H4*rr_Stroke)*I4 + AT4*(1-p_recur_Stroke-AC4*p_MI-H4*rr_Stroke*rr_DM) + AU4*(1-p_recur_Stroke-AC4*p_MI-H4*rr_Stroke*rr_DM)</f>
        <v>9.4798774435691122E-5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1.6230180395544844E-4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8.4422257926734806E-5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2.0882798585517256E-7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2.0882798585517253E-7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2.0776566023164136E-5</v>
      </c>
      <c r="BB5">
        <f>AM4*(1-T4*p_Stroke - H4*rr_HF)*I4 + AN4*(1-T4*p_Stroke - H4*rr_HF)*I4 + BA4*(1-AC4*p_Stroke - H4*rr_HF*rr_DM) + BB4*(1-AC4*p_Stroke - H4*rr_HF*rr_DM)</f>
        <v>1.1189325453544188E-5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2.5295517662690896E-8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2.5295517662690896E-8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5.0161146699282903E-3</v>
      </c>
      <c r="BG5">
        <f t="shared" si="17"/>
        <v>0.94200000000000017</v>
      </c>
      <c r="BH5">
        <f>(0.9442 - 0.0007*$B5 - dis_BMI*($C5-21.75))*AD5</f>
        <v>0.72970251793687835</v>
      </c>
      <c r="BI5">
        <f>0.959*(0.9442 - 0.0007*$B5 - dis_BMI*($C5-21.75))*AE5</f>
        <v>5.0083164027396642E-3</v>
      </c>
      <c r="BJ5">
        <f>(0.943*(0.9442 - 0.0007*$B5 - dis_BMI*($C5-21.75)) - 0.19*0.5)*AF5</f>
        <v>9.5301083053888019E-4</v>
      </c>
      <c r="BK5">
        <f>(0.943*(0.9442 - 0.0007*$B5 - dis_BMI*($C5-21.75)))*AG5</f>
        <v>8.0889379037898577E-4</v>
      </c>
      <c r="BL5">
        <f>(0.955*(0.9442 - 0.0007*$B5 - dis_BMI*($C5-21.75)) - 0.15*0.5)*AH5</f>
        <v>8.1120315611666856E-4</v>
      </c>
      <c r="BM5">
        <f>(0.955*(0.9442 - 0.0007*$B5 - dis_BMI*($C5-21.75)))*AI5</f>
        <v>7.2918975809814382E-4</v>
      </c>
      <c r="BN5">
        <f>(0.955*0.943*(0.9442 - 0.0007*$B5 - dis_BMI*($C5-21.75)) - 0.19*0.5)*AJ5</f>
        <v>9.3094216304893331E-7</v>
      </c>
      <c r="BO5">
        <f>(0.955*0.943*(0.9442 - 0.0007*$B5 - dis_BMI*($C5-21.75)) - 0.15*0.5)*AK5</f>
        <v>9.5820100679878366E-7</v>
      </c>
      <c r="BP5">
        <f>(0.955*0.943*(0.9442 - 0.0007*$B5 - dis_BMI*($C5-21.75)))*AL5</f>
        <v>0</v>
      </c>
      <c r="BQ5">
        <f>(0.93*(0.9442 - 0.0007*$B5 - dis_BMI*($C5-21.75)))*AM5</f>
        <v>1.146378510827886E-4</v>
      </c>
      <c r="BR5">
        <f>(0.93*(0.9442 - 0.0007*$B5 - dis_BMI*($C5-21.75)))*AN5</f>
        <v>9.4110728059356284E-5</v>
      </c>
      <c r="BS5">
        <f>(0.93*0.943*(0.9442 - 0.0007*$B5 - dis_BMI*($C5-21.75)))*AO5</f>
        <v>1.250872495258953E-7</v>
      </c>
      <c r="BT5">
        <f>(0.93*0.943*(0.9442 - 0.0007*$B5 - dis_BMI*($C5-21.75))-0.19*0.5)*AP5</f>
        <v>1.0940328282288301E-7</v>
      </c>
      <c r="BU5">
        <f>(0.93*0.943*(0.9442 - 0.0007*$B5 - dis_BMI*($C5-21.75)))*AQ5</f>
        <v>0</v>
      </c>
      <c r="BV5">
        <f>0.962*(0.9442 - 0.0007*$B5 - dis_BMI*($C5-21.75))*AR5</f>
        <v>6.6864096657691136E-2</v>
      </c>
      <c r="BW5">
        <f>0.962*0.959*(0.9442 - 0.0007*$B5 - dis_BMI*($C5-21.75))*AS5</f>
        <v>6.0277233615252097E-4</v>
      </c>
      <c r="BX5">
        <f>0.962*(0.943*(0.9442 - 0.0007*$B5 - dis_BMI*($C5-21.75)) - 0.19*0.5)*AT5</f>
        <v>1.3545329158367187E-4</v>
      </c>
      <c r="BY5">
        <f>0.962*(0.943*(0.9442 - 0.0007*$B5 - dis_BMI*($C5-21.75)))*AU5</f>
        <v>7.4297736506029596E-5</v>
      </c>
      <c r="BZ5">
        <f>0.962*(0.955*(0.9442 - 0.0007*$B5 - dis_BMI*($C5-21.75)) - 0.15*0.5)*AV5</f>
        <v>1.1711128671813748E-4</v>
      </c>
      <c r="CA5">
        <f>0.962*(0.955*(0.9442 - 0.0007*$B5 - dis_BMI*($C5-21.75)))*AW5</f>
        <v>6.7007204932516246E-5</v>
      </c>
      <c r="CB5">
        <f>0.962*(0.955*0.943*(0.9442 - 0.0007*$B5 - dis_BMI*($C5-21.75)) - 0.19*0.5)*AX5</f>
        <v>1.3721735305637826E-7</v>
      </c>
      <c r="CC5">
        <f>0.962*(0.955*0.943*(0.9442 - 0.0007*$B5 - dis_BMI*($C5-21.75)) - 0.15*0.5)*AY5</f>
        <v>1.4123520350423178E-7</v>
      </c>
      <c r="CD5">
        <f>0.962*(0.955*0.943*(0.9442 - 0.0007*$B5 - dis_BMI*($C5-21.75)))*AZ5</f>
        <v>0</v>
      </c>
      <c r="CE5">
        <f>0.962*(0.93*(0.9442 - 0.0007*$B5 - dis_BMI*($C5-21.75)))*BA5</f>
        <v>1.6058977312416692E-5</v>
      </c>
      <c r="CF5">
        <f>0.962*(0.93*(0.9442 - 0.0007*$B5 - dis_BMI*($C5-21.75)))*BB5</f>
        <v>8.6486440251663509E-6</v>
      </c>
      <c r="CG5">
        <f>0.962*(0.93*0.943*(0.9442 - 0.0007*$B5 - dis_BMI*($C5-21.75)))*BC5</f>
        <v>1.8437387371984203E-8</v>
      </c>
      <c r="CH5">
        <f>0.962*(0.93*0.943*(0.9442 - 0.0007*$B5 - dis_BMI*($C5-21.75))-0.19*0.5)*BD5</f>
        <v>1.6125630012790882E-8</v>
      </c>
      <c r="CI5">
        <f>0.962*(0.93*0.943*(0.9442 - 0.0007*$B5 - dis_BMI*($C5-21.75)))*BE5</f>
        <v>0</v>
      </c>
      <c r="CJ5">
        <f t="shared" si="18"/>
        <v>0</v>
      </c>
      <c r="CK5">
        <f t="shared" si="19"/>
        <v>0.80610976323809047</v>
      </c>
      <c r="CL5">
        <f>CK5/(1+r_)^A5</f>
        <v>0.75983576514100337</v>
      </c>
      <c r="CM5">
        <f>AD5*c_LIR_2</f>
        <v>9932.6943392666089</v>
      </c>
      <c r="CN5">
        <f>AE5*(c_Other+c_LIR_2)</f>
        <v>157.4024024358111</v>
      </c>
      <c r="CO5">
        <f>AF5*(c_Stroke1+c_Stroke2+c_LIR_2)</f>
        <v>47.108943931560056</v>
      </c>
      <c r="CP5">
        <f>AG5*(c_Stroke2 + c_LIR_2)</f>
        <v>18.129861500907055</v>
      </c>
      <c r="CQ5">
        <f>AH5*(c_MI1+c_MI2 + c_LIR_2)</f>
        <v>44.245529137080673</v>
      </c>
      <c r="CR5">
        <f>AI5*(c_MI2+c_LIR_2)</f>
        <v>13.148204674079642</v>
      </c>
      <c r="CS5">
        <f>AJ5*(c_Stroke1+c_Stroke2+c_MI2+c_LIR_2)</f>
        <v>5.2736322060648197E-2</v>
      </c>
      <c r="CT5">
        <f>AK5*(c_Stroke2+c_MI1+c_MI2+c_LIR_2)</f>
        <v>6.4618452051208003E-2</v>
      </c>
      <c r="CU5">
        <f>AL5*(c_Stroke2+c_MI2+c_LIR_2)</f>
        <v>0</v>
      </c>
      <c r="CV5">
        <f>AM5*(c_HF1+c_LIR_2)</f>
        <v>5.5345048454602441</v>
      </c>
      <c r="CW5">
        <f>AN5*(c_HF2+c_LIR_2)</f>
        <v>3.2052768110976357</v>
      </c>
      <c r="CX5">
        <f>AO5*(c_Stroke2+c_HF1+c_LIR_2)</f>
        <v>7.4771247576781805E-3</v>
      </c>
      <c r="CY5">
        <f>AP5*(c_Stroke1+c_Stroke2+c_HF2+c_LIR_2)</f>
        <v>8.4496957876512915E-3</v>
      </c>
      <c r="CZ5">
        <f>AQ5*(c_Stroke2+c_HF2+c_LIR_2)</f>
        <v>0</v>
      </c>
      <c r="DA5">
        <f>AR5*(c_DM+c_LIR_2)</f>
        <v>1865.2580125919371</v>
      </c>
      <c r="DB5">
        <f>AS5*(c_Other+c_DM+c_LIR_2)</f>
        <v>28.332681689867133</v>
      </c>
      <c r="DC5">
        <f>AT5*(c_Stroke1+c_Stroke2+c_DM+c_LIR_2)</f>
        <v>9.1953868563265289</v>
      </c>
      <c r="DD5">
        <f>AU5*(c_Stroke2+c_DM+c_LIR_2)</f>
        <v>2.8141016191234911</v>
      </c>
      <c r="DE5">
        <f>AV5*(c_MI1+c_MI2+c_DM+c_LIR_2)</f>
        <v>8.4942272118123494</v>
      </c>
      <c r="DF5">
        <f>AW5*(c_MI2+c_DM+c_LIR_2)</f>
        <v>2.2204742279889791</v>
      </c>
      <c r="DG5">
        <f>AX5*(c_Stroke1+c_Stroke2+c_MI2+c_DM+c_LIR_2)</f>
        <v>1.0466040995089538E-2</v>
      </c>
      <c r="DH5">
        <f>AY5*(c_Stroke2+c_MI1+c_MI2+c_DM+c_LIR_2)</f>
        <v>1.228660337577493E-2</v>
      </c>
      <c r="DI5">
        <f>AZ5*(c_Stroke2+c_MI2+c_DM+c_LIR_2)</f>
        <v>0</v>
      </c>
      <c r="DJ5">
        <f>BA5*(c_HF1+c_DM+c_LIR_2)</f>
        <v>1.0432952628531871</v>
      </c>
      <c r="DK5">
        <f>BB5*(c_HF2+c_DM+c_LIR_2)</f>
        <v>0.43403393434297904</v>
      </c>
      <c r="DL5">
        <f>BC5*(c_Stroke2+c_HF1+c_DM+c_LIR_2)</f>
        <v>1.4346352842395142E-3</v>
      </c>
      <c r="DM5">
        <f>BD5*(c_Stroke1+c_Stroke2+c_HF2+c_DM+c_LIR_2)</f>
        <v>1.5836511787904262E-3</v>
      </c>
      <c r="DN5">
        <f>BE5*(c_Stroke2+c_HF2+c_DM+c_LIR_2)</f>
        <v>0</v>
      </c>
      <c r="DO5">
        <f t="shared" si="5"/>
        <v>0</v>
      </c>
      <c r="DP5">
        <f t="shared" ref="DP5:DP44" si="38">SUM(CM5:DO5)</f>
        <v>12139.42032852235</v>
      </c>
      <c r="DQ5">
        <f>DP5/(1+r_)^A5</f>
        <v>11442.567940920304</v>
      </c>
    </row>
    <row r="6" spans="1:121" x14ac:dyDescent="0.3">
      <c r="A6">
        <v>3</v>
      </c>
      <c r="B6">
        <v>48</v>
      </c>
      <c r="C6">
        <f t="shared" ref="C6:C67" si="39">C$4</f>
        <v>36.1</v>
      </c>
      <c r="D6">
        <f t="shared" si="1"/>
        <v>125</v>
      </c>
      <c r="E6">
        <f t="shared" ref="E6:E43" si="40">E$4</f>
        <v>5.5</v>
      </c>
      <c r="F6">
        <v>2.5300000000000001E-3</v>
      </c>
      <c r="G6">
        <v>4.1099999999999999E-3</v>
      </c>
      <c r="H6">
        <f t="shared" si="3"/>
        <v>2.846E-3</v>
      </c>
      <c r="I6">
        <f t="shared" si="20"/>
        <v>3.2286349135090861E-2</v>
      </c>
      <c r="J6">
        <f t="shared" si="21"/>
        <v>9.3843957381859466E-2</v>
      </c>
      <c r="K6">
        <f t="shared" si="22"/>
        <v>0.128909740985789</v>
      </c>
      <c r="L6">
        <f t="shared" si="23"/>
        <v>4.5579090503599096E-2</v>
      </c>
      <c r="M6">
        <f t="shared" si="24"/>
        <v>6.3245112078325283E-2</v>
      </c>
      <c r="N6">
        <f t="shared" si="25"/>
        <v>0.19822242260223311</v>
      </c>
      <c r="O6">
        <f t="shared" si="26"/>
        <v>0.26813794151261061</v>
      </c>
      <c r="P6">
        <f t="shared" si="27"/>
        <v>0.10297392313494236</v>
      </c>
      <c r="Q6">
        <f t="shared" si="28"/>
        <v>0.14234211569551047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7.4299208877489815E-3</v>
      </c>
      <c r="U6">
        <f t="shared" si="29"/>
        <v>0.19302419483384559</v>
      </c>
      <c r="V6">
        <f t="shared" si="30"/>
        <v>0.25944221493737063</v>
      </c>
      <c r="W6">
        <f t="shared" si="31"/>
        <v>9.6542193471976789E-2</v>
      </c>
      <c r="X6">
        <f t="shared" si="32"/>
        <v>0.13254019858654764</v>
      </c>
      <c r="Y6">
        <f t="shared" si="33"/>
        <v>0.31335373235736019</v>
      </c>
      <c r="Z6">
        <f t="shared" si="34"/>
        <v>0.4120970658104619</v>
      </c>
      <c r="AA6">
        <f t="shared" si="35"/>
        <v>0.16882855705198074</v>
      </c>
      <c r="AB6">
        <f t="shared" si="36"/>
        <v>0.22994148667652137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1.4211562536017523E-2</v>
      </c>
      <c r="AD6">
        <f t="shared" si="37"/>
        <v>0.80943327720704883</v>
      </c>
      <c r="AE6">
        <f t="shared" si="6"/>
        <v>8.9567393337922716E-3</v>
      </c>
      <c r="AF6">
        <f t="shared" si="7"/>
        <v>1.4700913724013808E-3</v>
      </c>
      <c r="AG6">
        <f t="shared" si="8"/>
        <v>1.9510138565298901E-3</v>
      </c>
      <c r="AH6">
        <f t="shared" si="9"/>
        <v>1.1586929707236818E-3</v>
      </c>
      <c r="AI6">
        <f t="shared" si="10"/>
        <v>1.7270242465547035E-3</v>
      </c>
      <c r="AJ6">
        <f t="shared" si="11"/>
        <v>3.115698580398745E-6</v>
      </c>
      <c r="AK6">
        <f t="shared" si="12"/>
        <v>3.0014771635226022E-6</v>
      </c>
      <c r="AL6">
        <f t="shared" si="13"/>
        <v>2.0594565642777564E-6</v>
      </c>
      <c r="AM6">
        <f t="shared" si="14"/>
        <v>1.6317568226327029E-4</v>
      </c>
      <c r="AN6">
        <f t="shared" si="15"/>
        <v>2.4979601680392012E-4</v>
      </c>
      <c r="AO6">
        <f t="shared" si="16"/>
        <v>3.9522607589344472E-7</v>
      </c>
      <c r="AP6">
        <f>AM5*T5*p_Stroke*p_Stroke_rec*(1-I5) + AN5*T5*p_Stroke*p_Stroke_rec*(1-I5) + AO5*(p_recur_Stroke*p_Stroke_rec)*(1-I5) + AP5*(p_recur_Stroke*p_Stroke_rec)*(1-I5) + AQ5*(p_recur_Stroke*p_Stroke_rec)*(1-I5)</f>
        <v>4.0866658894107968E-7</v>
      </c>
      <c r="AQ6">
        <f>AO5*(1-p_recur_Stroke-H5*rr_Stroke*rr_HF)*(1-I5) + AP5*(1-p_recur_Stroke-H5*rr_Stroke*rr_HF)*(1-I5) + AQ5*(1-p_recur_Stroke-H5*rr_Stroke*rr_HF)*(1-I5)</f>
        <v>2.7633572338518029E-7</v>
      </c>
      <c r="AR6">
        <f>AR5*(1-AC5-H5*rr_DM) + AD5*(1-T5-H5)*I5</f>
        <v>0.10612692607271777</v>
      </c>
      <c r="AS6">
        <f>AR5*AC5*p_Other + AD5*T5*p_Other*I5 + AE5*(1-T5*p_Stroke-T5*p_MI-H5*rr_Other)*I5 + AS5*(1-AC5*p_Stroke-AC5*p_MI-H5*rr_Other*rr_DM)</f>
        <v>1.6418839480411753E-3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3.1247790643379366E-4</v>
      </c>
      <c r="AU6">
        <f>AF5*(1-p_recur_Stroke-T5*p_MI-H5*rr_Stroke)*I5 + AG5*(1-p_recur_Stroke-T5*p_MI-H5*rr_Stroke)*I5 + AT5*(1-p_recur_Stroke-AC5*p_MI-H5*rr_Stroke*rr_DM) + AU5*(1-p_recur_Stroke-AC5*p_MI-H5*rr_Stroke*rr_DM)</f>
        <v>3.1703552703494668E-4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2.5105617797643696E-4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2.8114243065169672E-4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8.5299523088288445E-7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8.3152925056872906E-7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3.9396003717407521E-7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3.4132773201423716E-5</v>
      </c>
      <c r="BB6">
        <f>AM5*(1-T5*p_Stroke - H5*rr_HF)*I5 + AN5*(1-T5*p_Stroke - H5*rr_HF)*I5 + BA5*(1-AC5*p_Stroke - H5*rr_HF*rr_DM) + BB5*(1-AC5*p_Stroke - H5*rr_HF*rr_DM)</f>
        <v>4.0022743345071698E-5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1.0679184765354188E-7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1.1029302636194494E-7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5.285672791713621E-8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7.8739064476627679E-3</v>
      </c>
      <c r="BG6">
        <f t="shared" si="17"/>
        <v>0.94199999999999984</v>
      </c>
      <c r="BH6">
        <f>(0.9442 - 0.0007*$B6 - dis_BMI*($C6-21.75))*AD6</f>
        <v>0.69873922938259891</v>
      </c>
      <c r="BI6">
        <f>0.959*(0.9442 - 0.0007*$B6 - dis_BMI*($C6-21.75))*AE6</f>
        <v>7.4148541679053296E-3</v>
      </c>
      <c r="BJ6">
        <f>(0.943*(0.9442 - 0.0007*$B6 - dis_BMI*($C6-21.75)) - 0.19*0.5)*AF6</f>
        <v>1.057054551864687E-3</v>
      </c>
      <c r="BK6">
        <f>(0.943*(0.9442 - 0.0007*$B6 - dis_BMI*($C6-21.75)))*AG6</f>
        <v>1.5882033880550766E-3</v>
      </c>
      <c r="BL6">
        <f>(0.955*(0.9442 - 0.0007*$B6 - dis_BMI*($C6-21.75)) - 0.15*0.5)*AH6</f>
        <v>8.6832332460003224E-4</v>
      </c>
      <c r="BM6">
        <f>(0.955*(0.9442 - 0.0007*$B6 - dis_BMI*($C6-21.75)))*AI6</f>
        <v>1.4237570186598448E-3</v>
      </c>
      <c r="BN6">
        <f>(0.955*0.943*(0.9442 - 0.0007*$B6 - dis_BMI*($C6-21.75)) - 0.19*0.5)*AJ6</f>
        <v>2.1261783641346879E-6</v>
      </c>
      <c r="BO6">
        <f>(0.955*0.943*(0.9442 - 0.0007*$B6 - dis_BMI*($C6-21.75)) - 0.15*0.5)*AK6</f>
        <v>2.1082622720953909E-6</v>
      </c>
      <c r="BP6">
        <f>(0.955*0.943*(0.9442 - 0.0007*$B6 - dis_BMI*($C6-21.75)))*AL6</f>
        <v>1.6010384894506905E-6</v>
      </c>
      <c r="BQ6">
        <f>(0.93*(0.9442 - 0.0007*$B6 - dis_BMI*($C6-21.75)))*AM6</f>
        <v>1.310003504068818E-4</v>
      </c>
      <c r="BR6">
        <f>(0.93*(0.9442 - 0.0007*$B6 - dis_BMI*($C6-21.75)))*AN6</f>
        <v>2.0054070114908703E-4</v>
      </c>
      <c r="BS6">
        <f>(0.93*0.943*(0.9442 - 0.0007*$B6 - dis_BMI*($C6-21.75)))*AO6</f>
        <v>2.9920875924748756E-7</v>
      </c>
      <c r="BT6">
        <f>(0.93*0.943*(0.9442 - 0.0007*$B6 - dis_BMI*($C6-21.75))-0.19*0.5)*AP6</f>
        <v>2.7056067090997973E-7</v>
      </c>
      <c r="BU6">
        <f>(0.93*0.943*(0.9442 - 0.0007*$B6 - dis_BMI*($C6-21.75)))*AQ6</f>
        <v>2.0920195800068695E-7</v>
      </c>
      <c r="BV6">
        <f>0.962*(0.9442 - 0.0007*$B6 - dis_BMI*($C6-21.75))*AR6</f>
        <v>8.813222384233281E-2</v>
      </c>
      <c r="BW6">
        <f>0.962*0.959*(0.9442 - 0.0007*$B6 - dis_BMI*($C6-21.75))*AS6</f>
        <v>1.3075858364907831E-3</v>
      </c>
      <c r="BX6">
        <f>0.962*(0.943*(0.9442 - 0.0007*$B6 - dis_BMI*($C6-21.75)) - 0.19*0.5)*AT6</f>
        <v>2.1614612803728421E-4</v>
      </c>
      <c r="BY6">
        <f>0.962*(0.943*(0.9442 - 0.0007*$B6 - dis_BMI*($C6-21.75)))*AU6</f>
        <v>2.4827258628586812E-4</v>
      </c>
      <c r="BZ6">
        <f>0.962*(0.955*(0.9442 - 0.0007*$B6 - dis_BMI*($C6-21.75)) - 0.15*0.5)*AV6</f>
        <v>1.8099187523012701E-4</v>
      </c>
      <c r="CA6">
        <f>0.962*(0.955*(0.9442 - 0.0007*$B6 - dis_BMI*($C6-21.75)))*AW6</f>
        <v>2.2296613745525321E-4</v>
      </c>
      <c r="CB6">
        <f>0.962*(0.955*0.943*(0.9442 - 0.0007*$B6 - dis_BMI*($C6-21.75)) - 0.19*0.5)*AX6</f>
        <v>5.5997151181892303E-7</v>
      </c>
      <c r="CC6">
        <f>0.962*(0.955*0.943*(0.9442 - 0.0007*$B6 - dis_BMI*($C6-21.75)) - 0.15*0.5)*AY6</f>
        <v>5.6187821823973377E-7</v>
      </c>
      <c r="CD6">
        <f>0.962*(0.955*0.943*(0.9442 - 0.0007*$B6 - dis_BMI*($C6-21.75)))*AZ6</f>
        <v>2.946296010310424E-7</v>
      </c>
      <c r="CE6">
        <f>0.962*(0.93*(0.9442 - 0.0007*$B6 - dis_BMI*($C6-21.75)))*BA6</f>
        <v>2.636110841145263E-5</v>
      </c>
      <c r="CF6">
        <f>0.962*(0.93*(0.9442 - 0.0007*$B6 - dis_BMI*($C6-21.75)))*BB6</f>
        <v>3.0909995798383366E-5</v>
      </c>
      <c r="CG6">
        <f>0.962*(0.93*0.943*(0.9442 - 0.0007*$B6 - dis_BMI*($C6-21.75)))*BC6</f>
        <v>7.7775334099038957E-8</v>
      </c>
      <c r="CH6">
        <f>0.962*(0.93*0.943*(0.9442 - 0.0007*$B6 - dis_BMI*($C6-21.75))-0.19*0.5)*BD6</f>
        <v>7.0245524562248837E-8</v>
      </c>
      <c r="CI6">
        <f>0.962*(0.93*0.943*(0.9442 - 0.0007*$B6 - dis_BMI*($C6-21.75)))*BE6</f>
        <v>3.8494976568568841E-8</v>
      </c>
      <c r="CJ6">
        <f t="shared" si="18"/>
        <v>0</v>
      </c>
      <c r="CK6">
        <f t="shared" si="19"/>
        <v>0.80179663784096189</v>
      </c>
      <c r="CL6">
        <f>CK6/(1+r_)^A6</f>
        <v>0.73375750561756214</v>
      </c>
      <c r="CM6">
        <f>AD6*c_LIR_2</f>
        <v>9518.9353399548945</v>
      </c>
      <c r="CN6">
        <f>AE6*(c_Other+c_LIR_2)</f>
        <v>233.22453551261697</v>
      </c>
      <c r="CO6">
        <f>AF6*(c_Stroke1+c_Stroke2+c_LIR_2)</f>
        <v>52.299970664551523</v>
      </c>
      <c r="CP6">
        <f>AG6*(c_Stroke2 + c_LIR_2)</f>
        <v>35.625513020235793</v>
      </c>
      <c r="CQ6">
        <f>AH6*(c_MI1+c_MI2 + c_LIR_2)</f>
        <v>47.403288125276546</v>
      </c>
      <c r="CR6">
        <f>AI6*(c_MI2+c_LIR_2)</f>
        <v>25.692939715994324</v>
      </c>
      <c r="CS6">
        <f>AJ6*(c_Stroke1+c_Stroke2+c_MI2+c_LIR_2)</f>
        <v>0.12055572517136864</v>
      </c>
      <c r="CT6">
        <f>AK6*(c_Stroke2+c_MI1+c_MI2+c_LIR_2)</f>
        <v>0.14230303379977011</v>
      </c>
      <c r="CU6">
        <f>AL6*(c_Stroke2+c_MI2+c_LIR_2)</f>
        <v>4.4025002974565602E-2</v>
      </c>
      <c r="CV6">
        <f>AM6*(c_HF1+c_LIR_2)</f>
        <v>6.3295847149922544</v>
      </c>
      <c r="CW6">
        <f>AN6*(c_HF2+c_LIR_2)</f>
        <v>6.8356679998392744</v>
      </c>
      <c r="CX6">
        <f>AO6*(c_Stroke2+c_HF1+c_LIR_2)</f>
        <v>1.7899788977214112E-2</v>
      </c>
      <c r="CY6">
        <f>AP6*(c_Stroke1+c_Stroke2+c_HF2+c_LIR_2)</f>
        <v>2.09159646885934E-2</v>
      </c>
      <c r="CZ6">
        <f>AQ6*(c_Stroke2+c_HF2+c_LIR_2)</f>
        <v>9.3581092724391302E-3</v>
      </c>
      <c r="DA6">
        <f>AR6*(c_DM+c_LIR_2)</f>
        <v>2460.5527809959617</v>
      </c>
      <c r="DB6">
        <f>AS6*(c_Other+c_DM+c_LIR_2)</f>
        <v>61.511540229414592</v>
      </c>
      <c r="DC6">
        <f>AT6*(c_Stroke1+c_Stroke2+c_DM+c_LIR_2)</f>
        <v>14.686774080294736</v>
      </c>
      <c r="DD6">
        <f>AU6*(c_Stroke2+c_DM+c_LIR_2)</f>
        <v>9.4111996200323915</v>
      </c>
      <c r="DE6">
        <f>AV6*(c_MI1+c_MI2+c_DM+c_LIR_2)</f>
        <v>13.139276130574805</v>
      </c>
      <c r="DF6">
        <f>AW6*(c_MI2+c_DM+c_LIR_2)</f>
        <v>7.3946082110009268</v>
      </c>
      <c r="DG6">
        <f>AX6*(c_Stroke1+c_Stroke2+c_MI2+c_DM+c_LIR_2)</f>
        <v>4.2750414981388402E-2</v>
      </c>
      <c r="DH6">
        <f>AY6*(c_Stroke2+c_MI1+c_MI2+c_DM+c_LIR_2)</f>
        <v>4.8923854986461741E-2</v>
      </c>
      <c r="DI6">
        <f>AZ6*(c_Stroke2+c_MI2+c_DM+c_LIR_2)</f>
        <v>1.2922677139384015E-2</v>
      </c>
      <c r="DJ6">
        <f>BA6*(c_HF1+c_DM+c_LIR_2)</f>
        <v>1.7139772063094918</v>
      </c>
      <c r="DK6">
        <f>BB6*(c_HF2+c_DM+c_LIR_2)</f>
        <v>1.5524822143553312</v>
      </c>
      <c r="DL6">
        <f>BC6*(c_Stroke2+c_HF1+c_DM+c_LIR_2)</f>
        <v>6.0566996396706277E-3</v>
      </c>
      <c r="DM6">
        <f>BD6*(c_Stroke1+c_Stroke2+c_HF2+c_DM+c_LIR_2)</f>
        <v>6.9050052084159248E-3</v>
      </c>
      <c r="DN6">
        <f>BE6*(c_Stroke2+c_HF2+c_DM+c_LIR_2)</f>
        <v>2.3938812073670988E-3</v>
      </c>
      <c r="DO6">
        <f t="shared" si="5"/>
        <v>0</v>
      </c>
      <c r="DP6">
        <f t="shared" si="38"/>
        <v>12496.784488554395</v>
      </c>
      <c r="DQ6">
        <f>DP6/(1+r_)^A6</f>
        <v>11436.328093434495</v>
      </c>
    </row>
    <row r="7" spans="1:121" x14ac:dyDescent="0.3">
      <c r="A7">
        <v>4</v>
      </c>
      <c r="B7">
        <v>49</v>
      </c>
      <c r="C7">
        <f t="shared" si="39"/>
        <v>36.1</v>
      </c>
      <c r="D7">
        <f t="shared" si="1"/>
        <v>125</v>
      </c>
      <c r="E7">
        <f t="shared" si="40"/>
        <v>5.5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0"/>
        <v>3.2286349135090861E-2</v>
      </c>
      <c r="J7">
        <f t="shared" si="21"/>
        <v>9.8982636161131232E-2</v>
      </c>
      <c r="K7">
        <f t="shared" si="22"/>
        <v>0.13582005955915355</v>
      </c>
      <c r="L7">
        <f t="shared" si="23"/>
        <v>4.8145142619228087E-2</v>
      </c>
      <c r="M7">
        <f t="shared" si="24"/>
        <v>6.6770427115308451E-2</v>
      </c>
      <c r="N7">
        <f t="shared" si="25"/>
        <v>0.20987940245028691</v>
      </c>
      <c r="O7">
        <f t="shared" si="26"/>
        <v>0.28312756016154728</v>
      </c>
      <c r="P7">
        <f t="shared" si="27"/>
        <v>0.109412920578844</v>
      </c>
      <c r="Q7">
        <f t="shared" si="28"/>
        <v>0.15102813733179798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7.8547069965350311E-3</v>
      </c>
      <c r="U7">
        <f t="shared" si="29"/>
        <v>0.20295030194501351</v>
      </c>
      <c r="V7">
        <f t="shared" si="30"/>
        <v>0.27216798756787242</v>
      </c>
      <c r="W7">
        <f t="shared" si="31"/>
        <v>0.10182015999799821</v>
      </c>
      <c r="X7">
        <f t="shared" si="32"/>
        <v>0.13962911107788445</v>
      </c>
      <c r="Y7">
        <f t="shared" si="33"/>
        <v>0.33025471935990847</v>
      </c>
      <c r="Z7">
        <f t="shared" si="34"/>
        <v>0.43243934526636896</v>
      </c>
      <c r="AA7">
        <f t="shared" si="35"/>
        <v>0.17895551255668574</v>
      </c>
      <c r="AB7">
        <f t="shared" si="36"/>
        <v>0.24316522117127726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1.4978621255146913E-2</v>
      </c>
      <c r="AD7">
        <f t="shared" si="37"/>
        <v>0.77525050676962082</v>
      </c>
      <c r="AE7">
        <f t="shared" si="6"/>
        <v>1.1792630150455305E-2</v>
      </c>
      <c r="AF7">
        <f t="shared" si="7"/>
        <v>1.6106038415322637E-3</v>
      </c>
      <c r="AG7">
        <f t="shared" si="8"/>
        <v>2.8784694660599144E-3</v>
      </c>
      <c r="AH7">
        <f t="shared" si="9"/>
        <v>1.2321010208550969E-3</v>
      </c>
      <c r="AI7">
        <f t="shared" si="10"/>
        <v>2.5347802368882013E-3</v>
      </c>
      <c r="AJ7">
        <f t="shared" si="11"/>
        <v>5.263918931609208E-6</v>
      </c>
      <c r="AK7">
        <f t="shared" si="12"/>
        <v>4.9218420899533912E-6</v>
      </c>
      <c r="AL7">
        <f t="shared" si="13"/>
        <v>6.1704765749592483E-6</v>
      </c>
      <c r="AM7">
        <f t="shared" si="14"/>
        <v>1.8275605603724322E-4</v>
      </c>
      <c r="AN7">
        <f t="shared" si="15"/>
        <v>3.9688540114517538E-4</v>
      </c>
      <c r="AO7">
        <f t="shared" si="16"/>
        <v>6.9113872724233551E-7</v>
      </c>
      <c r="AP7">
        <f>AM6*T6*p_Stroke*p_Stroke_rec*(1-I6) + AN6*T6*p_Stroke*p_Stroke_rec*(1-I6) + AO6*(p_recur_Stroke*p_Stroke_rec)*(1-I6) + AP6*(p_recur_Stroke*p_Stroke_rec)*(1-I6) + AQ6*(p_recur_Stroke*p_Stroke_rec)*(1-I6)</f>
        <v>7.4370676316859073E-7</v>
      </c>
      <c r="AQ7">
        <f>AO6*(1-p_recur_Stroke-H6*rr_Stroke*rr_HF)*(1-I6) + AP6*(1-p_recur_Stroke-H6*rr_Stroke*rr_HF)*(1-I6) + AQ6*(1-p_recur_Stroke-H6*rr_Stroke*rr_HF)*(1-I6)</f>
        <v>9.0296175641611928E-7</v>
      </c>
      <c r="AR7">
        <f>AR6*(1-AC6-H6*rr_DM) + AD6*(1-T6-H6)*I6</f>
        <v>0.13013645192667353</v>
      </c>
      <c r="AS7">
        <f>AR6*AC6*p_Other + AD6*T6*p_Other*I6 + AE6*(1-T6*p_Stroke-T6*p_MI-H6*rr_Other)*I6 + AS6*(1-AC6*p_Stroke-AC6*p_MI-H6*rr_Other*rr_DM)</f>
        <v>2.8441437299834551E-3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4.4731249168021049E-4</v>
      </c>
      <c r="AU7">
        <f>AF6*(1-p_recur_Stroke-T6*p_MI-H6*rr_Stroke)*I6 + AG6*(1-p_recur_Stroke-T6*p_MI-H6*rr_Stroke)*I6 + AT6*(1-p_recur_Stroke-AC6*p_MI-H6*rr_Stroke*rr_DM) + AU6*(1-p_recur_Stroke-AC6*p_MI-H6*rr_Stroke*rr_DM)</f>
        <v>6.4159069249869081E-4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3.4996452461481017E-4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5.6645386802532639E-4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2.0054975369189719E-6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1.9057013244718303E-6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1.8223358420733777E-6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4.9895925367308871E-5</v>
      </c>
      <c r="BB7">
        <f>AM6*(1-T6*p_Stroke - H6*rr_HF)*I6 + AN6*(1-T6*p_Stroke - H6*rr_HF)*I6 + BA6*(1-AC6*p_Stroke - H6*rr_HF*rr_DM) + BB6*(1-AC6*p_Stroke - H6*rr_HF*rr_DM)</f>
        <v>8.6712907218266852E-5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2.5894901564211021E-7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2.776122351315481E-7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2.6264170689977951E-7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1.0973514208839814E-2</v>
      </c>
      <c r="BG7">
        <f t="shared" si="17"/>
        <v>0.94200000000000006</v>
      </c>
      <c r="BH7">
        <f>(0.9442 - 0.0007*$B7 - dis_BMI*($C7-21.75))*AD7</f>
        <v>0.66868844836160257</v>
      </c>
      <c r="BI7">
        <f>0.959*(0.9442 - 0.0007*$B7 - dis_BMI*($C7-21.75))*AE7</f>
        <v>9.7546355320263668E-3</v>
      </c>
      <c r="BJ7">
        <f>(0.943*(0.9442 - 0.0007*$B7 - dis_BMI*($C7-21.75)) - 0.19*0.5)*AF7</f>
        <v>1.1570254829906979E-3</v>
      </c>
      <c r="BK7">
        <f>(0.943*(0.9442 - 0.0007*$B7 - dis_BMI*($C7-21.75)))*AG7</f>
        <v>2.3412893072032978E-3</v>
      </c>
      <c r="BL7">
        <f>(0.955*(0.9442 - 0.0007*$B7 - dis_BMI*($C7-21.75)) - 0.15*0.5)*AH7</f>
        <v>9.2251158259282163E-4</v>
      </c>
      <c r="BM7">
        <f>(0.955*(0.9442 - 0.0007*$B7 - dis_BMI*($C7-21.75)))*AI7</f>
        <v>2.0879757285525305E-3</v>
      </c>
      <c r="BN7">
        <f>(0.955*0.943*(0.9442 - 0.0007*$B7 - dis_BMI*($C7-21.75)) - 0.19*0.5)*AJ7</f>
        <v>3.5888232682050018E-6</v>
      </c>
      <c r="BO7">
        <f>(0.955*0.943*(0.9442 - 0.0007*$B7 - dis_BMI*($C7-21.75)) - 0.15*0.5)*AK7</f>
        <v>3.4540397004957543E-6</v>
      </c>
      <c r="BP7">
        <f>(0.955*0.943*(0.9442 - 0.0007*$B7 - dis_BMI*($C7-21.75)))*AL7</f>
        <v>4.7930894528637044E-6</v>
      </c>
      <c r="BQ7">
        <f>(0.93*(0.9442 - 0.0007*$B7 - dis_BMI*($C7-21.75)))*AM7</f>
        <v>1.466008497898189E-4</v>
      </c>
      <c r="BR7">
        <f>(0.93*(0.9442 - 0.0007*$B7 - dis_BMI*($C7-21.75)))*AN7</f>
        <v>3.1836831204761179E-4</v>
      </c>
      <c r="BS7">
        <f>(0.93*0.943*(0.9442 - 0.0007*$B7 - dis_BMI*($C7-21.75)))*AO7</f>
        <v>5.2280728692752888E-7</v>
      </c>
      <c r="BT7">
        <f>(0.93*0.943*(0.9442 - 0.0007*$B7 - dis_BMI*($C7-21.75))-0.19*0.5)*AP7</f>
        <v>4.9191988507615369E-7</v>
      </c>
      <c r="BU7">
        <f>(0.93*0.943*(0.9442 - 0.0007*$B7 - dis_BMI*($C7-21.75)))*AQ7</f>
        <v>6.8303940650934301E-7</v>
      </c>
      <c r="BV7">
        <f>0.962*(0.9442 - 0.0007*$B7 - dis_BMI*($C7-21.75))*AR7</f>
        <v>0.10798310118186309</v>
      </c>
      <c r="BW7">
        <f>0.962*0.959*(0.9442 - 0.0007*$B7 - dis_BMI*($C7-21.75))*AS7</f>
        <v>2.2632210878895465E-3</v>
      </c>
      <c r="BX7">
        <f>0.962*(0.943*(0.9442 - 0.0007*$B7 - dis_BMI*($C7-21.75)) - 0.19*0.5)*AT7</f>
        <v>3.0912938658739675E-4</v>
      </c>
      <c r="BY7">
        <f>0.962*(0.943*(0.9442 - 0.0007*$B7 - dis_BMI*($C7-21.75)))*AU7</f>
        <v>5.0202642992226482E-4</v>
      </c>
      <c r="BZ7">
        <f>0.962*(0.955*(0.9442 - 0.0007*$B7 - dis_BMI*($C7-21.75)) - 0.15*0.5)*AV7</f>
        <v>2.5207199876757215E-4</v>
      </c>
      <c r="CA7">
        <f>0.962*(0.955*(0.9442 - 0.0007*$B7 - dis_BMI*($C7-21.75)))*AW7</f>
        <v>4.4887431185067401E-4</v>
      </c>
      <c r="CB7">
        <f>0.962*(0.955*0.943*(0.9442 - 0.0007*$B7 - dis_BMI*($C7-21.75)) - 0.19*0.5)*AX7</f>
        <v>1.3153462312465173E-6</v>
      </c>
      <c r="CC7">
        <f>0.962*(0.955*0.943*(0.9442 - 0.0007*$B7 - dis_BMI*($C7-21.75)) - 0.15*0.5)*AY7</f>
        <v>1.2865585549203412E-6</v>
      </c>
      <c r="CD7">
        <f>0.962*(0.955*0.943*(0.9442 - 0.0007*$B7 - dis_BMI*($C7-21.75)))*AZ7</f>
        <v>1.3617591917545906E-6</v>
      </c>
      <c r="CE7">
        <f>0.962*(0.93*(0.9442 - 0.0007*$B7 - dis_BMI*($C7-21.75)))*BA7</f>
        <v>3.8503912703099541E-5</v>
      </c>
      <c r="CF7">
        <f>0.962*(0.93*(0.9442 - 0.0007*$B7 - dis_BMI*($C7-21.75)))*BB7</f>
        <v>6.6915007291389842E-5</v>
      </c>
      <c r="CG7">
        <f>0.962*(0.93*0.943*(0.9442 - 0.0007*$B7 - dis_BMI*($C7-21.75)))*BC7</f>
        <v>1.8843680835521393E-7</v>
      </c>
      <c r="CH7">
        <f>0.962*(0.93*0.943*(0.9442 - 0.0007*$B7 - dis_BMI*($C7-21.75))-0.19*0.5)*BD7</f>
        <v>1.766470228769477E-7</v>
      </c>
      <c r="CI7">
        <f>0.962*(0.93*0.943*(0.9442 - 0.0007*$B7 - dis_BMI*($C7-21.75)))*BE7</f>
        <v>1.9112397421723102E-7</v>
      </c>
      <c r="CJ7">
        <f t="shared" si="18"/>
        <v>0</v>
      </c>
      <c r="CK7">
        <f t="shared" si="19"/>
        <v>0.79729875206446421</v>
      </c>
      <c r="CL7">
        <f>CK7/(1+r_)^A7</f>
        <v>0.70838961452861859</v>
      </c>
      <c r="CM7">
        <f>AD7*c_LIR_2</f>
        <v>9116.9459596107408</v>
      </c>
      <c r="CN7">
        <f>AE7*(c_Other+c_LIR_2)</f>
        <v>307.06829648770565</v>
      </c>
      <c r="CO7">
        <f>AF7*(c_Stroke1+c_Stroke2+c_LIR_2)</f>
        <v>57.298842266351812</v>
      </c>
      <c r="CP7">
        <f>AG7*(c_Stroke2 + c_LIR_2)</f>
        <v>52.560852450254039</v>
      </c>
      <c r="CQ7">
        <f>AH7*(c_MI1+c_MI2 + c_LIR_2)</f>
        <v>50.406484864202874</v>
      </c>
      <c r="CR7">
        <f>AI7*(c_MI2+c_LIR_2)</f>
        <v>37.709925584185768</v>
      </c>
      <c r="CS7">
        <f>AJ7*(c_Stroke1+c_Stroke2+c_MI2+c_LIR_2)</f>
        <v>0.20367681522075509</v>
      </c>
      <c r="CT7">
        <f>AK7*(c_Stroke2+c_MI1+c_MI2+c_LIR_2)</f>
        <v>0.23334945532678023</v>
      </c>
      <c r="CU7">
        <f>AL7*(c_Stroke2+c_MI2+c_LIR_2)</f>
        <v>0.13190627774290384</v>
      </c>
      <c r="CV7">
        <f>AM7*(c_HF1+c_LIR_2)</f>
        <v>7.0891074136846646</v>
      </c>
      <c r="CW7">
        <f>AN7*(c_HF2+c_LIR_2)</f>
        <v>10.860769002337724</v>
      </c>
      <c r="CX7">
        <f>AO7*(c_Stroke2+c_HF1+c_LIR_2)</f>
        <v>3.1301672956805374E-2</v>
      </c>
      <c r="CY7">
        <f>AP7*(c_Stroke1+c_Stroke2+c_HF2+c_LIR_2)</f>
        <v>3.8063655845731639E-2</v>
      </c>
      <c r="CZ7">
        <f>AQ7*(c_Stroke2+c_HF2+c_LIR_2)</f>
        <v>3.057879988103188E-2</v>
      </c>
      <c r="DA7">
        <f>AR7*(c_DM+c_LIR_2)</f>
        <v>3017.213637919926</v>
      </c>
      <c r="DB7">
        <f>AS7*(c_Other+c_DM+c_LIR_2)</f>
        <v>106.55300070010016</v>
      </c>
      <c r="DC7">
        <f>AT7*(c_Stroke1+c_Stroke2+c_DM+c_LIR_2)</f>
        <v>21.024134421461575</v>
      </c>
      <c r="DD7">
        <f>AU7*(c_Stroke2+c_DM+c_LIR_2)</f>
        <v>19.045619706823636</v>
      </c>
      <c r="DE7">
        <f>AV7*(c_MI1+c_MI2+c_DM+c_LIR_2)</f>
        <v>18.315743360240706</v>
      </c>
      <c r="DF7">
        <f>AW7*(c_MI2+c_DM+c_LIR_2)</f>
        <v>14.898869636802134</v>
      </c>
      <c r="DG7">
        <f>AX7*(c_Stroke1+c_Stroke2+c_MI2+c_DM+c_LIR_2)</f>
        <v>0.10051152555530504</v>
      </c>
      <c r="DH7">
        <f>AY7*(c_Stroke2+c_MI1+c_MI2+c_DM+c_LIR_2)</f>
        <v>0.11212384312662461</v>
      </c>
      <c r="DI7">
        <f>AZ7*(c_Stroke2+c_MI2+c_DM+c_LIR_2)</f>
        <v>5.9776260291690933E-2</v>
      </c>
      <c r="DJ7">
        <f>BA7*(c_HF1+c_DM+c_LIR_2)</f>
        <v>2.505523892319415</v>
      </c>
      <c r="DK7">
        <f>BB7*(c_HF2+c_DM+c_LIR_2)</f>
        <v>3.363593670996571</v>
      </c>
      <c r="DL7">
        <f>BC7*(c_Stroke2+c_HF1+c_DM+c_LIR_2)</f>
        <v>1.4686293422142281E-2</v>
      </c>
      <c r="DM7">
        <f>BD7*(c_Stroke1+c_Stroke2+c_HF2+c_DM+c_LIR_2)</f>
        <v>1.73801915926457E-2</v>
      </c>
      <c r="DN7">
        <f>BE7*(c_Stroke2+c_HF2+c_DM+c_LIR_2)</f>
        <v>1.1895042905491014E-2</v>
      </c>
      <c r="DO7">
        <f t="shared" si="5"/>
        <v>0</v>
      </c>
      <c r="DP7">
        <f t="shared" si="38"/>
        <v>12843.845610821996</v>
      </c>
      <c r="DQ7">
        <f>DP7/(1+r_)^A7</f>
        <v>11411.590470644114</v>
      </c>
    </row>
    <row r="8" spans="1:121" x14ac:dyDescent="0.3">
      <c r="A8">
        <v>5</v>
      </c>
      <c r="B8">
        <v>50</v>
      </c>
      <c r="C8">
        <f t="shared" si="39"/>
        <v>36.1</v>
      </c>
      <c r="D8">
        <f t="shared" si="1"/>
        <v>125</v>
      </c>
      <c r="E8">
        <f t="shared" si="40"/>
        <v>5.5</v>
      </c>
      <c r="F8">
        <v>2.99E-3</v>
      </c>
      <c r="G8">
        <v>4.8500000000000001E-3</v>
      </c>
      <c r="H8">
        <f t="shared" si="3"/>
        <v>3.362E-3</v>
      </c>
      <c r="I8">
        <f t="shared" si="20"/>
        <v>3.2286349135090861E-2</v>
      </c>
      <c r="J8">
        <f t="shared" si="21"/>
        <v>0.10427429443609559</v>
      </c>
      <c r="K8">
        <f t="shared" si="22"/>
        <v>0.14291962234362354</v>
      </c>
      <c r="L8">
        <f t="shared" si="23"/>
        <v>5.0795653688487041E-2</v>
      </c>
      <c r="M8">
        <f t="shared" si="24"/>
        <v>7.0407780210864357E-2</v>
      </c>
      <c r="N8">
        <f t="shared" si="25"/>
        <v>0.2218692455625213</v>
      </c>
      <c r="O8">
        <f t="shared" si="26"/>
        <v>0.29845020323984872</v>
      </c>
      <c r="P8">
        <f t="shared" si="27"/>
        <v>0.11608634111889504</v>
      </c>
      <c r="Q8">
        <f t="shared" si="28"/>
        <v>0.1600030587344462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8.2928632719279239E-3</v>
      </c>
      <c r="U8">
        <f t="shared" si="29"/>
        <v>0.21310255010112411</v>
      </c>
      <c r="V8">
        <f t="shared" si="30"/>
        <v>0.28511818702296121</v>
      </c>
      <c r="W8">
        <f t="shared" si="31"/>
        <v>0.10725430066752695</v>
      </c>
      <c r="X8">
        <f t="shared" si="32"/>
        <v>0.14691037225469894</v>
      </c>
      <c r="Y8">
        <f t="shared" si="33"/>
        <v>0.34745672068957156</v>
      </c>
      <c r="Z8">
        <f t="shared" si="34"/>
        <v>0.45292732348990472</v>
      </c>
      <c r="AA8">
        <f t="shared" si="35"/>
        <v>0.18939707980998033</v>
      </c>
      <c r="AB8">
        <f t="shared" si="36"/>
        <v>0.25672941501969115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1.576517539239651E-2</v>
      </c>
      <c r="AD8">
        <f t="shared" si="37"/>
        <v>0.74201255558685253</v>
      </c>
      <c r="AE8">
        <f t="shared" si="6"/>
        <v>1.4545659242673054E-2</v>
      </c>
      <c r="AF8">
        <f t="shared" si="7"/>
        <v>1.7454684618081738E-3</v>
      </c>
      <c r="AG8">
        <f t="shared" si="8"/>
        <v>3.7733733868848861E-3</v>
      </c>
      <c r="AH8">
        <f t="shared" si="9"/>
        <v>1.3016700031837267E-3</v>
      </c>
      <c r="AI8">
        <f t="shared" si="10"/>
        <v>3.3070459906493462E-3</v>
      </c>
      <c r="AJ8">
        <f t="shared" si="11"/>
        <v>7.8060585146158003E-6</v>
      </c>
      <c r="AK8">
        <f t="shared" si="12"/>
        <v>7.1225538289781825E-6</v>
      </c>
      <c r="AL8">
        <f t="shared" si="13"/>
        <v>1.2324410329318313E-5</v>
      </c>
      <c r="AM8">
        <f t="shared" si="14"/>
        <v>2.0141558172387307E-4</v>
      </c>
      <c r="AN8">
        <f t="shared" si="15"/>
        <v>5.5676313241117257E-4</v>
      </c>
      <c r="AO8">
        <f t="shared" si="16"/>
        <v>1.0526990648278249E-6</v>
      </c>
      <c r="AP8">
        <f>AM7*T7*p_Stroke*p_Stroke_rec*(1-I7) + AN7*T7*p_Stroke*p_Stroke_rec*(1-I7) + AO7*(p_recur_Stroke*p_Stroke_rec)*(1-I7) + AP7*(p_recur_Stroke*p_Stroke_rec)*(1-I7) + AQ7*(p_recur_Stroke*p_Stroke_rec)*(1-I7)</f>
        <v>1.1820530139094764E-6</v>
      </c>
      <c r="AQ8">
        <f>AO7*(1-p_recur_Stroke-H7*rr_Stroke*rr_HF)*(1-I7) + AP7*(1-p_recur_Stroke-H7*rr_Stroke*rr_HF)*(1-I7) + AQ7*(1-p_recur_Stroke-H7*rr_Stroke*rr_HF)*(1-I7)</f>
        <v>1.9510775630575291E-6</v>
      </c>
      <c r="AR8">
        <f>AR7*(1-AC7-H7*rr_DM) + AD7*(1-T7-H7)*I7</f>
        <v>0.1524815085868193</v>
      </c>
      <c r="AS8">
        <f>AR7*AC7*p_Other + AD7*T7*p_Other*I7 + AE7*(1-T7*p_Stroke-T7*p_MI-H7*rr_Other)*I7 + AS7*(1-AC7*p_Stroke-AC7*p_MI-H7*rr_Other*rr_DM)</f>
        <v>4.3631854845874738E-3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5.9992875188141835E-4</v>
      </c>
      <c r="AU8">
        <f>AF7*(1-p_recur_Stroke-T7*p_MI-H7*rr_Stroke)*I7 + AG7*(1-p_recur_Stroke-T7*p_MI-H7*rr_Stroke)*I7 + AT7*(1-p_recur_Stroke-AC7*p_MI-H7*rr_Stroke*rr_DM) + AU7*(1-p_recur_Stroke-AC7*p_MI-H7*rr_Stroke*rr_DM)</f>
        <v>1.0684440228678773E-3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4.5874802071331733E-4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9.3955378132538512E-4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3.7979862822717475E-6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3.5307949000625257E-6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4.8624113877236898E-6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6.8024998208642085E-5</v>
      </c>
      <c r="BB8">
        <f>AM7*(1-T7*p_Stroke - H7*rr_HF)*I7 + AN7*(1-T7*p_Stroke - H7*rr_HF)*I7 + BA7*(1-AC7*p_Stroke - H7*rr_HF*rr_DM) + BB7*(1-AC7*p_Stroke - H7*rr_HF*rr_DM)</f>
        <v>1.5383143441557247E-4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5.0282770760584413E-7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5.6064792615368754E-7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7.5223623162321826E-7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1.4377377776244069E-2</v>
      </c>
      <c r="BG8">
        <f t="shared" si="17"/>
        <v>0.94199999999999973</v>
      </c>
      <c r="BH8">
        <f>(0.9442 - 0.0007*$B8 - dis_BMI*($C8-21.75))*AD8</f>
        <v>0.63949981096975095</v>
      </c>
      <c r="BI8">
        <f>0.959*(0.9442 - 0.0007*$B8 - dis_BMI*($C8-21.75))*AE8</f>
        <v>1.2022123438711493E-2</v>
      </c>
      <c r="BJ8">
        <f>(0.943*(0.9442 - 0.0007*$B8 - dis_BMI*($C8-21.75)) - 0.19*0.5)*AF8</f>
        <v>1.2527573364066662E-3</v>
      </c>
      <c r="BK8">
        <f>(0.943*(0.9442 - 0.0007*$B8 - dis_BMI*($C8-21.75)))*AG8</f>
        <v>3.0666953963824754E-3</v>
      </c>
      <c r="BL8">
        <f>(0.955*(0.9442 - 0.0007*$B8 - dis_BMI*($C8-21.75)) - 0.15*0.5)*AH8</f>
        <v>9.7372983337987477E-4</v>
      </c>
      <c r="BM8">
        <f>(0.955*(0.9442 - 0.0007*$B8 - dis_BMI*($C8-21.75)))*AI8</f>
        <v>2.721903804479682E-3</v>
      </c>
      <c r="BN8">
        <f>(0.955*0.943*(0.9442 - 0.0007*$B8 - dis_BMI*($C8-21.75)) - 0.19*0.5)*AJ8</f>
        <v>5.3170767926504459E-6</v>
      </c>
      <c r="BO8">
        <f>(0.955*0.943*(0.9442 - 0.0007*$B8 - dis_BMI*($C8-21.75)) - 0.15*0.5)*AK8</f>
        <v>4.9939604007224432E-6</v>
      </c>
      <c r="BP8">
        <f>(0.955*0.943*(0.9442 - 0.0007*$B8 - dis_BMI*($C8-21.75)))*AL8</f>
        <v>9.5655595564966601E-6</v>
      </c>
      <c r="BQ8">
        <f>(0.93*(0.9442 - 0.0007*$B8 - dis_BMI*($C8-21.75)))*AM8</f>
        <v>1.614377811886546E-4</v>
      </c>
      <c r="BR8">
        <f>(0.93*(0.9442 - 0.0007*$B8 - dis_BMI*($C8-21.75)))*AN8</f>
        <v>4.4625447532320353E-4</v>
      </c>
      <c r="BS8">
        <f>(0.93*0.943*(0.9442 - 0.0007*$B8 - dis_BMI*($C8-21.75)))*AO8</f>
        <v>7.9566095155251755E-7</v>
      </c>
      <c r="BT8">
        <f>(0.93*0.943*(0.9442 - 0.0007*$B8 - dis_BMI*($C8-21.75))-0.19*0.5)*AP8</f>
        <v>7.8113543897455888E-7</v>
      </c>
      <c r="BU8">
        <f>(0.93*0.943*(0.9442 - 0.0007*$B8 - dis_BMI*($C8-21.75)))*AQ8</f>
        <v>1.474681874661895E-6</v>
      </c>
      <c r="BV8">
        <f>0.962*(0.9442 - 0.0007*$B8 - dis_BMI*($C8-21.75))*AR8</f>
        <v>0.12642163958882299</v>
      </c>
      <c r="BW8">
        <f>0.962*0.959*(0.9442 - 0.0007*$B8 - dis_BMI*($C8-21.75))*AS8</f>
        <v>3.4691775030285081E-3</v>
      </c>
      <c r="BX8">
        <f>0.962*(0.943*(0.9442 - 0.0007*$B8 - dis_BMI*($C8-21.75)) - 0.19*0.5)*AT8</f>
        <v>4.1421869574922808E-4</v>
      </c>
      <c r="BY8">
        <f>0.962*(0.943*(0.9442 - 0.0007*$B8 - dis_BMI*($C8-21.75)))*AU8</f>
        <v>8.3534851527298441E-4</v>
      </c>
      <c r="BZ8">
        <f>0.962*(0.955*(0.9442 - 0.0007*$B8 - dis_BMI*($C8-21.75)) - 0.15*0.5)*AV8</f>
        <v>3.3013141628686354E-4</v>
      </c>
      <c r="CA8">
        <f>0.962*(0.955*(0.9442 - 0.0007*$B8 - dis_BMI*($C8-21.75)))*AW8</f>
        <v>7.4392517322308669E-4</v>
      </c>
      <c r="CB8">
        <f>0.962*(0.955*0.943*(0.9442 - 0.0007*$B8 - dis_BMI*($C8-21.75)) - 0.19*0.5)*AX8</f>
        <v>2.4886830741183184E-6</v>
      </c>
      <c r="CC8">
        <f>0.962*(0.955*0.943*(0.9442 - 0.0007*$B8 - dis_BMI*($C8-21.75)) - 0.15*0.5)*AY8</f>
        <v>2.3815347169776422E-6</v>
      </c>
      <c r="CD8">
        <f>0.962*(0.955*0.943*(0.9442 - 0.0007*$B8 - dis_BMI*($C8-21.75)))*AZ8</f>
        <v>3.6305381324211385E-6</v>
      </c>
      <c r="CE8">
        <f>0.962*(0.93*(0.9442 - 0.0007*$B8 - dis_BMI*($C8-21.75)))*BA8</f>
        <v>5.2451235918551204E-5</v>
      </c>
      <c r="CF8">
        <f>0.962*(0.93*(0.9442 - 0.0007*$B8 - dis_BMI*($C8-21.75)))*BB8</f>
        <v>1.1861299626164878E-4</v>
      </c>
      <c r="CG8">
        <f>0.962*(0.93*0.943*(0.9442 - 0.0007*$B8 - dis_BMI*($C8-21.75)))*BC8</f>
        <v>3.6561001240764063E-7</v>
      </c>
      <c r="CH8">
        <f>0.962*(0.93*0.943*(0.9442 - 0.0007*$B8 - dis_BMI*($C8-21.75))-0.19*0.5)*BD8</f>
        <v>3.5641393771706383E-7</v>
      </c>
      <c r="CI8">
        <f>0.962*(0.93*0.943*(0.9442 - 0.0007*$B8 - dis_BMI*($C8-21.75)))*BE8</f>
        <v>5.4695692742697453E-7</v>
      </c>
      <c r="CJ8">
        <f t="shared" si="18"/>
        <v>0</v>
      </c>
      <c r="CK8">
        <f t="shared" si="19"/>
        <v>0.7925629159720029</v>
      </c>
      <c r="CL8">
        <f>CK8/(1+r_)^A8</f>
        <v>0.68367173349457777</v>
      </c>
      <c r="CM8">
        <f>AD8*c_LIR_2</f>
        <v>8726.067653701386</v>
      </c>
      <c r="CN8">
        <f>AE8*(c_Other+c_LIR_2)</f>
        <v>378.75442101996367</v>
      </c>
      <c r="CO8">
        <f>AF8*(c_Stroke1+c_Stroke2+c_LIR_2)</f>
        <v>62.09678599728759</v>
      </c>
      <c r="CP8">
        <f>AG8*(c_Stroke2 + c_LIR_2)</f>
        <v>68.901798044518017</v>
      </c>
      <c r="CQ8">
        <f>AH8*(c_MI1+c_MI2 + c_LIR_2)</f>
        <v>53.252621500249447</v>
      </c>
      <c r="CR8">
        <f>AI8*(c_MI2+c_LIR_2)</f>
        <v>49.19892320289032</v>
      </c>
      <c r="CS8">
        <f>AJ8*(c_Stroke1+c_Stroke2+c_MI2+c_LIR_2)</f>
        <v>0.30203982210602914</v>
      </c>
      <c r="CT8">
        <f>AK8*(c_Stroke2+c_MI1+c_MI2+c_LIR_2)</f>
        <v>0.33768739958568461</v>
      </c>
      <c r="CU8">
        <f>AL8*(c_Stroke2+c_MI2+c_LIR_2)</f>
        <v>0.26345891960983758</v>
      </c>
      <c r="CV8">
        <f>AM8*(c_HF1+c_LIR_2)</f>
        <v>7.8129104150690365</v>
      </c>
      <c r="CW8">
        <f>AN8*(c_HF2+c_LIR_2)</f>
        <v>15.235823118431737</v>
      </c>
      <c r="CX8">
        <f>AO8*(c_Stroke2+c_HF1+c_LIR_2)</f>
        <v>4.7676740646052186E-2</v>
      </c>
      <c r="CY8">
        <f>AP8*(c_Stroke1+c_Stroke2+c_HF2+c_LIR_2)</f>
        <v>6.0498655304900915E-2</v>
      </c>
      <c r="CZ8">
        <f>AQ8*(c_Stroke2+c_HF2+c_LIR_2)</f>
        <v>6.607324167294322E-2</v>
      </c>
      <c r="DA8">
        <f>AR8*(c_DM+c_LIR_2)</f>
        <v>3535.2837765854056</v>
      </c>
      <c r="DB8">
        <f>AS8*(c_Other+c_DM+c_LIR_2)</f>
        <v>163.46238099458512</v>
      </c>
      <c r="DC8">
        <f>AT8*(c_Stroke1+c_Stroke2+c_DM+c_LIR_2)</f>
        <v>28.197251267178544</v>
      </c>
      <c r="DD8">
        <f>AU8*(c_Stroke2+c_DM+c_LIR_2)</f>
        <v>31.716760818832938</v>
      </c>
      <c r="DE8">
        <f>AV8*(c_MI1+c_MI2+c_DM+c_LIR_2)</f>
        <v>24.009036412052176</v>
      </c>
      <c r="DF8">
        <f>AW8*(c_MI2+c_DM+c_LIR_2)</f>
        <v>24.71214355642028</v>
      </c>
      <c r="DG8">
        <f>AX8*(c_Stroke1+c_Stroke2+c_MI2+c_DM+c_LIR_2)</f>
        <v>0.19034747649489545</v>
      </c>
      <c r="DH8">
        <f>AY8*(c_Stroke2+c_MI1+c_MI2+c_DM+c_LIR_2)</f>
        <v>0.20773784874007875</v>
      </c>
      <c r="DI8">
        <f>AZ8*(c_Stroke2+c_MI2+c_DM+c_LIR_2)</f>
        <v>0.15949681834011248</v>
      </c>
      <c r="DJ8">
        <f>BA8*(c_HF1+c_DM+c_LIR_2)</f>
        <v>3.4158752850469623</v>
      </c>
      <c r="DK8">
        <f>BB8*(c_HF2+c_DM+c_LIR_2)</f>
        <v>5.9671213409800563</v>
      </c>
      <c r="DL8">
        <f>BC8*(c_Stroke2+c_HF1+c_DM+c_LIR_2)</f>
        <v>2.8517873436865449E-2</v>
      </c>
      <c r="DM8">
        <f>BD8*(c_Stroke1+c_Stroke2+c_HF2+c_DM+c_LIR_2)</f>
        <v>3.5099924064777764E-2</v>
      </c>
      <c r="DN8">
        <f>BE8*(c_Stroke2+c_HF2+c_DM+c_LIR_2)</f>
        <v>3.4068778930215558E-2</v>
      </c>
      <c r="DO8">
        <f t="shared" si="5"/>
        <v>0</v>
      </c>
      <c r="DP8">
        <f t="shared" si="38"/>
        <v>13179.817986759226</v>
      </c>
      <c r="DQ8">
        <f>DP8/(1+r_)^A8</f>
        <v>11369.026771962917</v>
      </c>
    </row>
    <row r="9" spans="1:121" x14ac:dyDescent="0.3">
      <c r="A9">
        <v>6</v>
      </c>
      <c r="B9">
        <v>51</v>
      </c>
      <c r="C9">
        <f t="shared" si="39"/>
        <v>36.1</v>
      </c>
      <c r="D9">
        <f t="shared" si="1"/>
        <v>125</v>
      </c>
      <c r="E9">
        <f t="shared" si="40"/>
        <v>5.5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0"/>
        <v>3.2286349135090861E-2</v>
      </c>
      <c r="J9">
        <f t="shared" si="21"/>
        <v>0.10971854470909437</v>
      </c>
      <c r="K9">
        <f t="shared" si="22"/>
        <v>0.15020639957303195</v>
      </c>
      <c r="L9">
        <f t="shared" si="23"/>
        <v>5.3531215784971442E-2</v>
      </c>
      <c r="M9">
        <f t="shared" si="24"/>
        <v>7.4157587375242473E-2</v>
      </c>
      <c r="N9">
        <f t="shared" si="25"/>
        <v>0.2341827865206727</v>
      </c>
      <c r="O9">
        <f t="shared" si="26"/>
        <v>0.31408534220793971</v>
      </c>
      <c r="P9">
        <f t="shared" si="27"/>
        <v>0.12299453874979283</v>
      </c>
      <c r="Q9">
        <f t="shared" si="28"/>
        <v>0.16926429237333995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8.7443424413600705E-3</v>
      </c>
      <c r="U9">
        <f t="shared" si="29"/>
        <v>0.22347417616798682</v>
      </c>
      <c r="V9">
        <f t="shared" si="30"/>
        <v>0.29827929958377664</v>
      </c>
      <c r="W9">
        <f t="shared" si="31"/>
        <v>0.11284412810727606</v>
      </c>
      <c r="X9">
        <f t="shared" si="32"/>
        <v>0.15438174128243809</v>
      </c>
      <c r="Y9">
        <f t="shared" si="33"/>
        <v>0.36493058824667612</v>
      </c>
      <c r="Z9">
        <f t="shared" si="34"/>
        <v>0.4735119315787073</v>
      </c>
      <c r="AA9">
        <f t="shared" si="35"/>
        <v>0.20014787710202697</v>
      </c>
      <c r="AB9">
        <f t="shared" si="36"/>
        <v>0.27062011324414015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1.657074970037475E-2</v>
      </c>
      <c r="AD9">
        <f t="shared" si="37"/>
        <v>0.70968683839237678</v>
      </c>
      <c r="AE9">
        <f t="shared" si="6"/>
        <v>1.720869501145279E-2</v>
      </c>
      <c r="AF9">
        <f t="shared" si="7"/>
        <v>1.8743313769339401E-3</v>
      </c>
      <c r="AG9">
        <f t="shared" si="8"/>
        <v>4.6338358345174727E-3</v>
      </c>
      <c r="AH9">
        <f t="shared" si="9"/>
        <v>1.3672860823410072E-3</v>
      </c>
      <c r="AI9">
        <f t="shared" si="10"/>
        <v>4.0437209294715663E-3</v>
      </c>
      <c r="AJ9">
        <f t="shared" si="11"/>
        <v>1.0737721310343095E-5</v>
      </c>
      <c r="AK9">
        <f t="shared" si="12"/>
        <v>9.5993013973898364E-6</v>
      </c>
      <c r="AL9">
        <f t="shared" si="13"/>
        <v>2.0499130615177726E-5</v>
      </c>
      <c r="AM9">
        <f t="shared" si="14"/>
        <v>2.1913957471474512E-4</v>
      </c>
      <c r="AN9">
        <f t="shared" si="15"/>
        <v>7.2781107045682026E-4</v>
      </c>
      <c r="AO9">
        <f t="shared" si="16"/>
        <v>1.479249288968626E-6</v>
      </c>
      <c r="AP9">
        <f>AM8*T8*p_Stroke*p_Stroke_rec*(1-I8) + AN8*T8*p_Stroke*p_Stroke_rec*(1-I8) + AO8*(p_recur_Stroke*p_Stroke_rec)*(1-I8) + AP8*(p_recur_Stroke*p_Stroke_rec)*(1-I8) + AQ8*(p_recur_Stroke*p_Stroke_rec)*(1-I8)</f>
        <v>1.7346700290401747E-6</v>
      </c>
      <c r="AQ9">
        <f>AO8*(1-p_recur_Stroke-H8*rr_Stroke*rr_HF)*(1-I8) + AP8*(1-p_recur_Stroke-H8*rr_Stroke*rr_HF)*(1-I8) + AQ8*(1-p_recur_Stroke-H8*rr_Stroke*rr_HF)*(1-I8)</f>
        <v>3.4870237619254427E-6</v>
      </c>
      <c r="AR9">
        <f>AR8*(1-AC8-H8*rr_DM) + AD8*(1-T8-H8)*I8</f>
        <v>0.17316573391625889</v>
      </c>
      <c r="AS9">
        <f>AR8*AC8*p_Other + AD8*T8*p_Other*I8 + AE8*(1-T8*p_Stroke-T8*p_MI-H8*rr_Other)*I8 + AS8*(1-AC8*p_Stroke-AC8*p_MI-H8*rr_Other*rr_DM)</f>
        <v>6.1964664456202502E-3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7.6994263449477868E-4</v>
      </c>
      <c r="AU9">
        <f>AF8*(1-p_recur_Stroke-T8*p_MI-H8*rr_Stroke)*I8 + AG8*(1-p_recur_Stroke-T8*p_MI-H8*rr_Stroke)*I8 + AT8*(1-p_recur_Stroke-AC8*p_MI-H8*rr_Stroke*rr_DM) + AU8*(1-p_recur_Stroke-AC8*p_MI-H8*rr_Stroke*rr_DM)</f>
        <v>1.5967928635122063E-3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5.7704188889206589E-4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1.3992087347446066E-3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6.3687665309878228E-6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5.8099567594414632E-6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1.0129410782981904E-5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8.8462796696510095E-5</v>
      </c>
      <c r="BB9">
        <f>AM8*(1-T8*p_Stroke - H8*rr_HF)*I8 + AN8*(1-T8*p_Stroke - H8*rr_HF)*I8 + BA8*(1-AC8*p_Stroke - H8*rr_HF*rr_DM) + BB8*(1-AC8*p_Stroke - H8*rr_HF*rr_DM)</f>
        <v>2.4377320450653397E-4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8.606182922275817E-7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9.9842265482168936E-7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1.6741752576345585E-6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1.8127540796328126E-2</v>
      </c>
      <c r="BG9">
        <f t="shared" si="17"/>
        <v>0.94200000000000028</v>
      </c>
      <c r="BH9">
        <f>(0.9442 - 0.0007*$B9 - dis_BMI*($C9-21.75))*AD9</f>
        <v>0.6111432724474033</v>
      </c>
      <c r="BI9">
        <f>0.959*(0.9442 - 0.0007*$B9 - dis_BMI*($C9-21.75))*AE9</f>
        <v>1.4211595217346376E-2</v>
      </c>
      <c r="BJ9">
        <f>(0.943*(0.9442 - 0.0007*$B9 - dis_BMI*($C9-21.75)) - 0.19*0.5)*AF9</f>
        <v>1.3440075604464361E-3</v>
      </c>
      <c r="BK9">
        <f>(0.943*(0.9442 - 0.0007*$B9 - dis_BMI*($C9-21.75)))*AG9</f>
        <v>3.7629514998117623E-3</v>
      </c>
      <c r="BL9">
        <f>(0.955*(0.9442 - 0.0007*$B9 - dis_BMI*($C9-21.75)) - 0.15*0.5)*AH9</f>
        <v>1.0219006963999816E-3</v>
      </c>
      <c r="BM9">
        <f>(0.955*(0.9442 - 0.0007*$B9 - dis_BMI*($C9-21.75)))*AI9</f>
        <v>3.3255297071183515E-3</v>
      </c>
      <c r="BN9">
        <f>(0.955*0.943*(0.9442 - 0.0007*$B9 - dis_BMI*($C9-21.75)) - 0.19*0.5)*AJ9</f>
        <v>7.3072023968183252E-6</v>
      </c>
      <c r="BO9">
        <f>(0.955*0.943*(0.9442 - 0.0007*$B9 - dis_BMI*($C9-21.75)) - 0.15*0.5)*AK9</f>
        <v>6.7244742674425549E-6</v>
      </c>
      <c r="BP9">
        <f>(0.955*0.943*(0.9442 - 0.0007*$B9 - dis_BMI*($C9-21.75)))*AL9</f>
        <v>1.5897425239212489E-5</v>
      </c>
      <c r="BQ9">
        <f>(0.93*(0.9442 - 0.0007*$B9 - dis_BMI*($C9-21.75)))*AM9</f>
        <v>1.7550118263298816E-4</v>
      </c>
      <c r="BR9">
        <f>(0.93*(0.9442 - 0.0007*$B9 - dis_BMI*($C9-21.75)))*AN9</f>
        <v>5.8287830376974081E-4</v>
      </c>
      <c r="BS9">
        <f>(0.93*0.943*(0.9442 - 0.0007*$B9 - dis_BMI*($C9-21.75)))*AO9</f>
        <v>1.1171520706068848E-6</v>
      </c>
      <c r="BT9">
        <f>(0.93*0.943*(0.9442 - 0.0007*$B9 - dis_BMI*($C9-21.75))-0.19*0.5)*AP9</f>
        <v>1.1452561334493536E-6</v>
      </c>
      <c r="BU9">
        <f>(0.93*0.943*(0.9442 - 0.0007*$B9 - dis_BMI*($C9-21.75)))*AQ9</f>
        <v>2.6334545806045268E-6</v>
      </c>
      <c r="BV9">
        <f>0.962*(0.9442 - 0.0007*$B9 - dis_BMI*($C9-21.75))*AR9</f>
        <v>0.14345421530785071</v>
      </c>
      <c r="BW9">
        <f>0.962*0.959*(0.9442 - 0.0007*$B9 - dis_BMI*($C9-21.75))*AS9</f>
        <v>4.922821241025486E-3</v>
      </c>
      <c r="BX9">
        <f>0.962*(0.943*(0.9442 - 0.0007*$B9 - dis_BMI*($C9-21.75)) - 0.19*0.5)*AT9</f>
        <v>5.3111525672069871E-4</v>
      </c>
      <c r="BY9">
        <f>0.962*(0.943*(0.9442 - 0.0007*$B9 - dis_BMI*($C9-21.75)))*AU9</f>
        <v>1.2474169243890559E-3</v>
      </c>
      <c r="BZ9">
        <f>0.962*(0.955*(0.9442 - 0.0007*$B9 - dis_BMI*($C9-21.75)) - 0.15*0.5)*AV9</f>
        <v>4.1488880354234006E-4</v>
      </c>
      <c r="CA9">
        <f>0.962*(0.955*(0.9442 - 0.0007*$B9 - dis_BMI*($C9-21.75)))*AW9</f>
        <v>1.1069735285395253E-3</v>
      </c>
      <c r="CB9">
        <f>0.962*(0.955*0.943*(0.9442 - 0.0007*$B9 - dis_BMI*($C9-21.75)) - 0.19*0.5)*AX9</f>
        <v>4.1693601329181507E-6</v>
      </c>
      <c r="CC9">
        <f>0.962*(0.955*0.943*(0.9442 - 0.0007*$B9 - dis_BMI*($C9-21.75)) - 0.15*0.5)*AY9</f>
        <v>3.9153147493142133E-6</v>
      </c>
      <c r="CD9">
        <f>0.962*(0.955*0.943*(0.9442 - 0.0007*$B9 - dis_BMI*($C9-21.75)))*AZ9</f>
        <v>7.5570205694830597E-6</v>
      </c>
      <c r="CE9">
        <f>0.962*(0.93*(0.9442 - 0.0007*$B9 - dis_BMI*($C9-21.75)))*BA9</f>
        <v>6.8154568119467674E-5</v>
      </c>
      <c r="CF9">
        <f>0.962*(0.93*(0.9442 - 0.0007*$B9 - dis_BMI*($C9-21.75)))*BB9</f>
        <v>1.8781067400842116E-4</v>
      </c>
      <c r="CG9">
        <f>0.962*(0.93*0.943*(0.9442 - 0.0007*$B9 - dis_BMI*($C9-21.75)))*BC9</f>
        <v>6.2525413180143221E-7</v>
      </c>
      <c r="CH9">
        <f>0.962*(0.93*0.943*(0.9442 - 0.0007*$B9 - dis_BMI*($C9-21.75))-0.19*0.5)*BD9</f>
        <v>6.3412554743222368E-7</v>
      </c>
      <c r="CI9">
        <f>0.962*(0.93*0.943*(0.9442 - 0.0007*$B9 - dis_BMI*($C9-21.75)))*BE9</f>
        <v>1.2163173925646975E-6</v>
      </c>
      <c r="CJ9">
        <f t="shared" si="18"/>
        <v>0</v>
      </c>
      <c r="CK9">
        <f t="shared" si="19"/>
        <v>0.7875539752763363</v>
      </c>
      <c r="CL9">
        <f>CK9/(1+r_)^A9</f>
        <v>0.65956405558255971</v>
      </c>
      <c r="CM9">
        <f>AD9*c_LIR_2</f>
        <v>8345.9172194943512</v>
      </c>
      <c r="CN9">
        <f>AE9*(c_Other+c_LIR_2)</f>
        <v>448.09720940321921</v>
      </c>
      <c r="CO9">
        <f>AF9*(c_Stroke1+c_Stroke2+c_LIR_2)</f>
        <v>66.681213065801856</v>
      </c>
      <c r="CP9">
        <f>AG9*(c_Stroke2 + c_LIR_2)</f>
        <v>84.613842338289047</v>
      </c>
      <c r="CQ9">
        <f>AH9*(c_MI1+c_MI2 + c_LIR_2)</f>
        <v>55.937040914652947</v>
      </c>
      <c r="CR9">
        <f>AI9*(c_MI2+c_LIR_2)</f>
        <v>60.158436267748492</v>
      </c>
      <c r="CS9">
        <f>AJ9*(c_Stroke1+c_Stroke2+c_MI2+c_LIR_2)</f>
        <v>0.41547465066110539</v>
      </c>
      <c r="CT9">
        <f>AK9*(c_Stroke2+c_MI1+c_MI2+c_LIR_2)</f>
        <v>0.45511247855164955</v>
      </c>
      <c r="CU9">
        <f>AL9*(c_Stroke2+c_MI2+c_LIR_2)</f>
        <v>0.43820991516065427</v>
      </c>
      <c r="CV9">
        <f>AM9*(c_HF1+c_LIR_2)</f>
        <v>8.5004241031849634</v>
      </c>
      <c r="CW9">
        <f>AN9*(c_HF2+c_LIR_2)</f>
        <v>19.916549943050885</v>
      </c>
      <c r="CX9">
        <f>AO9*(c_Stroke2+c_HF1+c_LIR_2)</f>
        <v>6.6995200297389076E-2</v>
      </c>
      <c r="CY9">
        <f>AP9*(c_Stroke1+c_Stroke2+c_HF2+c_LIR_2)</f>
        <v>8.8782146756305177E-2</v>
      </c>
      <c r="CZ9">
        <f>AQ9*(c_Stroke2+c_HF2+c_LIR_2)</f>
        <v>0.11808805969760512</v>
      </c>
      <c r="DA9">
        <f>AR9*(c_DM+c_LIR_2)</f>
        <v>4014.8475408484624</v>
      </c>
      <c r="DB9">
        <f>AS9*(c_Other+c_DM+c_LIR_2)</f>
        <v>232.14441891871707</v>
      </c>
      <c r="DC9">
        <f>AT9*(c_Stroke1+c_Stroke2+c_DM+c_LIR_2)</f>
        <v>36.188073763889093</v>
      </c>
      <c r="DD9">
        <f>AU9*(c_Stroke2+c_DM+c_LIR_2)</f>
        <v>47.400796153359842</v>
      </c>
      <c r="DE9">
        <f>AV9*(c_MI1+c_MI2+c_DM+c_LIR_2)</f>
        <v>30.20006429705516</v>
      </c>
      <c r="DF9">
        <f>AW9*(c_MI2+c_DM+c_LIR_2)</f>
        <v>36.801988141252643</v>
      </c>
      <c r="DG9">
        <f>AX9*(c_Stroke1+c_Stroke2+c_MI2+c_DM+c_LIR_2)</f>
        <v>0.31918984100004771</v>
      </c>
      <c r="DH9">
        <f>AY9*(c_Stroke2+c_MI1+c_MI2+c_DM+c_LIR_2)</f>
        <v>0.34183461589849795</v>
      </c>
      <c r="DI9">
        <f>AZ9*(c_Stroke2+c_MI2+c_DM+c_LIR_2)</f>
        <v>0.33226493250337241</v>
      </c>
      <c r="DJ9">
        <f>BA9*(c_HF1+c_DM+c_LIR_2)</f>
        <v>4.442159336115254</v>
      </c>
      <c r="DK9">
        <f>BB9*(c_HF2+c_DM+c_LIR_2)</f>
        <v>9.4559626028084534</v>
      </c>
      <c r="DL9">
        <f>BC9*(c_Stroke2+c_HF1+c_DM+c_LIR_2)</f>
        <v>4.8809966443687298E-2</v>
      </c>
      <c r="DM9">
        <f>BD9*(c_Stroke1+c_Stroke2+c_HF2+c_DM+c_LIR_2)</f>
        <v>6.2507248727766682E-2</v>
      </c>
      <c r="DN9">
        <f>BE9*(c_Stroke2+c_HF2+c_DM+c_LIR_2)</f>
        <v>7.5823397418269156E-2</v>
      </c>
      <c r="DO9">
        <f t="shared" si="5"/>
        <v>0</v>
      </c>
      <c r="DP9">
        <f t="shared" si="38"/>
        <v>13504.066032045073</v>
      </c>
      <c r="DQ9">
        <f>DP9/(1+r_)^A9</f>
        <v>11309.442703054256</v>
      </c>
    </row>
    <row r="10" spans="1:121" x14ac:dyDescent="0.3">
      <c r="A10">
        <v>7</v>
      </c>
      <c r="B10">
        <v>52</v>
      </c>
      <c r="C10">
        <f t="shared" si="39"/>
        <v>36.1</v>
      </c>
      <c r="D10">
        <f t="shared" si="1"/>
        <v>125</v>
      </c>
      <c r="E10">
        <f t="shared" si="40"/>
        <v>5.5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0"/>
        <v>3.2286349135090861E-2</v>
      </c>
      <c r="J10">
        <f t="shared" si="21"/>
        <v>0.11531484508097867</v>
      </c>
      <c r="K10">
        <f t="shared" si="22"/>
        <v>0.15767810754880762</v>
      </c>
      <c r="L10">
        <f t="shared" si="23"/>
        <v>5.6352375615144168E-2</v>
      </c>
      <c r="M10">
        <f t="shared" si="24"/>
        <v>7.802018490576812E-2</v>
      </c>
      <c r="N10">
        <f t="shared" si="25"/>
        <v>0.24680986067458355</v>
      </c>
      <c r="O10">
        <f t="shared" si="26"/>
        <v>0.33001111220882196</v>
      </c>
      <c r="P10">
        <f t="shared" si="27"/>
        <v>0.13013750472854979</v>
      </c>
      <c r="Q10">
        <f t="shared" si="28"/>
        <v>0.17880862838490108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9.209079756910564E-3</v>
      </c>
      <c r="U10">
        <f t="shared" si="29"/>
        <v>0.23405798501293773</v>
      </c>
      <c r="V10">
        <f t="shared" si="30"/>
        <v>0.3116372745456123</v>
      </c>
      <c r="W10">
        <f t="shared" si="31"/>
        <v>0.11858899326391981</v>
      </c>
      <c r="X10">
        <f t="shared" si="32"/>
        <v>0.16204071273761933</v>
      </c>
      <c r="Y10">
        <f t="shared" si="33"/>
        <v>0.38264578945462724</v>
      </c>
      <c r="Z10">
        <f t="shared" si="34"/>
        <v>0.49414336798005687</v>
      </c>
      <c r="AA10">
        <f t="shared" si="35"/>
        <v>0.21120171774494689</v>
      </c>
      <c r="AB10">
        <f t="shared" si="36"/>
        <v>0.28482217935051923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1.7394831970055088E-2</v>
      </c>
      <c r="AD10">
        <f t="shared" si="37"/>
        <v>0.67818186791845514</v>
      </c>
      <c r="AE10">
        <f t="shared" si="6"/>
        <v>1.9771361566285797E-2</v>
      </c>
      <c r="AF10">
        <f t="shared" si="7"/>
        <v>1.9968563562176244E-3</v>
      </c>
      <c r="AG10">
        <f t="shared" si="8"/>
        <v>5.4559226130239183E-3</v>
      </c>
      <c r="AH10">
        <f t="shared" si="9"/>
        <v>1.4288542844573936E-3</v>
      </c>
      <c r="AI10">
        <f t="shared" si="10"/>
        <v>4.7437707257647951E-3</v>
      </c>
      <c r="AJ10">
        <f t="shared" si="11"/>
        <v>1.4051505181853189E-5</v>
      </c>
      <c r="AK10">
        <f t="shared" si="12"/>
        <v>1.234523292873744E-5</v>
      </c>
      <c r="AL10">
        <f t="shared" si="13"/>
        <v>3.0637111851599555E-5</v>
      </c>
      <c r="AM10">
        <f t="shared" si="14"/>
        <v>2.359140408482981E-4</v>
      </c>
      <c r="AN10">
        <f t="shared" si="15"/>
        <v>9.0825309123177987E-4</v>
      </c>
      <c r="AO10">
        <f t="shared" si="16"/>
        <v>1.9696013627700087E-6</v>
      </c>
      <c r="AP10">
        <f>AM9*T9*p_Stroke*p_Stroke_rec*(1-I9) + AN9*T9*p_Stroke*p_Stroke_rec*(1-I9) + AO9*(p_recur_Stroke*p_Stroke_rec)*(1-I9) + AP9*(p_recur_Stroke*p_Stroke_rec)*(1-I9) + AQ9*(p_recur_Stroke*p_Stroke_rec)*(1-I9)</f>
        <v>2.4114742944222267E-6</v>
      </c>
      <c r="AQ10">
        <f>AO9*(1-p_recur_Stroke-H9*rr_Stroke*rr_HF)*(1-I9) + AP9*(1-p_recur_Stroke-H9*rr_Stroke*rr_HF)*(1-I9) + AQ9*(1-p_recur_Stroke-H9*rr_Stroke*rr_HF)*(1-I9)</f>
        <v>5.5673262387028846E-6</v>
      </c>
      <c r="AR10">
        <f>AR9*(1-AC9-H9*rr_DM) + AD9*(1-T9-H9)*I9</f>
        <v>0.19217282950533982</v>
      </c>
      <c r="AS10">
        <f>AR9*AC9*p_Other + AD9*T9*p_Other*I9 + AE9*(1-T9*p_Stroke-T9*p_MI-H9*rr_Other)*I9 + AS9*(1-AC9*p_Stroke-AC9*p_MI-H9*rr_Other*rr_DM)</f>
        <v>8.337131327546177E-3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9.5682014037981752E-4</v>
      </c>
      <c r="AU10">
        <f>AF9*(1-p_recur_Stroke-T9*p_MI-H9*rr_Stroke)*I9 + AG9*(1-p_recur_Stroke-T9*p_MI-H9*rr_Stroke)*I9 + AT9*(1-p_recur_Stroke-AC9*p_MI-H9*rr_Stroke*rr_DM) + AU9*(1-p_recur_Stroke-AC9*p_MI-H9*rr_Stroke*rr_DM)</f>
        <v>2.2240452236687277E-3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7.0441153111970264E-4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1.9433092491056101E-3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9.8610930566204632E-6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8.8485682476519113E-6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1.8254793673496748E-5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1.1113741595911018E-4</v>
      </c>
      <c r="BB10">
        <f>AM9*(1-T9*p_Stroke - H9*rr_HF)*I9 + AN9*(1-T9*p_Stroke - H9*rr_HF)*I9 + BA9*(1-AC9*p_Stroke - H9*rr_HF*rr_DM) + BB9*(1-AC9*p_Stroke - H9*rr_HF*rr_DM)</f>
        <v>3.5865353067631334E-4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1.3553538697210493E-6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1.6354649372393203E-6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3.2078065412477833E-6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2.235871614773597E-2</v>
      </c>
      <c r="BG10">
        <f t="shared" si="17"/>
        <v>0.94200000000000006</v>
      </c>
      <c r="BH10">
        <f>(0.9442 - 0.0007*$B10 - dis_BMI*($C10-21.75))*AD10</f>
        <v>0.58353819734109513</v>
      </c>
      <c r="BI10">
        <f>0.959*(0.9442 - 0.0007*$B10 - dis_BMI*($C10-21.75))*AE10</f>
        <v>1.631467026558377E-2</v>
      </c>
      <c r="BJ10">
        <f>(0.943*(0.9442 - 0.0007*$B10 - dis_BMI*($C10-21.75)) - 0.19*0.5)*AF10</f>
        <v>1.4305471647417362E-3</v>
      </c>
      <c r="BK10">
        <f>(0.943*(0.9442 - 0.0007*$B10 - dis_BMI*($C10-21.75)))*AG10</f>
        <v>4.4269336167958532E-3</v>
      </c>
      <c r="BL10">
        <f>(0.955*(0.9442 - 0.0007*$B10 - dis_BMI*($C10-21.75)) - 0.15*0.5)*AH10</f>
        <v>1.0669611798400903E-3</v>
      </c>
      <c r="BM10">
        <f>(0.955*(0.9442 - 0.0007*$B10 - dis_BMI*($C10-21.75)))*AI10</f>
        <v>3.8980748810348081E-3</v>
      </c>
      <c r="BN10">
        <f>(0.955*0.943*(0.9442 - 0.0007*$B10 - dis_BMI*($C10-21.75)) - 0.19*0.5)*AJ10</f>
        <v>9.5534308055712006E-6</v>
      </c>
      <c r="BO10">
        <f>(0.955*0.943*(0.9442 - 0.0007*$B10 - dis_BMI*($C10-21.75)) - 0.15*0.5)*AK10</f>
        <v>8.6402637355556929E-6</v>
      </c>
      <c r="BP10">
        <f>(0.955*0.943*(0.9442 - 0.0007*$B10 - dis_BMI*($C10-21.75)))*AL10</f>
        <v>2.3740289012019161E-5</v>
      </c>
      <c r="BQ10">
        <f>(0.93*(0.9442 - 0.0007*$B10 - dis_BMI*($C10-21.75)))*AM10</f>
        <v>1.8878168289627388E-4</v>
      </c>
      <c r="BR10">
        <f>(0.93*(0.9442 - 0.0007*$B10 - dis_BMI*($C10-21.75)))*AN10</f>
        <v>7.2679670290898377E-4</v>
      </c>
      <c r="BS10">
        <f>(0.93*0.943*(0.9442 - 0.0007*$B10 - dis_BMI*($C10-21.75)))*AO10</f>
        <v>1.4862644589677918E-6</v>
      </c>
      <c r="BT10">
        <f>(0.93*0.943*(0.9442 - 0.0007*$B10 - dis_BMI*($C10-21.75))-0.19*0.5)*AP10</f>
        <v>1.5906124489745407E-6</v>
      </c>
      <c r="BU10">
        <f>(0.93*0.943*(0.9442 - 0.0007*$B10 - dis_BMI*($C10-21.75)))*AQ10</f>
        <v>4.2011136245487831E-6</v>
      </c>
      <c r="BV10">
        <f>0.962*(0.9442 - 0.0007*$B10 - dis_BMI*($C10-21.75))*AR10</f>
        <v>0.15907069257294065</v>
      </c>
      <c r="BW10">
        <f>0.962*0.959*(0.9442 - 0.0007*$B10 - dis_BMI*($C10-21.75))*AS10</f>
        <v>6.6181017066248354E-3</v>
      </c>
      <c r="BX10">
        <f>0.962*(0.943*(0.9442 - 0.0007*$B10 - dis_BMI*($C10-21.75)) - 0.19*0.5)*AT10</f>
        <v>6.5941790655425748E-4</v>
      </c>
      <c r="BY10">
        <f>0.962*(0.943*(0.9442 - 0.0007*$B10 - dis_BMI*($C10-21.75)))*AU10</f>
        <v>1.7360150823653834E-3</v>
      </c>
      <c r="BZ10">
        <f>0.962*(0.955*(0.9442 - 0.0007*$B10 - dis_BMI*($C10-21.75)) - 0.15*0.5)*AV10</f>
        <v>5.0601361901239888E-4</v>
      </c>
      <c r="CA10">
        <f>0.962*(0.955*(0.9442 - 0.0007*$B10 - dis_BMI*($C10-21.75)))*AW10</f>
        <v>1.5361848458613101E-3</v>
      </c>
      <c r="CB10">
        <f>0.962*(0.955*0.943*(0.9442 - 0.0007*$B10 - dis_BMI*($C10-21.75)) - 0.19*0.5)*AX10</f>
        <v>6.4496573672250773E-6</v>
      </c>
      <c r="CC10">
        <f>0.962*(0.955*0.943*(0.9442 - 0.0007*$B10 - dis_BMI*($C10-21.75)) - 0.15*0.5)*AY10</f>
        <v>5.9576609983259983E-6</v>
      </c>
      <c r="CD10">
        <f>0.962*(0.955*0.943*(0.9442 - 0.0007*$B10 - dis_BMI*($C10-21.75)))*AZ10</f>
        <v>1.3607870896309984E-5</v>
      </c>
      <c r="CE10">
        <f>0.962*(0.93*(0.9442 - 0.0007*$B10 - dis_BMI*($C10-21.75)))*BA10</f>
        <v>8.5554218922550743E-5</v>
      </c>
      <c r="CF10">
        <f>0.962*(0.93*(0.9442 - 0.0007*$B10 - dis_BMI*($C10-21.75)))*BB10</f>
        <v>2.7609354073983956E-4</v>
      </c>
      <c r="CG10">
        <f>0.962*(0.93*0.943*(0.9442 - 0.0007*$B10 - dis_BMI*($C10-21.75)))*BC10</f>
        <v>9.8388769405684613E-7</v>
      </c>
      <c r="CH10">
        <f>0.962*(0.93*0.943*(0.9442 - 0.0007*$B10 - dis_BMI*($C10-21.75))-0.19*0.5)*BD10</f>
        <v>1.0377626836161316E-6</v>
      </c>
      <c r="CI10">
        <f>0.962*(0.93*0.943*(0.9442 - 0.0007*$B10 - dis_BMI*($C10-21.75)))*BE10</f>
        <v>2.3286327293242777E-6</v>
      </c>
      <c r="CJ10">
        <f t="shared" si="18"/>
        <v>0</v>
      </c>
      <c r="CK10">
        <f t="shared" si="19"/>
        <v>0.78215861377437201</v>
      </c>
      <c r="CL10">
        <f>CK10/(1+r_)^A10</f>
        <v>0.63596652938402665</v>
      </c>
      <c r="CM10">
        <f>AD10*c_LIR_2</f>
        <v>7975.4187667210326</v>
      </c>
      <c r="CN10">
        <f>AE10*(c_Other+c_LIR_2)</f>
        <v>514.82648382451589</v>
      </c>
      <c r="CO10">
        <f>AF10*(c_Stroke1+c_Stroke2+c_LIR_2)</f>
        <v>71.040161728798211</v>
      </c>
      <c r="CP10">
        <f>AG10*(c_Stroke2 + c_LIR_2)</f>
        <v>99.625146913816749</v>
      </c>
      <c r="CQ10">
        <f>AH10*(c_MI1+c_MI2 + c_LIR_2)</f>
        <v>58.45585763143643</v>
      </c>
      <c r="CR10">
        <f>AI10*(c_MI2+c_LIR_2)</f>
        <v>70.573077087202861</v>
      </c>
      <c r="CS10">
        <f>AJ10*(c_Stroke1+c_Stroke2+c_MI2+c_LIR_2)</f>
        <v>0.54369489000144544</v>
      </c>
      <c r="CT10">
        <f>AK10*(c_Stroke2+c_MI1+c_MI2+c_LIR_2)</f>
        <v>0.58529983838437072</v>
      </c>
      <c r="CU10">
        <f>AL10*(c_Stroke2+c_MI2+c_LIR_2)</f>
        <v>0.65492954005164372</v>
      </c>
      <c r="CV10">
        <f>AM10*(c_HF1+c_LIR_2)</f>
        <v>9.151105644505483</v>
      </c>
      <c r="CW10">
        <f>AN10*(c_HF2+c_LIR_2)</f>
        <v>24.854345841557656</v>
      </c>
      <c r="CX10">
        <f>AO10*(c_Stroke2+c_HF1+c_LIR_2)</f>
        <v>8.9203245719853691E-2</v>
      </c>
      <c r="CY10">
        <f>AP10*(c_Stroke1+c_Stroke2+c_HF2+c_LIR_2)</f>
        <v>0.12342166586282398</v>
      </c>
      <c r="CZ10">
        <f>AQ10*(c_Stroke2+c_HF2+c_LIR_2)</f>
        <v>0.18853750307367317</v>
      </c>
      <c r="DA10">
        <f>AR10*(c_DM+c_LIR_2)</f>
        <v>4455.5270520813037</v>
      </c>
      <c r="DB10">
        <f>AS10*(c_Other+c_DM+c_LIR_2)</f>
        <v>312.34228805518995</v>
      </c>
      <c r="DC10">
        <f>AT10*(c_Stroke1+c_Stroke2+c_DM+c_LIR_2)</f>
        <v>44.971503417991805</v>
      </c>
      <c r="DD10">
        <f>AU10*(c_Stroke2+c_DM+c_LIR_2)</f>
        <v>66.020782464606185</v>
      </c>
      <c r="DE10">
        <f>AV10*(c_MI1+c_MI2+c_DM+c_LIR_2)</f>
        <v>36.866081892680754</v>
      </c>
      <c r="DF10">
        <f>AW10*(c_MI2+c_DM+c_LIR_2)</f>
        <v>51.112919869975755</v>
      </c>
      <c r="DG10">
        <f>AX10*(c_Stroke1+c_Stroke2+c_MI2+c_DM+c_LIR_2)</f>
        <v>0.49421826181170436</v>
      </c>
      <c r="DH10">
        <f>AY10*(c_Stroke2+c_MI1+c_MI2+c_DM+c_LIR_2)</f>
        <v>0.52061436141884787</v>
      </c>
      <c r="DI10">
        <f>AZ10*(c_Stroke2+c_MI2+c_DM+c_LIR_2)</f>
        <v>0.59879374207804037</v>
      </c>
      <c r="DJ10">
        <f>BA10*(c_HF1+c_DM+c_LIR_2)</f>
        <v>5.5807653423867176</v>
      </c>
      <c r="DK10">
        <f>BB10*(c_HF2+c_DM+c_LIR_2)</f>
        <v>13.912170454934195</v>
      </c>
      <c r="DL10">
        <f>BC10*(c_Stroke2+c_HF1+c_DM+c_LIR_2)</f>
        <v>7.6868894721229306E-2</v>
      </c>
      <c r="DM10">
        <f>BD10*(c_Stroke1+c_Stroke2+c_HF2+c_DM+c_LIR_2)</f>
        <v>0.10238991786080488</v>
      </c>
      <c r="DN10">
        <f>BE10*(c_Stroke2+c_HF2+c_DM+c_LIR_2)</f>
        <v>0.14528155825311212</v>
      </c>
      <c r="DO10">
        <f t="shared" si="5"/>
        <v>0</v>
      </c>
      <c r="DP10">
        <f t="shared" si="38"/>
        <v>13814.40176239117</v>
      </c>
      <c r="DQ10">
        <f>DP10/(1+r_)^A10</f>
        <v>11232.372807286925</v>
      </c>
    </row>
    <row r="11" spans="1:121" x14ac:dyDescent="0.3">
      <c r="A11">
        <v>8</v>
      </c>
      <c r="B11">
        <v>53</v>
      </c>
      <c r="C11">
        <f t="shared" si="39"/>
        <v>36.1</v>
      </c>
      <c r="D11">
        <f t="shared" si="1"/>
        <v>125</v>
      </c>
      <c r="E11">
        <f t="shared" si="40"/>
        <v>5.5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0"/>
        <v>3.2286349135090861E-2</v>
      </c>
      <c r="J11">
        <f t="shared" si="21"/>
        <v>0.12106249866183394</v>
      </c>
      <c r="K11">
        <f t="shared" si="22"/>
        <v>0.16533220998867038</v>
      </c>
      <c r="L11">
        <f t="shared" si="23"/>
        <v>5.9259633987309379E-2</v>
      </c>
      <c r="M11">
        <f t="shared" si="24"/>
        <v>8.1995828614924937E-2</v>
      </c>
      <c r="N11">
        <f t="shared" si="25"/>
        <v>0.25973931695521901</v>
      </c>
      <c r="O11">
        <f t="shared" si="26"/>
        <v>0.34620438280507182</v>
      </c>
      <c r="P11">
        <f t="shared" si="27"/>
        <v>0.13751485958113108</v>
      </c>
      <c r="Q11">
        <f t="shared" si="28"/>
        <v>0.18863222882788788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9.6869930090291434E-3</v>
      </c>
      <c r="U11">
        <f t="shared" si="29"/>
        <v>0.24484636199552667</v>
      </c>
      <c r="V11">
        <f t="shared" si="30"/>
        <v>0.32517756189290259</v>
      </c>
      <c r="W11">
        <f t="shared" si="31"/>
        <v>0.12448808488701013</v>
      </c>
      <c r="X11">
        <f t="shared" si="32"/>
        <v>0.16988451829901274</v>
      </c>
      <c r="Y11">
        <f t="shared" si="33"/>
        <v>0.40057053865290515</v>
      </c>
      <c r="Z11">
        <f t="shared" si="34"/>
        <v>0.51477141735610865</v>
      </c>
      <c r="AA11">
        <f t="shared" si="35"/>
        <v>0.22255161047488359</v>
      </c>
      <c r="AB11">
        <f t="shared" si="36"/>
        <v>0.29931932916282256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1.8236874345144788E-2</v>
      </c>
      <c r="AD11">
        <f t="shared" si="37"/>
        <v>0.64758410490732055</v>
      </c>
      <c r="AE11">
        <f t="shared" si="6"/>
        <v>2.2230582870028218E-2</v>
      </c>
      <c r="AF11">
        <f t="shared" si="7"/>
        <v>2.1123711012110708E-3</v>
      </c>
      <c r="AG11">
        <f t="shared" si="8"/>
        <v>6.2406605268717028E-3</v>
      </c>
      <c r="AH11">
        <f t="shared" si="9"/>
        <v>1.486123816419068E-3</v>
      </c>
      <c r="AI11">
        <f t="shared" si="10"/>
        <v>5.4081540620919437E-3</v>
      </c>
      <c r="AJ11">
        <f t="shared" si="11"/>
        <v>1.7733129028460169E-5</v>
      </c>
      <c r="AK11">
        <f t="shared" si="12"/>
        <v>1.5346508093040015E-5</v>
      </c>
      <c r="AL11">
        <f t="shared" si="13"/>
        <v>4.2711832172299086E-5</v>
      </c>
      <c r="AM11">
        <f t="shared" si="14"/>
        <v>2.5169548724873541E-4</v>
      </c>
      <c r="AN11">
        <f t="shared" si="15"/>
        <v>1.0967195858060811E-3</v>
      </c>
      <c r="AO11">
        <f t="shared" si="16"/>
        <v>2.521245249880768E-6</v>
      </c>
      <c r="AP11">
        <f>AM10*T10*p_Stroke*p_Stroke_rec*(1-I10) + AN10*T10*p_Stroke*p_Stroke_rec*(1-I10) + AO10*(p_recur_Stroke*p_Stroke_rec)*(1-I10) + AP10*(p_recur_Stroke*p_Stroke_rec)*(1-I10) + AQ10*(p_recur_Stroke*p_Stroke_rec)*(1-I10)</f>
        <v>3.2204299402279335E-6</v>
      </c>
      <c r="AQ11">
        <f>AO10*(1-p_recur_Stroke-H10*rr_Stroke*rr_HF)*(1-I10) + AP10*(1-p_recur_Stroke-H10*rr_Stroke*rr_HF)*(1-I10) + AQ10*(1-p_recur_Stroke-H10*rr_Stroke*rr_HF)*(1-I10)</f>
        <v>8.2498283555748396E-6</v>
      </c>
      <c r="AR11">
        <f>AR10*(1-AC10-H10*rr_DM) + AD10*(1-T10-H10)*I10</f>
        <v>0.20954066600817656</v>
      </c>
      <c r="AS11">
        <f>AR10*AC10*p_Other + AD10*T10*p_Other*I10 + AE10*(1-T10*p_Stroke-T10*p_MI-H10*rr_Other)*I10 + AS10*(1-AC10*p_Stroke-AC10*p_MI-H10*rr_Other*rr_DM)</f>
        <v>1.0778332211690068E-2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1.1596700307634597E-3</v>
      </c>
      <c r="AU11">
        <f>AF10*(1-p_recur_Stroke-T10*p_MI-H10*rr_Stroke)*I10 + AG10*(1-p_recur_Stroke-T10*p_MI-H10*rr_Stroke)*I10 + AT10*(1-p_recur_Stroke-AC10*p_MI-H10*rr_Stroke*rr_DM) + AU10*(1-p_recur_Stroke-AC10*p_MI-H10*rr_Stroke*rr_DM)</f>
        <v>2.9488287100821377E-3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8.4024707620715508E-4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2.5701099518500698E-3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1.4418104565376878E-5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1.2748638650700448E-5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2.9919688850166222E-5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1.359440153039592E-4</v>
      </c>
      <c r="BB11">
        <f>AM10*(1-T10*p_Stroke - H10*rr_HF)*I10 + AN10*(1-T10*p_Stroke - H10*rr_HF)*I10 + BA10*(1-AC10*p_Stroke - H10*rr_HF*rr_DM) + BB10*(1-AC10*p_Stroke - H10*rr_HF*rr_DM)</f>
        <v>5.0051959153202328E-4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2.0099242538147832E-6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2.5209545250356552E-6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5.5655723532072161E-6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2.6958304191359549E-2</v>
      </c>
      <c r="BG11">
        <f t="shared" si="17"/>
        <v>0.94200000000000017</v>
      </c>
      <c r="BH11">
        <f>(0.9442 - 0.0007*$B11 - dis_BMI*($C11-21.75))*AD11</f>
        <v>0.55675719627354425</v>
      </c>
      <c r="BI11">
        <f>0.959*(0.9442 - 0.0007*$B11 - dis_BMI*($C11-21.75))*AE11</f>
        <v>1.8329014538339121E-2</v>
      </c>
      <c r="BJ11">
        <f>(0.943*(0.9442 - 0.0007*$B11 - dis_BMI*($C11-21.75)) - 0.19*0.5)*AF11</f>
        <v>1.5119075097282497E-3</v>
      </c>
      <c r="BK11">
        <f>(0.943*(0.9442 - 0.0007*$B11 - dis_BMI*($C11-21.75)))*AG11</f>
        <v>5.0595502136488195E-3</v>
      </c>
      <c r="BL11">
        <f>(0.955*(0.9442 - 0.0007*$B11 - dis_BMI*($C11-21.75)) - 0.15*0.5)*AH11</f>
        <v>1.1087322958911569E-3</v>
      </c>
      <c r="BM11">
        <f>(0.955*(0.9442 - 0.0007*$B11 - dis_BMI*($C11-21.75)))*AI11</f>
        <v>4.4403999104781419E-3</v>
      </c>
      <c r="BN11">
        <f>(0.955*0.943*(0.9442 - 0.0007*$B11 - dis_BMI*($C11-21.75)) - 0.19*0.5)*AJ11</f>
        <v>1.2045338829706785E-5</v>
      </c>
      <c r="BO11">
        <f>(0.955*0.943*(0.9442 - 0.0007*$B11 - dis_BMI*($C11-21.75)) - 0.15*0.5)*AK11</f>
        <v>1.0731141790661871E-5</v>
      </c>
      <c r="BP11">
        <f>(0.955*0.943*(0.9442 - 0.0007*$B11 - dis_BMI*($C11-21.75)))*AL11</f>
        <v>3.3069903261421244E-5</v>
      </c>
      <c r="BQ11">
        <f>(0.93*(0.9442 - 0.0007*$B11 - dis_BMI*($C11-21.75)))*AM11</f>
        <v>2.0124636111673756E-4</v>
      </c>
      <c r="BR11">
        <f>(0.93*(0.9442 - 0.0007*$B11 - dis_BMI*($C11-21.75)))*AN11</f>
        <v>8.768962376779298E-4</v>
      </c>
      <c r="BS11">
        <f>(0.93*0.943*(0.9442 - 0.0007*$B11 - dis_BMI*($C11-21.75)))*AO11</f>
        <v>1.9009880774036423E-6</v>
      </c>
      <c r="BT11">
        <f>(0.93*0.943*(0.9442 - 0.0007*$B11 - dis_BMI*($C11-21.75))-0.19*0.5)*AP11</f>
        <v>2.1222239368619862E-6</v>
      </c>
      <c r="BU11">
        <f>(0.93*0.943*(0.9442 - 0.0007*$B11 - dis_BMI*($C11-21.75)))*AQ11</f>
        <v>6.2202696644905613E-6</v>
      </c>
      <c r="BV11">
        <f>0.962*(0.9442 - 0.0007*$B11 - dis_BMI*($C11-21.75))*AR11</f>
        <v>0.17330578138110617</v>
      </c>
      <c r="BW11">
        <f>0.962*0.959*(0.9442 - 0.0007*$B11 - dis_BMI*($C11-21.75))*AS11</f>
        <v>8.5489918560198528E-3</v>
      </c>
      <c r="BX11">
        <f>0.962*(0.943*(0.9442 - 0.0007*$B11 - dis_BMI*($C11-21.75)) - 0.19*0.5)*AT11</f>
        <v>7.9848086440633553E-4</v>
      </c>
      <c r="BY11">
        <f>0.962*(0.943*(0.9442 - 0.0007*$B11 - dis_BMI*($C11-21.75)))*AU11</f>
        <v>2.2998842005527895E-3</v>
      </c>
      <c r="BZ11">
        <f>0.962*(0.955*(0.9442 - 0.0007*$B11 - dis_BMI*($C11-21.75)) - 0.15*0.5)*AV11</f>
        <v>6.0305064447560813E-4</v>
      </c>
      <c r="CA11">
        <f>0.962*(0.955*(0.9442 - 0.0007*$B11 - dis_BMI*($C11-21.75)))*AW11</f>
        <v>2.0300176115661569E-3</v>
      </c>
      <c r="CB11">
        <f>0.962*(0.955*0.943*(0.9442 - 0.0007*$B11 - dis_BMI*($C11-21.75)) - 0.19*0.5)*AX11</f>
        <v>9.4214313910777519E-6</v>
      </c>
      <c r="CC11">
        <f>0.962*(0.955*0.943*(0.9442 - 0.0007*$B11 - dis_BMI*($C11-21.75)) - 0.15*0.5)*AY11</f>
        <v>8.5758118484504164E-6</v>
      </c>
      <c r="CD11">
        <f>0.962*(0.955*0.943*(0.9442 - 0.0007*$B11 - dis_BMI*($C11-21.75)))*AZ11</f>
        <v>2.2285217029402978E-5</v>
      </c>
      <c r="CE11">
        <f>0.962*(0.93*(0.9442 - 0.0007*$B11 - dis_BMI*($C11-21.75)))*BA11</f>
        <v>1.0456534451283592E-4</v>
      </c>
      <c r="CF11">
        <f>0.962*(0.93*(0.9442 - 0.0007*$B11 - dis_BMI*($C11-21.75)))*BB11</f>
        <v>3.8498938998490556E-4</v>
      </c>
      <c r="CG11">
        <f>0.962*(0.93*0.943*(0.9442 - 0.0007*$B11 - dis_BMI*($C11-21.75)))*BC11</f>
        <v>1.4578708856374287E-6</v>
      </c>
      <c r="CH11">
        <f>0.962*(0.93*0.943*(0.9442 - 0.0007*$B11 - dis_BMI*($C11-21.75))-0.19*0.5)*BD11</f>
        <v>1.5981496231554813E-6</v>
      </c>
      <c r="CI11">
        <f>0.962*(0.93*0.943*(0.9442 - 0.0007*$B11 - dis_BMI*($C11-21.75)))*BE11</f>
        <v>4.0369112817308666E-6</v>
      </c>
      <c r="CJ11">
        <f t="shared" si="18"/>
        <v>0</v>
      </c>
      <c r="CK11">
        <f t="shared" si="19"/>
        <v>0.7764741698906692</v>
      </c>
      <c r="CL11">
        <f>CK11/(1+r_)^A11</f>
        <v>0.61295587991794209</v>
      </c>
      <c r="CM11">
        <f>AD11*c_LIR_2</f>
        <v>7615.5890737100899</v>
      </c>
      <c r="CN11">
        <f>AE11*(c_Other+c_LIR_2)</f>
        <v>578.86214735266481</v>
      </c>
      <c r="CO11">
        <f>AF11*(c_Stroke1+c_Stroke2+c_LIR_2)</f>
        <v>75.149714296685062</v>
      </c>
      <c r="CP11">
        <f>AG11*(c_Stroke2 + c_LIR_2)</f>
        <v>113.95446122067729</v>
      </c>
      <c r="CQ11">
        <f>AH11*(c_MI1+c_MI2 + c_LIR_2)</f>
        <v>60.798811453520493</v>
      </c>
      <c r="CR11">
        <f>AI11*(c_MI2+c_LIR_2)</f>
        <v>80.457107981741842</v>
      </c>
      <c r="CS11">
        <f>AJ11*(c_Stroke1+c_Stroke2+c_MI2+c_LIR_2)</f>
        <v>0.68614796149820934</v>
      </c>
      <c r="CT11">
        <f>AK11*(c_Stroke2+c_MI1+c_MI2+c_LIR_2)</f>
        <v>0.72759329519912008</v>
      </c>
      <c r="CU11">
        <f>AL11*(c_Stroke2+c_MI2+c_LIR_2)</f>
        <v>0.9130508363472376</v>
      </c>
      <c r="CV11">
        <f>AM11*(c_HF1+c_LIR_2)</f>
        <v>9.763267950378447</v>
      </c>
      <c r="CW11">
        <f>AN11*(c_HF2+c_LIR_2)</f>
        <v>30.011731465583409</v>
      </c>
      <c r="CX11">
        <f>AO11*(c_Stroke2+c_HF1+c_LIR_2)</f>
        <v>0.11418719736709998</v>
      </c>
      <c r="CY11">
        <f>AP11*(c_Stroke1+c_Stroke2+c_HF2+c_LIR_2)</f>
        <v>0.16482482477080587</v>
      </c>
      <c r="CZ11">
        <f>AQ11*(c_Stroke2+c_HF2+c_LIR_2)</f>
        <v>0.27938043726154194</v>
      </c>
      <c r="DA11">
        <f>AR11*(c_DM+c_LIR_2)</f>
        <v>4858.2003413995735</v>
      </c>
      <c r="DB11">
        <f>AS11*(c_Other+c_DM+c_LIR_2)</f>
        <v>403.79943797875671</v>
      </c>
      <c r="DC11">
        <f>AT11*(c_Stroke1+c_Stroke2+c_DM+c_LIR_2)</f>
        <v>54.505651115913373</v>
      </c>
      <c r="DD11">
        <f>AU11*(c_Stroke2+c_DM+c_LIR_2)</f>
        <v>87.535980258788257</v>
      </c>
      <c r="DE11">
        <f>AV11*(c_MI1+c_MI2+c_DM+c_LIR_2)</f>
        <v>43.975170980377669</v>
      </c>
      <c r="DF11">
        <f>AW11*(c_MI2+c_DM+c_LIR_2)</f>
        <v>67.599031953560541</v>
      </c>
      <c r="DG11">
        <f>AX11*(c_Stroke1+c_Stroke2+c_MI2+c_DM+c_LIR_2)</f>
        <v>0.72260656460755834</v>
      </c>
      <c r="DH11">
        <f>AY11*(c_Stroke2+c_MI1+c_MI2+c_DM+c_LIR_2)</f>
        <v>0.75007890365261154</v>
      </c>
      <c r="DI11">
        <f>AZ11*(c_Stroke2+c_MI2+c_DM+c_LIR_2)</f>
        <v>0.98142563366315239</v>
      </c>
      <c r="DJ11">
        <f>BA11*(c_HF1+c_DM+c_LIR_2)</f>
        <v>6.8264287284883114</v>
      </c>
      <c r="DK11">
        <f>BB11*(c_HF2+c_DM+c_LIR_2)</f>
        <v>19.415154955527182</v>
      </c>
      <c r="DL11">
        <f>BC11*(c_Stroke2+c_HF1+c_DM+c_LIR_2)</f>
        <v>0.11399285405510542</v>
      </c>
      <c r="DM11">
        <f>BD11*(c_Stroke1+c_Stroke2+c_HF2+c_DM+c_LIR_2)</f>
        <v>0.15782687899438222</v>
      </c>
      <c r="DN11">
        <f>BE11*(c_Stroke2+c_HF2+c_DM+c_LIR_2)</f>
        <v>0.2520647718767548</v>
      </c>
      <c r="DO11">
        <f t="shared" si="5"/>
        <v>0</v>
      </c>
      <c r="DP11">
        <f t="shared" si="38"/>
        <v>14112.30669296162</v>
      </c>
      <c r="DQ11">
        <f>DP11/(1+r_)^A11</f>
        <v>11140.385220894263</v>
      </c>
    </row>
    <row r="12" spans="1:121" x14ac:dyDescent="0.3">
      <c r="A12">
        <v>9</v>
      </c>
      <c r="B12">
        <v>54</v>
      </c>
      <c r="C12">
        <f t="shared" si="39"/>
        <v>36.1</v>
      </c>
      <c r="D12">
        <f t="shared" si="1"/>
        <v>125</v>
      </c>
      <c r="E12">
        <f t="shared" si="40"/>
        <v>5.5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0"/>
        <v>3.2286349135090861E-2</v>
      </c>
      <c r="J12">
        <f t="shared" si="21"/>
        <v>0.12696065316248351</v>
      </c>
      <c r="K12">
        <f t="shared" si="22"/>
        <v>0.17316591983076346</v>
      </c>
      <c r="L12">
        <f t="shared" si="23"/>
        <v>6.2253445293278364E-2</v>
      </c>
      <c r="M12">
        <f t="shared" si="24"/>
        <v>8.6084693107360222E-2</v>
      </c>
      <c r="N12">
        <f t="shared" si="25"/>
        <v>0.27295903528497267</v>
      </c>
      <c r="O12">
        <f t="shared" si="26"/>
        <v>0.36264083763702037</v>
      </c>
      <c r="P12">
        <f t="shared" si="27"/>
        <v>0.14512584578094778</v>
      </c>
      <c r="Q12">
        <f t="shared" si="28"/>
        <v>0.1987306237931471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1.017798258538018E-2</v>
      </c>
      <c r="U12">
        <f t="shared" si="29"/>
        <v>0.25583128671012523</v>
      </c>
      <c r="V12">
        <f t="shared" si="30"/>
        <v>0.3388851520976518</v>
      </c>
      <c r="W12">
        <f t="shared" si="31"/>
        <v>0.13054042920901521</v>
      </c>
      <c r="X12">
        <f t="shared" si="32"/>
        <v>0.17791012893024871</v>
      </c>
      <c r="Y12">
        <f t="shared" si="33"/>
        <v>0.41867193964686888</v>
      </c>
      <c r="Z12">
        <f t="shared" si="34"/>
        <v>0.5353457779351446</v>
      </c>
      <c r="AA12">
        <f t="shared" si="35"/>
        <v>0.23418976286806903</v>
      </c>
      <c r="AB12">
        <f t="shared" si="36"/>
        <v>0.31409417119740313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1.9096294769697934E-2</v>
      </c>
      <c r="AD12">
        <f t="shared" si="37"/>
        <v>0.6178367181076615</v>
      </c>
      <c r="AE12">
        <f t="shared" si="6"/>
        <v>2.4577311020614702E-2</v>
      </c>
      <c r="AF12">
        <f t="shared" si="7"/>
        <v>2.221037551510967E-3</v>
      </c>
      <c r="AG12">
        <f t="shared" si="8"/>
        <v>6.9843356704479753E-3</v>
      </c>
      <c r="AH12">
        <f t="shared" si="9"/>
        <v>1.5392421826214615E-3</v>
      </c>
      <c r="AI12">
        <f t="shared" si="10"/>
        <v>6.0358186973106182E-3</v>
      </c>
      <c r="AJ12">
        <f t="shared" si="11"/>
        <v>2.1772634393704666E-5</v>
      </c>
      <c r="AK12">
        <f t="shared" si="12"/>
        <v>1.8596064288555625E-5</v>
      </c>
      <c r="AL12">
        <f t="shared" si="13"/>
        <v>5.6625664166595718E-5</v>
      </c>
      <c r="AM12">
        <f t="shared" si="14"/>
        <v>2.6651000166465493E-4</v>
      </c>
      <c r="AN12">
        <f t="shared" si="15"/>
        <v>1.2914801660832511E-3</v>
      </c>
      <c r="AO12">
        <f t="shared" si="16"/>
        <v>3.132690902365257E-6</v>
      </c>
      <c r="AP12">
        <f>AM11*T11*p_Stroke*p_Stroke_rec*(1-I11) + AN11*T11*p_Stroke*p_Stroke_rec*(1-I11) + AO11*(p_recur_Stroke*p_Stroke_rec)*(1-I11) + AP11*(p_recur_Stroke*p_Stroke_rec)*(1-I11) + AQ11*(p_recur_Stroke*p_Stroke_rec)*(1-I11)</f>
        <v>4.1694907286843779E-6</v>
      </c>
      <c r="AQ12">
        <f>AO11*(1-p_recur_Stroke-H11*rr_Stroke*rr_HF)*(1-I11) + AP11*(1-p_recur_Stroke-H11*rr_Stroke*rr_HF)*(1-I11) + AQ11*(1-p_recur_Stroke-H11*rr_Stroke*rr_HF)*(1-I11)</f>
        <v>1.1574233497339253E-5</v>
      </c>
      <c r="AR12">
        <f>AR11*(1-AC11-H11*rr_DM) + AD11*(1-T11-H11)*I11</f>
        <v>0.22526790347738262</v>
      </c>
      <c r="AS12">
        <f>AR11*AC11*p_Other + AD11*T11*p_Other*I11 + AE11*(1-T11*p_Stroke-T11*p_MI-H11*rr_Other)*I11 + AS11*(1-AC11*p_Stroke-AC11*p_MI-H11*rr_Other*rr_DM)</f>
        <v>1.3507569759968948E-2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1.3778738910413919E-3</v>
      </c>
      <c r="AU12">
        <f>AF11*(1-p_recur_Stroke-T11*p_MI-H11*rr_Stroke)*I11 + AG11*(1-p_recur_Stroke-T11*p_MI-H11*rr_Stroke)*I11 + AT11*(1-p_recur_Stroke-AC11*p_MI-H11*rr_Stroke*rr_DM) + AU11*(1-p_recur_Stroke-AC11*p_MI-H11*rr_Stroke*rr_DM)</f>
        <v>3.7666814921861525E-3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9.8409121828525151E-4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3.2764202021559811E-3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2.0189058018053099E-5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1.7618226582905399E-5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4.5775791751219384E-5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1.6279921220578865E-4</v>
      </c>
      <c r="BB12">
        <f>AM11*(1-T11*p_Stroke - H11*rr_HF)*I11 + AN11*(1-T11*p_Stroke - H11*rr_HF)*I11 + BA11*(1-AC11*p_Stroke - H11*rr_HF*rr_DM) + BB11*(1-AC11*p_Stroke - H11*rr_HF*rr_DM)</f>
        <v>6.7099701837864583E-4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2.8485128301424689E-6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3.709820962378938E-6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8.9788156371701573E-6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3.2018219326721081E-2</v>
      </c>
      <c r="BG12">
        <f t="shared" si="17"/>
        <v>0.94200000000000017</v>
      </c>
      <c r="BH12">
        <f>(0.9442 - 0.0007*$B12 - dis_BMI*($C12-21.75))*AD12</f>
        <v>0.53074954350679615</v>
      </c>
      <c r="BI12">
        <f>0.959*(0.9442 - 0.0007*$B12 - dis_BMI*($C12-21.75))*AE12</f>
        <v>2.0247382483730095E-2</v>
      </c>
      <c r="BJ12">
        <f>(0.943*(0.9442 - 0.0007*$B12 - dis_BMI*($C12-21.75)) - 0.19*0.5)*AF12</f>
        <v>1.5882182774482458E-3</v>
      </c>
      <c r="BK12">
        <f>(0.943*(0.9442 - 0.0007*$B12 - dis_BMI*($C12-21.75)))*AG12</f>
        <v>5.6578666937668418E-3</v>
      </c>
      <c r="BL12">
        <f>(0.955*(0.9442 - 0.0007*$B12 - dis_BMI*($C12-21.75)) - 0.15*0.5)*AH12</f>
        <v>1.1473326135387914E-3</v>
      </c>
      <c r="BM12">
        <f>(0.955*(0.9442 - 0.0007*$B12 - dis_BMI*($C12-21.75)))*AI12</f>
        <v>4.9517130785537962E-3</v>
      </c>
      <c r="BN12">
        <f>(0.955*0.943*(0.9442 - 0.0007*$B12 - dis_BMI*($C12-21.75)) - 0.19*0.5)*AJ12</f>
        <v>1.4775472749146778E-5</v>
      </c>
      <c r="BO12">
        <f>(0.955*0.943*(0.9442 - 0.0007*$B12 - dis_BMI*($C12-21.75)) - 0.15*0.5)*AK12</f>
        <v>1.2991691414110791E-5</v>
      </c>
      <c r="BP12">
        <f>(0.955*0.943*(0.9442 - 0.0007*$B12 - dis_BMI*($C12-21.75)))*AL12</f>
        <v>4.3807078163019706E-5</v>
      </c>
      <c r="BQ12">
        <f>(0.93*(0.9442 - 0.0007*$B12 - dis_BMI*($C12-21.75)))*AM12</f>
        <v>2.1291799847341256E-4</v>
      </c>
      <c r="BR12">
        <f>(0.93*(0.9442 - 0.0007*$B12 - dis_BMI*($C12-21.75)))*AN12</f>
        <v>1.0317788087238775E-3</v>
      </c>
      <c r="BS12">
        <f>(0.93*0.943*(0.9442 - 0.0007*$B12 - dis_BMI*($C12-21.75)))*AO12</f>
        <v>2.3600874828824497E-6</v>
      </c>
      <c r="BT12">
        <f>(0.93*0.943*(0.9442 - 0.0007*$B12 - dis_BMI*($C12-21.75))-0.19*0.5)*AP12</f>
        <v>2.7450837659442368E-6</v>
      </c>
      <c r="BU12">
        <f>(0.93*0.943*(0.9442 - 0.0007*$B12 - dis_BMI*($C12-21.75)))*AQ12</f>
        <v>8.7197251348368699E-6</v>
      </c>
      <c r="BV12">
        <f>0.962*(0.9442 - 0.0007*$B12 - dis_BMI*($C12-21.75))*AR12</f>
        <v>0.1861616860293045</v>
      </c>
      <c r="BW12">
        <f>0.962*0.959*(0.9442 - 0.0007*$B12 - dis_BMI*($C12-21.75))*AS12</f>
        <v>1.0705003478352791E-2</v>
      </c>
      <c r="BX12">
        <f>0.962*(0.943*(0.9442 - 0.0007*$B12 - dis_BMI*($C12-21.75)) - 0.19*0.5)*AT12</f>
        <v>9.4784829073385924E-4</v>
      </c>
      <c r="BY12">
        <f>0.962*(0.943*(0.9442 - 0.0007*$B12 - dis_BMI*($C12-21.75)))*AU12</f>
        <v>2.9353613888445412E-3</v>
      </c>
      <c r="BZ12">
        <f>0.962*(0.955*(0.9442 - 0.0007*$B12 - dis_BMI*($C12-21.75)) - 0.15*0.5)*AV12</f>
        <v>7.0565562951723545E-4</v>
      </c>
      <c r="CA12">
        <f>0.962*(0.955*(0.9442 - 0.0007*$B12 - dis_BMI*($C12-21.75)))*AW12</f>
        <v>2.5857941769697945E-3</v>
      </c>
      <c r="CB12">
        <f>0.962*(0.955*0.943*(0.9442 - 0.0007*$B12 - dis_BMI*($C12-21.75)) - 0.19*0.5)*AX12</f>
        <v>1.3180185827662012E-5</v>
      </c>
      <c r="CC12">
        <f>0.962*(0.955*0.943*(0.9442 - 0.0007*$B12 - dis_BMI*($C12-21.75)) - 0.15*0.5)*AY12</f>
        <v>1.1840823854830387E-5</v>
      </c>
      <c r="CD12">
        <f>0.962*(0.955*0.943*(0.9442 - 0.0007*$B12 - dis_BMI*($C12-21.75)))*AZ12</f>
        <v>3.4067629501526153E-5</v>
      </c>
      <c r="CE12">
        <f>0.962*(0.93*(0.9442 - 0.0007*$B12 - dis_BMI*($C12-21.75)))*BA12</f>
        <v>1.2511985544939817E-4</v>
      </c>
      <c r="CF12">
        <f>0.962*(0.93*(0.9442 - 0.0007*$B12 - dis_BMI*($C12-21.75)))*BB12</f>
        <v>5.1569690546406793E-4</v>
      </c>
      <c r="CG12">
        <f>0.962*(0.93*0.943*(0.9442 - 0.0007*$B12 - dis_BMI*($C12-21.75)))*BC12</f>
        <v>2.0644473319429246E-6</v>
      </c>
      <c r="CH12">
        <f>0.962*(0.93*0.943*(0.9442 - 0.0007*$B12 - dis_BMI*($C12-21.75))-0.19*0.5)*BD12</f>
        <v>2.3496361312544786E-6</v>
      </c>
      <c r="CI12">
        <f>0.962*(0.93*0.943*(0.9442 - 0.0007*$B12 - dis_BMI*($C12-21.75)))*BE12</f>
        <v>6.5073577306780977E-6</v>
      </c>
      <c r="CJ12">
        <f t="shared" si="18"/>
        <v>0</v>
      </c>
      <c r="CK12">
        <f t="shared" si="19"/>
        <v>0.77042432843475539</v>
      </c>
      <c r="CL12">
        <f>CK12/(1+r_)^A12</f>
        <v>0.59046609631699842</v>
      </c>
      <c r="CM12">
        <f>AD12*c_LIR_2</f>
        <v>7265.7598049460994</v>
      </c>
      <c r="CN12">
        <f>AE12*(c_Other+c_LIR_2)</f>
        <v>639.9686016657862</v>
      </c>
      <c r="CO12">
        <f>AF12*(c_Stroke1+c_Stroke2+c_LIR_2)</f>
        <v>79.015631932554157</v>
      </c>
      <c r="CP12">
        <f>AG12*(c_Stroke2 + c_LIR_2)</f>
        <v>127.53396934238003</v>
      </c>
      <c r="CQ12">
        <f>AH12*(c_MI1+c_MI2 + c_LIR_2)</f>
        <v>62.971936933226608</v>
      </c>
      <c r="CR12">
        <f>AI12*(c_MI2+c_LIR_2)</f>
        <v>89.794874759890064</v>
      </c>
      <c r="CS12">
        <f>AJ12*(c_Stroke1+c_Stroke2+c_MI2+c_LIR_2)</f>
        <v>0.84244854259561464</v>
      </c>
      <c r="CT12">
        <f>AK12*(c_Stroke2+c_MI1+c_MI2+c_LIR_2)</f>
        <v>0.88165800398471073</v>
      </c>
      <c r="CU12">
        <f>AL12*(c_Stroke2+c_MI2+c_LIR_2)</f>
        <v>1.2104868228893166</v>
      </c>
      <c r="CV12">
        <f>AM12*(c_HF1+c_LIR_2)</f>
        <v>10.337922964571964</v>
      </c>
      <c r="CW12">
        <f>AN12*(c_HF2+c_LIR_2)</f>
        <v>35.34135474486817</v>
      </c>
      <c r="CX12">
        <f>AO12*(c_Stroke2+c_HF1+c_LIR_2)</f>
        <v>0.14187957096812248</v>
      </c>
      <c r="CY12">
        <f>AP12*(c_Stroke1+c_Stroke2+c_HF2+c_LIR_2)</f>
        <v>0.21339870498479516</v>
      </c>
      <c r="CZ12">
        <f>AQ12*(c_Stroke2+c_HF2+c_LIR_2)</f>
        <v>0.39196141738739382</v>
      </c>
      <c r="DA12">
        <f>AR12*(c_DM+c_LIR_2)</f>
        <v>5222.8363421231161</v>
      </c>
      <c r="DB12">
        <f>AS12*(c_Other+c_DM+c_LIR_2)</f>
        <v>506.04759348747666</v>
      </c>
      <c r="DC12">
        <f>AT12*(c_Stroke1+c_Stroke2+c_DM+c_LIR_2)</f>
        <v>64.761450752836453</v>
      </c>
      <c r="DD12">
        <f>AU12*(c_Stroke2+c_DM+c_LIR_2)</f>
        <v>111.81394009554595</v>
      </c>
      <c r="DE12">
        <f>AV12*(c_MI1+c_MI2+c_DM+c_LIR_2)</f>
        <v>51.503398000176922</v>
      </c>
      <c r="DF12">
        <f>AW12*(c_MI2+c_DM+c_LIR_2)</f>
        <v>86.176404157106617</v>
      </c>
      <c r="DG12">
        <f>AX12*(c_Stroke1+c_Stroke2+c_MI2+c_DM+c_LIR_2)</f>
        <v>1.0118352097487853</v>
      </c>
      <c r="DH12">
        <f>AY12*(c_Stroke2+c_MI1+c_MI2+c_DM+c_LIR_2)</f>
        <v>1.0365859792318219</v>
      </c>
      <c r="DI12">
        <f>AZ12*(c_Stroke2+c_MI2+c_DM+c_LIR_2)</f>
        <v>1.5015375210234982</v>
      </c>
      <c r="DJ12">
        <f>BA12*(c_HF1+c_DM+c_LIR_2)</f>
        <v>8.1749624409136779</v>
      </c>
      <c r="DK12">
        <f>BB12*(c_HF2+c_DM+c_LIR_2)</f>
        <v>26.027974342907672</v>
      </c>
      <c r="DL12">
        <f>BC12*(c_Stroke2+c_HF1+c_DM+c_LIR_2)</f>
        <v>0.16155340516153013</v>
      </c>
      <c r="DM12">
        <f>BD12*(c_Stroke1+c_Stroke2+c_HF2+c_DM+c_LIR_2)</f>
        <v>0.23225705117069578</v>
      </c>
      <c r="DN12">
        <f>BE12*(c_Stroke2+c_HF2+c_DM+c_LIR_2)</f>
        <v>0.4066505602074364</v>
      </c>
      <c r="DO12">
        <f t="shared" si="5"/>
        <v>0</v>
      </c>
      <c r="DP12">
        <f t="shared" si="38"/>
        <v>14396.098415478813</v>
      </c>
      <c r="DQ12">
        <f>DP12/(1+r_)^A12</f>
        <v>11033.410706088538</v>
      </c>
    </row>
    <row r="13" spans="1:121" x14ac:dyDescent="0.3">
      <c r="A13">
        <v>10</v>
      </c>
      <c r="B13">
        <v>55</v>
      </c>
      <c r="C13">
        <f t="shared" si="39"/>
        <v>36.1</v>
      </c>
      <c r="D13">
        <f t="shared" si="1"/>
        <v>125</v>
      </c>
      <c r="E13">
        <f t="shared" si="40"/>
        <v>5.5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0"/>
        <v>3.2286349135090861E-2</v>
      </c>
      <c r="J13">
        <f t="shared" si="21"/>
        <v>0.13300830067344793</v>
      </c>
      <c r="K13">
        <f t="shared" si="22"/>
        <v>0.1811762015013294</v>
      </c>
      <c r="L13">
        <f t="shared" si="23"/>
        <v>6.5334217004436201E-2</v>
      </c>
      <c r="M13">
        <f t="shared" si="24"/>
        <v>9.0286871109145683E-2</v>
      </c>
      <c r="N13">
        <f t="shared" si="25"/>
        <v>0.28645594866014723</v>
      </c>
      <c r="O13">
        <f t="shared" si="26"/>
        <v>0.37929506273790481</v>
      </c>
      <c r="P13">
        <f t="shared" si="27"/>
        <v>0.15296932114909134</v>
      </c>
      <c r="Q13">
        <f t="shared" si="28"/>
        <v>0.20909870945504094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1.0681931575445345E-2</v>
      </c>
      <c r="U13">
        <f t="shared" si="29"/>
        <v>0.26700434796162364</v>
      </c>
      <c r="V13">
        <f t="shared" si="30"/>
        <v>0.35274461790221812</v>
      </c>
      <c r="W13">
        <f t="shared" si="31"/>
        <v>0.13674488982942201</v>
      </c>
      <c r="X13">
        <f t="shared" si="32"/>
        <v>0.18611425756171862</v>
      </c>
      <c r="Y13">
        <f t="shared" si="33"/>
        <v>0.43691613859509271</v>
      </c>
      <c r="Z13">
        <f t="shared" si="34"/>
        <v>0.55581639406196803</v>
      </c>
      <c r="AA13">
        <f t="shared" si="35"/>
        <v>0.24610758786892195</v>
      </c>
      <c r="AB13">
        <f t="shared" si="36"/>
        <v>0.32912825355981701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1.9972478562366659E-2</v>
      </c>
      <c r="AD13">
        <f t="shared" si="37"/>
        <v>0.58888004468481747</v>
      </c>
      <c r="AE13">
        <f t="shared" si="6"/>
        <v>2.6800809355760229E-2</v>
      </c>
      <c r="AF13">
        <f t="shared" si="7"/>
        <v>2.3223340427939569E-3</v>
      </c>
      <c r="AG13">
        <f t="shared" si="8"/>
        <v>7.6828930094015009E-3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1.4614719799117314E-3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6.4862583016768892E-3</v>
      </c>
      <c r="AJ13">
        <f t="shared" si="11"/>
        <v>2.6149840574985976E-5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2.0316393820316642E-5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7.046437578152281E-5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5.4616809527950226E-4</v>
      </c>
      <c r="AN13">
        <f t="shared" si="15"/>
        <v>1.4907408265019645E-3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7.3431961849419057E-6</v>
      </c>
      <c r="AP13">
        <f>AM12*T12*p_Stroke*p_Stroke_rec*(1-I12) + AN12*T12*p_Stroke*p_Stroke_rec*(1-I12) + AO12*(p_recur_Stroke*p_Stroke_rec)*(1-I12) + AP12*(p_recur_Stroke*p_Stroke_rec)*(1-I12) + AQ12*(p_recur_Stroke*p_Stroke_rec)*(1-I12)</f>
        <v>5.2637226717624066E-6</v>
      </c>
      <c r="AQ13">
        <f>AO12*(1-p_recur_Stroke-H12*rr_Stroke*rr_HF)*(1-I12) + AP12*(1-p_recur_Stroke-H12*rr_Stroke*rr_HF)*(1-I12) + AQ12*(1-p_recur_Stroke-H12*rr_Stroke*rr_HF)*(1-I12)</f>
        <v>1.5566077449520375E-5</v>
      </c>
      <c r="AR13">
        <f>AR12*(1-AC12-H12*rr_DM) + AD12*(1-T12-H12)*I12</f>
        <v>0.23934644764901092</v>
      </c>
      <c r="AS13">
        <f>AR12*AC12*p_Other + AD12*T12*p_Other*I12 + AE12*(1-T12*p_Stroke-T12*p_MI-H12*rr_Other)*I12 + AS12*(1-AC12*p_Stroke-AC12*p_MI-H12*rr_Other*rr_DM)</f>
        <v>1.6507321087555479E-2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1.6102783847885696E-3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4.6713718113423662E-3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1.0447507082263243E-3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3.9725681881946327E-3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2.7315794955732113E-5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2.167747231962833E-5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6.479498305415665E-5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3.6764341060456995E-4</v>
      </c>
      <c r="BB13">
        <f>AM12*(1-T12*p_Stroke - H12*rr_HF)*I12 + AN12*(1-T12*p_Stroke - H12*rr_HF)*I12 + BA12*(1-AC12*p_Stroke - H12*rr_HF*rr_DM) + BB12*(1-AC12*p_Stroke - H12*rr_HF*rr_DM)</f>
        <v>8.7133674674824842E-4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7.4186201345578017E-6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5.2601014725312668E-6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1.3694300939776282E-5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3.7652296838026296E-2</v>
      </c>
      <c r="BG13">
        <f t="shared" si="17"/>
        <v>0.94199999999999984</v>
      </c>
      <c r="BH13">
        <f>(0.9442 - 0.0007*$B13 - dis_BMI*($C13-21.75))*AD13</f>
        <v>0.50546224195498968</v>
      </c>
      <c r="BI13">
        <f>0.959*(0.9442 - 0.0007*$B13 - dis_BMI*($C13-21.75))*AE13</f>
        <v>2.2061162737504744E-2</v>
      </c>
      <c r="BJ13">
        <f>(0.943*(0.9442 - 0.0007*$B13 - dis_BMI*($C13-21.75)) - 0.19*0.5)*AF13</f>
        <v>1.6591203425007201E-3</v>
      </c>
      <c r="BK13">
        <f>(0.943*(0.9442 - 0.0007*$B13 - dis_BMI*($C13-21.75)))*AG13</f>
        <v>6.2186821505459114E-3</v>
      </c>
      <c r="BL13">
        <f>(0.955*(0.9442 - 0.0007*$B13 - dis_BMI*($C13-21.75)) - 0.15*0.5)*AH13</f>
        <v>1.0883866456070752E-3</v>
      </c>
      <c r="BM13">
        <f>(0.955*(0.9442 - 0.0007*$B13 - dis_BMI*($C13-21.75)))*AI13</f>
        <v>5.3169122497649709E-3</v>
      </c>
      <c r="BN13">
        <f>(0.955*0.943*(0.9442 - 0.0007*$B13 - dis_BMI*($C13-21.75)) - 0.19*0.5)*AJ13</f>
        <v>1.7729473318352244E-5</v>
      </c>
      <c r="BO13">
        <f>(0.955*0.943*(0.9442 - 0.0007*$B13 - dis_BMI*($C13-21.75)) - 0.15*0.5)*AK13</f>
        <v>1.4180750750211311E-5</v>
      </c>
      <c r="BP13">
        <f>(0.955*0.943*(0.9442 - 0.0007*$B13 - dis_BMI*($C13-21.75)))*AL13</f>
        <v>5.4468642917888131E-5</v>
      </c>
      <c r="BQ13">
        <f>(0.93*(0.9442 - 0.0007*$B13 - dis_BMI*($C13-21.75)))*AM13</f>
        <v>4.3598460798069649E-4</v>
      </c>
      <c r="BR13">
        <f>(0.93*(0.9442 - 0.0007*$B13 - dis_BMI*($C13-21.75)))*AN13</f>
        <v>1.1900000392931608E-3</v>
      </c>
      <c r="BS13">
        <f>(0.93*0.943*(0.9442 - 0.0007*$B13 - dis_BMI*($C13-21.75)))*AO13</f>
        <v>5.5276642246948993E-6</v>
      </c>
      <c r="BT13">
        <f>(0.93*0.943*(0.9442 - 0.0007*$B13 - dis_BMI*($C13-21.75))-0.19*0.5)*AP13</f>
        <v>3.4622661274627573E-6</v>
      </c>
      <c r="BU13">
        <f>(0.93*0.943*(0.9442 - 0.0007*$B13 - dis_BMI*($C13-21.75)))*AQ13</f>
        <v>1.1717520173706829E-5</v>
      </c>
      <c r="BV13">
        <f>0.962*(0.9442 - 0.0007*$B13 - dis_BMI*($C13-21.75))*AR13</f>
        <v>0.19763503719621325</v>
      </c>
      <c r="BW13">
        <f>0.962*0.959*(0.9442 - 0.0007*$B13 - dis_BMI*($C13-21.75))*AS13</f>
        <v>1.3071702639321321E-2</v>
      </c>
      <c r="BX13">
        <f>0.962*(0.943*(0.9442 - 0.0007*$B13 - dis_BMI*($C13-21.75)) - 0.19*0.5)*AT13</f>
        <v>1.1066982803381541E-3</v>
      </c>
      <c r="BY13">
        <f>0.962*(0.943*(0.9442 - 0.0007*$B13 - dis_BMI*($C13-21.75)))*AU13</f>
        <v>3.6374169158016529E-3</v>
      </c>
      <c r="BZ13">
        <f>0.962*(0.955*(0.9442 - 0.0007*$B13 - dis_BMI*($C13-21.75)) - 0.15*0.5)*AV13</f>
        <v>7.4848044337661129E-4</v>
      </c>
      <c r="CA13">
        <f>0.962*(0.955*(0.9442 - 0.0007*$B13 - dis_BMI*($C13-21.75)))*AW13</f>
        <v>3.1326486322627183E-3</v>
      </c>
      <c r="CB13">
        <f>0.962*(0.955*0.943*(0.9442 - 0.0007*$B13 - dis_BMI*($C13-21.75)) - 0.19*0.5)*AX13</f>
        <v>1.7816225666976876E-5</v>
      </c>
      <c r="CC13">
        <f>0.962*(0.955*0.943*(0.9442 - 0.0007*$B13 - dis_BMI*($C13-21.75)) - 0.15*0.5)*AY13</f>
        <v>1.4555807830072557E-5</v>
      </c>
      <c r="CD13">
        <f>0.962*(0.955*0.943*(0.9442 - 0.0007*$B13 - dis_BMI*($C13-21.75)))*AZ13</f>
        <v>4.8182951384826606E-5</v>
      </c>
      <c r="CE13">
        <f>0.962*(0.93*(0.9442 - 0.0007*$B13 - dis_BMI*($C13-21.75)))*BA13</f>
        <v>2.823232784711511E-4</v>
      </c>
      <c r="CF13">
        <f>0.962*(0.93*(0.9442 - 0.0007*$B13 - dis_BMI*($C13-21.75)))*BB13</f>
        <v>6.6912295963586282E-4</v>
      </c>
      <c r="CG13">
        <f>0.962*(0.93*0.943*(0.9442 - 0.0007*$B13 - dis_BMI*($C13-21.75)))*BC13</f>
        <v>5.3722316221027745E-6</v>
      </c>
      <c r="CH13">
        <f>0.962*(0.93*0.943*(0.9442 - 0.0007*$B13 - dis_BMI*($C13-21.75))-0.19*0.5)*BD13</f>
        <v>3.3284086461174089E-6</v>
      </c>
      <c r="CI13">
        <f>0.962*(0.93*0.943*(0.9442 - 0.0007*$B13 - dis_BMI*($C13-21.75)))*BE13</f>
        <v>9.9167978973010287E-6</v>
      </c>
      <c r="CJ13">
        <f t="shared" si="18"/>
        <v>0</v>
      </c>
      <c r="CK13">
        <f t="shared" si="19"/>
        <v>0.76392217981416721</v>
      </c>
      <c r="CL13">
        <f>CK13/(1+r_)^A13</f>
        <v>0.5684298454543637</v>
      </c>
      <c r="CM13">
        <f>AD13*c_LIR_2</f>
        <v>6925.2293254934539</v>
      </c>
      <c r="CN13">
        <f>AE13*(c_Other+c_LIR_2)</f>
        <v>697.86627481464063</v>
      </c>
      <c r="CO13">
        <f>AF13*(c_Stroke1+c_Stroke2+c_LIR_2)</f>
        <v>82.619355906437804</v>
      </c>
      <c r="CP13">
        <f>AG13*(c_Stroke2 + c_LIR_2)</f>
        <v>140.28962635167142</v>
      </c>
      <c r="CQ13">
        <f>AH13*(c_MI1+c_MI2 + c_LIR_2)</f>
        <v>59.790280170168842</v>
      </c>
      <c r="CR13">
        <f>AI13*(c_MI2+c_LIR_2)</f>
        <v>96.496064754047083</v>
      </c>
      <c r="CS13">
        <f>AJ13*(c_Stroke1+c_Stroke2+c_MI2+c_LIR_2)</f>
        <v>1.0118157813679323</v>
      </c>
      <c r="CT13">
        <f>AK13*(c_Stroke2+c_MI1+c_MI2+c_LIR_2)</f>
        <v>0.96322054741503227</v>
      </c>
      <c r="CU13">
        <f>AL13*(c_Stroke2+c_MI2+c_LIR_2)</f>
        <v>1.5063169610816132</v>
      </c>
      <c r="CV13">
        <f>AM13*(c_HF1+c_LIR_2)</f>
        <v>21.185860415891892</v>
      </c>
      <c r="CW13">
        <f>AN13*(c_HF2+c_LIR_2)</f>
        <v>40.794122717226259</v>
      </c>
      <c r="CX13">
        <f>AO13*(c_Stroke2+c_HF1+c_LIR_2)</f>
        <v>0.33257335521601888</v>
      </c>
      <c r="CY13">
        <f>AP13*(c_Stroke1+c_Stroke2+c_HF2+c_LIR_2)</f>
        <v>0.26940259006347173</v>
      </c>
      <c r="CZ13">
        <f>AQ13*(c_Stroke2+c_HF2+c_LIR_2)</f>
        <v>0.52714521282800753</v>
      </c>
      <c r="DA13">
        <f>AR13*(c_DM+c_LIR_2)</f>
        <v>5549.2473887423184</v>
      </c>
      <c r="DB13">
        <f>AS13*(c_Other+c_DM+c_LIR_2)</f>
        <v>618.43027722417844</v>
      </c>
      <c r="DC13">
        <f>AT13*(c_Stroke1+c_Stroke2+c_DM+c_LIR_2)</f>
        <v>75.684694363447562</v>
      </c>
      <c r="DD13">
        <f>AU13*(c_Stroke2+c_DM+c_LIR_2)</f>
        <v>138.66967221969813</v>
      </c>
      <c r="DE13">
        <f>AV13*(c_MI1+c_MI2+c_DM+c_LIR_2)</f>
        <v>54.67807306573291</v>
      </c>
      <c r="DF13">
        <f>AW13*(c_MI2+c_DM+c_LIR_2)</f>
        <v>104.48648848589524</v>
      </c>
      <c r="DG13">
        <f>AX13*(c_Stroke1+c_Stroke2+c_MI2+c_DM+c_LIR_2)</f>
        <v>1.3690130115913821</v>
      </c>
      <c r="DH13">
        <f>AY13*(c_Stroke2+c_MI1+c_MI2+c_DM+c_LIR_2)</f>
        <v>1.2754157613976524</v>
      </c>
      <c r="DI13">
        <f>AZ13*(c_Stroke2+c_MI2+c_DM+c_LIR_2)</f>
        <v>2.1254050341424464</v>
      </c>
      <c r="DJ13">
        <f>BA13*(c_HF1+c_DM+c_LIR_2)</f>
        <v>18.46121386350848</v>
      </c>
      <c r="DK13">
        <f>BB13*(c_HF2+c_DM+c_LIR_2)</f>
        <v>33.799152406364556</v>
      </c>
      <c r="DL13">
        <f>BC13*(c_Stroke2+c_HF1+c_DM+c_LIR_2)</f>
        <v>0.42074704093144571</v>
      </c>
      <c r="DM13">
        <f>BD13*(c_Stroke1+c_Stroke2+c_HF2+c_DM+c_LIR_2)</f>
        <v>0.32931391278929251</v>
      </c>
      <c r="DN13">
        <f>BE13*(c_Stroke2+c_HF2+c_DM+c_LIR_2)</f>
        <v>0.62021488956246784</v>
      </c>
      <c r="DO13">
        <f t="shared" si="5"/>
        <v>0</v>
      </c>
      <c r="DP13">
        <f t="shared" si="38"/>
        <v>14668.478455093069</v>
      </c>
      <c r="DQ13">
        <f>DP13/(1+r_)^A13</f>
        <v>10914.725559228469</v>
      </c>
    </row>
    <row r="14" spans="1:121" x14ac:dyDescent="0.3">
      <c r="A14">
        <v>11</v>
      </c>
      <c r="B14">
        <v>56</v>
      </c>
      <c r="C14">
        <f t="shared" si="39"/>
        <v>36.1</v>
      </c>
      <c r="D14">
        <f t="shared" si="1"/>
        <v>125</v>
      </c>
      <c r="E14">
        <f t="shared" si="40"/>
        <v>5.5</v>
      </c>
      <c r="F14">
        <v>5.1799999999999997E-3</v>
      </c>
      <c r="G14">
        <v>8.4600000000000005E-3</v>
      </c>
      <c r="H14">
        <f t="shared" si="3"/>
        <v>5.836E-3</v>
      </c>
      <c r="I14">
        <f t="shared" si="20"/>
        <v>3.2286349135090861E-2</v>
      </c>
      <c r="J14">
        <f t="shared" si="21"/>
        <v>0.13920427763759691</v>
      </c>
      <c r="K14">
        <f t="shared" si="22"/>
        <v>0.18935977365258383</v>
      </c>
      <c r="L14">
        <f t="shared" si="23"/>
        <v>6.8502309183873789E-2</v>
      </c>
      <c r="M14">
        <f t="shared" si="24"/>
        <v>9.4602372852508276E-2</v>
      </c>
      <c r="N14">
        <f t="shared" si="25"/>
        <v>0.30021606995172578</v>
      </c>
      <c r="O14">
        <f t="shared" si="26"/>
        <v>0.39614064315482078</v>
      </c>
      <c r="P14">
        <f t="shared" si="27"/>
        <v>0.16104375302534901</v>
      </c>
      <c r="Q14">
        <f t="shared" si="28"/>
        <v>0.21973074814585181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1.1198705921275432E-2</v>
      </c>
      <c r="U14">
        <f t="shared" si="29"/>
        <v>0.27835675994936182</v>
      </c>
      <c r="V14">
        <f t="shared" si="30"/>
        <v>0.36674015793309855</v>
      </c>
      <c r="W14">
        <f t="shared" si="31"/>
        <v>0.14310016780935597</v>
      </c>
      <c r="X14">
        <f t="shared" si="32"/>
        <v>0.19449336227804326</v>
      </c>
      <c r="Y14">
        <f t="shared" si="33"/>
        <v>0.45526848627933547</v>
      </c>
      <c r="Z14">
        <f t="shared" si="34"/>
        <v>0.5761337904914452</v>
      </c>
      <c r="AA14">
        <f t="shared" si="35"/>
        <v>0.2582957135137246</v>
      </c>
      <c r="AB14">
        <f t="shared" si="36"/>
        <v>0.3444021172959898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2.0864780109762199E-2</v>
      </c>
      <c r="AD14">
        <f t="shared" si="37"/>
        <v>0.56075056056344985</v>
      </c>
      <c r="AE14">
        <f t="shared" si="6"/>
        <v>2.8896887133210959E-2</v>
      </c>
      <c r="AF14">
        <f t="shared" si="7"/>
        <v>2.4156053466451656E-3</v>
      </c>
      <c r="AG14">
        <f t="shared" si="8"/>
        <v>8.3364752094624711E-3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1.4877922443764491E-3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6.7992937986812519E-3</v>
      </c>
      <c r="AJ14">
        <f t="shared" si="11"/>
        <v>2.9876579721080775E-5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2.3515576627441722E-5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8.4709253516989904E-5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5.6309146759764002E-4</v>
      </c>
      <c r="AN14">
        <f t="shared" si="15"/>
        <v>1.94723071370727E-3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8.6393928808566352E-6</v>
      </c>
      <c r="AP14">
        <f>AM13*T13*p_Stroke*p_Stroke_rec*(1-I13) + AN13*T13*p_Stroke*p_Stroke_rec*(1-I13) + AO13*(p_recur_Stroke*p_Stroke_rec)*(1-I13) + AP13*(p_recur_Stroke*p_Stroke_rec)*(1-I13) + AQ13*(p_recur_Stroke*p_Stroke_rec)*(1-I13)</f>
        <v>7.465250206531998E-6</v>
      </c>
      <c r="AQ14">
        <f>AO13*(1-p_recur_Stroke-H13*rr_Stroke*rr_HF)*(1-I13) + AP13*(1-p_recur_Stroke-H13*rr_Stroke*rr_HF)*(1-I13) + AQ13*(1-p_recur_Stroke-H13*rr_Stroke*rr_HF)*(1-I13)</f>
        <v>2.3166165180072577E-5</v>
      </c>
      <c r="AR14">
        <f>AR13*(1-AC13-H13*rr_DM) + AD13*(1-T13-H13)*I13</f>
        <v>0.2518115067416597</v>
      </c>
      <c r="AS14">
        <f>AR13*AC13*p_Other + AD13*T13*p_Other*I13 + AE13*(1-T13*p_Stroke-T13*p_MI-H13*rr_Other)*I13 + AS13*(1-AC13*p_Stroke-AC13*p_MI-H13*rr_Other*rr_DM)</f>
        <v>1.9760509825740825E-2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1.8553704929729011E-3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5.658186223135549E-3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1.1794102550892491E-3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4.6453361093367071E-3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3.4763086207998557E-5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2.7996636507456145E-5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8.7560531520296779E-5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4.2086289049050212E-4</v>
      </c>
      <c r="BB14">
        <f>AM13*(1-T13*p_Stroke - H13*rr_HF)*I13 + AN13*(1-T13*p_Stroke - H13*rr_HF)*I13 + BA13*(1-AC13*p_Stroke - H13*rr_HF*rr_DM) + BB13*(1-AC13*p_Stroke - H13*rr_HF*rr_DM)</f>
        <v>1.2844698191619439E-3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9.7539044069045609E-6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8.3967976125850703E-6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2.3062708837602811E-5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4.3818505282055845E-2</v>
      </c>
      <c r="BG14">
        <f t="shared" si="17"/>
        <v>0.94199999999999995</v>
      </c>
      <c r="BH14">
        <f>(0.9442 - 0.0007*$B14 - dis_BMI*($C14-21.75))*AD14</f>
        <v>0.48092491451443992</v>
      </c>
      <c r="BI14">
        <f>0.959*(0.9442 - 0.0007*$B14 - dis_BMI*($C14-21.75))*AE14</f>
        <v>2.3767156663982842E-2</v>
      </c>
      <c r="BJ14">
        <f>(0.943*(0.9442 - 0.0007*$B14 - dis_BMI*($C14-21.75)) - 0.19*0.5)*AF14</f>
        <v>1.724160624283363E-3</v>
      </c>
      <c r="BK14">
        <f>(0.943*(0.9442 - 0.0007*$B14 - dis_BMI*($C14-21.75)))*AG14</f>
        <v>6.7422013130013321E-3</v>
      </c>
      <c r="BL14">
        <f>(0.955*(0.9442 - 0.0007*$B14 - dis_BMI*($C14-21.75)) - 0.15*0.5)*AH14</f>
        <v>1.1069932700257352E-3</v>
      </c>
      <c r="BM14">
        <f>(0.955*(0.9442 - 0.0007*$B14 - dis_BMI*($C14-21.75)))*AI14</f>
        <v>5.5689682151213327E-3</v>
      </c>
      <c r="BN14">
        <f>(0.955*0.943*(0.9442 - 0.0007*$B14 - dis_BMI*($C14-21.75)) - 0.19*0.5)*AJ14</f>
        <v>2.0237351496951424E-5</v>
      </c>
      <c r="BO14">
        <f>(0.955*0.943*(0.9442 - 0.0007*$B14 - dis_BMI*($C14-21.75)) - 0.15*0.5)*AK14</f>
        <v>1.6398941727364805E-5</v>
      </c>
      <c r="BP14">
        <f>(0.955*0.943*(0.9442 - 0.0007*$B14 - dis_BMI*($C14-21.75)))*AL14</f>
        <v>6.5426468473589829E-5</v>
      </c>
      <c r="BQ14">
        <f>(0.93*(0.9442 - 0.0007*$B14 - dis_BMI*($C14-21.75)))*AM14</f>
        <v>4.4912730100683357E-4</v>
      </c>
      <c r="BR14">
        <f>(0.93*(0.9442 - 0.0007*$B14 - dis_BMI*($C14-21.75)))*AN14</f>
        <v>1.5531303974754488E-3</v>
      </c>
      <c r="BS14">
        <f>(0.93*0.943*(0.9442 - 0.0007*$B14 - dis_BMI*($C14-21.75)))*AO14</f>
        <v>6.4980855627830341E-6</v>
      </c>
      <c r="BT14">
        <f>(0.93*0.943*(0.9442 - 0.0007*$B14 - dis_BMI*($C14-21.75))-0.19*0.5)*AP14</f>
        <v>4.9057599732695819E-6</v>
      </c>
      <c r="BU14">
        <f>(0.93*0.943*(0.9442 - 0.0007*$B14 - dis_BMI*($C14-21.75)))*AQ14</f>
        <v>1.7424340526894796E-5</v>
      </c>
      <c r="BV14">
        <f>0.962*(0.9442 - 0.0007*$B14 - dis_BMI*($C14-21.75))*AR14</f>
        <v>0.2077582142708716</v>
      </c>
      <c r="BW14">
        <f>0.962*0.959*(0.9442 - 0.0007*$B14 - dis_BMI*($C14-21.75))*AS14</f>
        <v>1.5635053964803504E-2</v>
      </c>
      <c r="BX14">
        <f>0.962*(0.943*(0.9442 - 0.0007*$B14 - dis_BMI*($C14-21.75)) - 0.19*0.5)*AT14</f>
        <v>1.2739648864050861E-3</v>
      </c>
      <c r="BY14">
        <f>0.962*(0.943*(0.9442 - 0.0007*$B14 - dis_BMI*($C14-21.75)))*AU14</f>
        <v>4.402218167580841E-3</v>
      </c>
      <c r="BZ14">
        <f>0.962*(0.955*(0.9442 - 0.0007*$B14 - dis_BMI*($C14-21.75)) - 0.15*0.5)*AV14</f>
        <v>8.4419477891563657E-4</v>
      </c>
      <c r="CA14">
        <f>0.962*(0.955*(0.9442 - 0.0007*$B14 - dis_BMI*($C14-21.75)))*AW14</f>
        <v>3.6601859209118483E-3</v>
      </c>
      <c r="CB14">
        <f>0.962*(0.955*0.943*(0.9442 - 0.0007*$B14 - dis_BMI*($C14-21.75)) - 0.19*0.5)*AX14</f>
        <v>2.2652502891205288E-5</v>
      </c>
      <c r="CC14">
        <f>0.962*(0.955*0.943*(0.9442 - 0.0007*$B14 - dis_BMI*($C14-21.75)) - 0.15*0.5)*AY14</f>
        <v>1.8781969059944474E-5</v>
      </c>
      <c r="CD14">
        <f>0.962*(0.955*0.943*(0.9442 - 0.0007*$B14 - dis_BMI*($C14-21.75)))*AZ14</f>
        <v>6.5058805558314484E-5</v>
      </c>
      <c r="CE14">
        <f>0.962*(0.93*(0.9442 - 0.0007*$B14 - dis_BMI*($C14-21.75)))*BA14</f>
        <v>3.2292838025041741E-4</v>
      </c>
      <c r="CF14">
        <f>0.962*(0.93*(0.9442 - 0.0007*$B14 - dis_BMI*($C14-21.75)))*BB14</f>
        <v>9.8557456015921645E-4</v>
      </c>
      <c r="CG14">
        <f>0.962*(0.93*0.943*(0.9442 - 0.0007*$B14 - dis_BMI*($C14-21.75)))*BC14</f>
        <v>7.0575793279296052E-6</v>
      </c>
      <c r="CH14">
        <f>0.962*(0.93*0.943*(0.9442 - 0.0007*$B14 - dis_BMI*($C14-21.75))-0.19*0.5)*BD14</f>
        <v>5.3082416445729188E-6</v>
      </c>
      <c r="CI14">
        <f>0.962*(0.93*0.943*(0.9442 - 0.0007*$B14 - dis_BMI*($C14-21.75)))*BE14</f>
        <v>1.6687358246314793E-5</v>
      </c>
      <c r="CJ14">
        <f t="shared" si="18"/>
        <v>0</v>
      </c>
      <c r="CK14">
        <f t="shared" si="19"/>
        <v>0.75698542463372387</v>
      </c>
      <c r="CL14">
        <f>CK14/(1+r_)^A14</f>
        <v>0.54686237683055094</v>
      </c>
      <c r="CM14">
        <f>AD14*c_LIR_2</f>
        <v>6594.4265922261702</v>
      </c>
      <c r="CN14">
        <f>AE14*(c_Other+c_LIR_2)</f>
        <v>752.44604406168014</v>
      </c>
      <c r="CO14">
        <f>AF14*(c_Stroke1+c_Stroke2+c_LIR_2)</f>
        <v>85.937575812248411</v>
      </c>
      <c r="CP14">
        <f>AG14*(c_Stroke2 + c_LIR_2)</f>
        <v>152.22403732478472</v>
      </c>
      <c r="CQ14">
        <f>AH14*(c_MI1+c_MI2 + c_LIR_2)</f>
        <v>60.867068509684913</v>
      </c>
      <c r="CR14">
        <f>AI14*(c_MI2+c_LIR_2)</f>
        <v>101.15309384298098</v>
      </c>
      <c r="CS14">
        <f>AJ14*(c_Stroke1+c_Stroke2+c_MI2+c_LIR_2)</f>
        <v>1.1560144991477783</v>
      </c>
      <c r="CT14">
        <f>AK14*(c_Stroke2+c_MI1+c_MI2+c_LIR_2)</f>
        <v>1.1148970034836394</v>
      </c>
      <c r="CU14">
        <f>AL14*(c_Stroke2+c_MI2+c_LIR_2)</f>
        <v>1.8108297124326931</v>
      </c>
      <c r="CV14">
        <f>AM14*(c_HF1+c_LIR_2)</f>
        <v>21.842318028112455</v>
      </c>
      <c r="CW14">
        <f>AN14*(c_HF2+c_LIR_2)</f>
        <v>53.285968480599443</v>
      </c>
      <c r="CX14">
        <f>AO14*(c_Stroke2+c_HF1+c_LIR_2)</f>
        <v>0.391278103573997</v>
      </c>
      <c r="CY14">
        <f>AP14*(c_Stroke1+c_Stroke2+c_HF2+c_LIR_2)</f>
        <v>0.38207897082051417</v>
      </c>
      <c r="CZ14">
        <f>AQ14*(c_Stroke2+c_HF2+c_LIR_2)</f>
        <v>0.78452218382315786</v>
      </c>
      <c r="DA14">
        <f>AR14*(c_DM+c_LIR_2)</f>
        <v>5838.2497838053805</v>
      </c>
      <c r="DB14">
        <f>AS14*(c_Other+c_DM+c_LIR_2)</f>
        <v>740.30774011155427</v>
      </c>
      <c r="DC14">
        <f>AT14*(c_Stroke1+c_Stroke2+c_DM+c_LIR_2)</f>
        <v>87.204268540219317</v>
      </c>
      <c r="DD14">
        <f>AU14*(c_Stroke2+c_DM+c_LIR_2)</f>
        <v>167.96325803377877</v>
      </c>
      <c r="DE14">
        <f>AV14*(c_MI1+c_MI2+c_DM+c_LIR_2)</f>
        <v>61.725615110350937</v>
      </c>
      <c r="DF14">
        <f>AW14*(c_MI2+c_DM+c_LIR_2)</f>
        <v>122.18163034777407</v>
      </c>
      <c r="DG14">
        <f>AX14*(c_Stroke1+c_Stroke2+c_MI2+c_DM+c_LIR_2)</f>
        <v>1.7422563545724716</v>
      </c>
      <c r="DH14">
        <f>AY14*(c_Stroke2+c_MI1+c_MI2+c_DM+c_LIR_2)</f>
        <v>1.6472101055526898</v>
      </c>
      <c r="DI14">
        <f>AZ14*(c_Stroke2+c_MI2+c_DM+c_LIR_2)</f>
        <v>2.872160554928775</v>
      </c>
      <c r="DJ14">
        <f>BA14*(c_HF1+c_DM+c_LIR_2)</f>
        <v>21.133630045980563</v>
      </c>
      <c r="DK14">
        <f>BB14*(c_HF2+c_DM+c_LIR_2)</f>
        <v>49.824584285291806</v>
      </c>
      <c r="DL14">
        <f>BC14*(c_Stroke2+c_HF1+c_DM+c_LIR_2)</f>
        <v>0.55319268843759217</v>
      </c>
      <c r="DM14">
        <f>BD14*(c_Stroke1+c_Stroke2+c_HF2+c_DM+c_LIR_2)</f>
        <v>0.52568991133350096</v>
      </c>
      <c r="DN14">
        <f>BE14*(c_Stroke2+c_HF2+c_DM+c_LIR_2)</f>
        <v>1.0445100832550314</v>
      </c>
      <c r="DO14">
        <f t="shared" si="5"/>
        <v>0</v>
      </c>
      <c r="DP14">
        <f t="shared" si="38"/>
        <v>14924.797848737957</v>
      </c>
      <c r="DQ14">
        <f>DP14/(1+r_)^A14</f>
        <v>10781.991514863736</v>
      </c>
    </row>
    <row r="15" spans="1:121" x14ac:dyDescent="0.3">
      <c r="A15">
        <v>12</v>
      </c>
      <c r="B15">
        <v>57</v>
      </c>
      <c r="C15">
        <f t="shared" si="39"/>
        <v>36.1</v>
      </c>
      <c r="D15">
        <f t="shared" si="1"/>
        <v>125</v>
      </c>
      <c r="E15">
        <f t="shared" si="40"/>
        <v>5.5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0"/>
        <v>3.2286349135090861E-2</v>
      </c>
      <c r="J15">
        <f t="shared" si="21"/>
        <v>0.14554726502227433</v>
      </c>
      <c r="K15">
        <f t="shared" si="22"/>
        <v>0.197713112375975</v>
      </c>
      <c r="L15">
        <f t="shared" si="23"/>
        <v>7.1758034016199401E-2</v>
      </c>
      <c r="M15">
        <f t="shared" si="24"/>
        <v>9.9031125519132068E-2</v>
      </c>
      <c r="N15">
        <f t="shared" si="25"/>
        <v>0.31422452344001095</v>
      </c>
      <c r="O15">
        <f t="shared" si="26"/>
        <v>0.41315026743701866</v>
      </c>
      <c r="P15">
        <f t="shared" si="27"/>
        <v>0.16934721325791102</v>
      </c>
      <c r="Q15">
        <f t="shared" si="28"/>
        <v>0.23062037052721795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1.1728154614531729E-2</v>
      </c>
      <c r="U15">
        <f t="shared" si="29"/>
        <v>0.2898793796284207</v>
      </c>
      <c r="V15">
        <f t="shared" si="30"/>
        <v>0.38085564197887734</v>
      </c>
      <c r="W15">
        <f t="shared" si="31"/>
        <v>0.14960480198266013</v>
      </c>
      <c r="X15">
        <f t="shared" si="32"/>
        <v>0.20304365001573754</v>
      </c>
      <c r="Y15">
        <f t="shared" si="33"/>
        <v>0.47369370867216554</v>
      </c>
      <c r="Z15">
        <f t="shared" si="34"/>
        <v>0.59624940484757993</v>
      </c>
      <c r="AA15">
        <f t="shared" si="35"/>
        <v>0.27074399591763398</v>
      </c>
      <c r="AB15">
        <f t="shared" si="36"/>
        <v>0.35989535607647716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2.1772524670543275E-2</v>
      </c>
      <c r="AD15">
        <f t="shared" si="37"/>
        <v>0.53340215763182341</v>
      </c>
      <c r="AE15">
        <f t="shared" si="6"/>
        <v>3.085522823406715E-2</v>
      </c>
      <c r="AF15">
        <f t="shared" si="7"/>
        <v>2.5008483669338236E-3</v>
      </c>
      <c r="AG15">
        <f t="shared" si="8"/>
        <v>8.9406444954931198E-3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1.5104507509239005E-3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7.0820710743248194E-3</v>
      </c>
      <c r="AJ15">
        <f t="shared" si="11"/>
        <v>3.3757584977506528E-5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2.68380831298295E-5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9.9702558869004787E-5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5.7821638986634634E-4</v>
      </c>
      <c r="AN15">
        <f t="shared" si="15"/>
        <v>2.3972133863925981E-3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9.9995368036936238E-6</v>
      </c>
      <c r="AP15">
        <f>AM14*T14*p_Stroke*p_Stroke_rec*(1-I14) + AN14*T14*p_Stroke*p_Stroke_rec*(1-I14) + AO14*(p_recur_Stroke*p_Stroke_rec)*(1-I14) + AP14*(p_recur_Stroke*p_Stroke_rec)*(1-I14) + AQ14*(p_recur_Stroke*p_Stroke_rec)*(1-I14)</f>
        <v>9.9520374245785447E-6</v>
      </c>
      <c r="AQ15">
        <f>AO14*(1-p_recur_Stroke-H14*rr_Stroke*rr_HF)*(1-I14) + AP14*(1-p_recur_Stroke-H14*rr_Stroke*rr_HF)*(1-I14) + AQ14*(1-p_recur_Stroke-H14*rr_Stroke*rr_HF)*(1-I14)</f>
        <v>3.2179129663399786E-5</v>
      </c>
      <c r="AR15">
        <f>AR14*(1-AC14-H14*rr_DM) + AD14*(1-T14-H14)*I14</f>
        <v>0.26266368931527878</v>
      </c>
      <c r="AS15">
        <f>AR14*AC14*p_Other + AD14*T14*p_Other*I14 + AE14*(1-T14*p_Stroke-T14*p_MI-H14*rr_Other)*I14 + AS14*(1-AC14*p_Stroke-AC14*p_MI-H14*rr_Other*rr_DM)</f>
        <v>2.3242131070952216E-2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2.1119208564187395E-3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6.7178974112591609E-3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1.3177688021510801E-3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5.3591304017595051E-3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4.3437810688052703E-5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3.5353563221813391E-5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1.1482038185915086E-4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4.7642544435616194E-4</v>
      </c>
      <c r="BB15">
        <f>AM14*(1-T14*p_Stroke - H14*rr_HF)*I14 + AN14*(1-T14*p_Stroke - H14*rr_HF)*I14 + BA14*(1-AC14*p_Stroke - H14*rr_HF*rr_DM) + BB14*(1-AC14*p_Stroke - H14*rr_HF*rr_DM)</f>
        <v>1.756298295073319E-3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1.2513016932215087E-5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1.2411018263939369E-5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3.5765733332975922E-5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5.062117761775977E-2</v>
      </c>
      <c r="BG15">
        <f t="shared" si="17"/>
        <v>0.94200000000000017</v>
      </c>
      <c r="BH15">
        <f>(0.9442 - 0.0007*$B15 - dis_BMI*($C15-21.75))*AD15</f>
        <v>0.45709631197180289</v>
      </c>
      <c r="BI15">
        <f>0.959*(0.9442 - 0.0007*$B15 - dis_BMI*($C15-21.75))*AE15</f>
        <v>2.5357142983121923E-2</v>
      </c>
      <c r="BJ15">
        <f>(0.943*(0.9442 - 0.0007*$B15 - dis_BMI*($C15-21.75)) - 0.19*0.5)*AF15</f>
        <v>1.7833528072266722E-3</v>
      </c>
      <c r="BK15">
        <f>(0.943*(0.9442 - 0.0007*$B15 - dis_BMI*($C15-21.75)))*AG15</f>
        <v>7.2249270831505012E-3</v>
      </c>
      <c r="BL15">
        <f>(0.955*(0.9442 - 0.0007*$B15 - dis_BMI*($C15-21.75)) - 0.15*0.5)*AH15</f>
        <v>1.1228426175874176E-3</v>
      </c>
      <c r="BM15">
        <f>(0.955*(0.9442 - 0.0007*$B15 - dis_BMI*($C15-21.75)))*AI15</f>
        <v>5.7958428539318539E-3</v>
      </c>
      <c r="BN15">
        <f>(0.955*0.943*(0.9442 - 0.0007*$B15 - dis_BMI*($C15-21.75)) - 0.19*0.5)*AJ15</f>
        <v>2.2844928262248358E-5</v>
      </c>
      <c r="BO15">
        <f>(0.955*0.943*(0.9442 - 0.0007*$B15 - dis_BMI*($C15-21.75)) - 0.15*0.5)*AK15</f>
        <v>1.86990230982338E-5</v>
      </c>
      <c r="BP15">
        <f>(0.955*0.943*(0.9442 - 0.0007*$B15 - dis_BMI*($C15-21.75)))*AL15</f>
        <v>7.6943921758259521E-5</v>
      </c>
      <c r="BQ15">
        <f>(0.93*(0.9442 - 0.0007*$B15 - dis_BMI*($C15-21.75)))*AM15</f>
        <v>4.6081466911903501E-4</v>
      </c>
      <c r="BR15">
        <f>(0.93*(0.9442 - 0.0007*$B15 - dis_BMI*($C15-21.75)))*AN15</f>
        <v>1.9104804236240505E-3</v>
      </c>
      <c r="BS15">
        <f>(0.93*0.943*(0.9442 - 0.0007*$B15 - dis_BMI*($C15-21.75)))*AO15</f>
        <v>7.5149738485628975E-6</v>
      </c>
      <c r="BT15">
        <f>(0.93*0.943*(0.9442 - 0.0007*$B15 - dis_BMI*($C15-21.75))-0.19*0.5)*AP15</f>
        <v>6.5338329805543193E-6</v>
      </c>
      <c r="BU15">
        <f>(0.93*0.943*(0.9442 - 0.0007*$B15 - dis_BMI*($C15-21.75)))*AQ15</f>
        <v>2.4183651966822972E-5</v>
      </c>
      <c r="BV15">
        <f>0.962*(0.9442 - 0.0007*$B15 - dis_BMI*($C15-21.75))*AR15</f>
        <v>0.21653497850115086</v>
      </c>
      <c r="BW15">
        <f>0.962*0.959*(0.9442 - 0.0007*$B15 - dis_BMI*($C15-21.75))*AS15</f>
        <v>1.8374798039000478E-2</v>
      </c>
      <c r="BX15">
        <f>0.962*(0.943*(0.9442 - 0.0007*$B15 - dis_BMI*($C15-21.75)) - 0.19*0.5)*AT15</f>
        <v>1.4487805963364373E-3</v>
      </c>
      <c r="BY15">
        <f>0.962*(0.943*(0.9442 - 0.0007*$B15 - dis_BMI*($C15-21.75)))*AU15</f>
        <v>5.2224354577490905E-3</v>
      </c>
      <c r="BZ15">
        <f>0.962*(0.955*(0.9442 - 0.0007*$B15 - dis_BMI*($C15-21.75)) - 0.15*0.5)*AV15</f>
        <v>9.4238119674326269E-4</v>
      </c>
      <c r="CA15">
        <f>0.962*(0.955*(0.9442 - 0.0007*$B15 - dis_BMI*($C15-21.75)))*AW15</f>
        <v>4.2191573027621793E-3</v>
      </c>
      <c r="CB15">
        <f>0.962*(0.955*0.943*(0.9442 - 0.0007*$B15 - dis_BMI*($C15-21.75)) - 0.19*0.5)*AX15</f>
        <v>2.8278829491219404E-5</v>
      </c>
      <c r="CC15">
        <f>0.962*(0.955*0.943*(0.9442 - 0.0007*$B15 - dis_BMI*($C15-21.75)) - 0.15*0.5)*AY15</f>
        <v>2.3696035316386417E-5</v>
      </c>
      <c r="CD15">
        <f>0.962*(0.955*0.943*(0.9442 - 0.0007*$B15 - dis_BMI*($C15-21.75)))*AZ15</f>
        <v>8.5243656895763164E-5</v>
      </c>
      <c r="CE15">
        <f>0.962*(0.93*(0.9442 - 0.0007*$B15 - dis_BMI*($C15-21.75)))*BA15</f>
        <v>3.6526319822352245E-4</v>
      </c>
      <c r="CF15">
        <f>0.962*(0.93*(0.9442 - 0.0007*$B15 - dis_BMI*($C15-21.75)))*BB15</f>
        <v>1.3465089656576465E-3</v>
      </c>
      <c r="CG15">
        <f>0.962*(0.93*0.943*(0.9442 - 0.0007*$B15 - dis_BMI*($C15-21.75)))*BC15</f>
        <v>9.0465855546770959E-6</v>
      </c>
      <c r="CH15">
        <f>0.962*(0.93*0.943*(0.9442 - 0.0007*$B15 - dis_BMI*($C15-21.75))-0.19*0.5)*BD15</f>
        <v>7.838600213181523E-6</v>
      </c>
      <c r="CI15">
        <f>0.962*(0.93*0.943*(0.9442 - 0.0007*$B15 - dis_BMI*($C15-21.75)))*BE15</f>
        <v>2.5857694293494099E-5</v>
      </c>
      <c r="CJ15">
        <f t="shared" si="18"/>
        <v>0</v>
      </c>
      <c r="CK15">
        <f t="shared" si="19"/>
        <v>0.74954270040086735</v>
      </c>
      <c r="CL15">
        <f>CK15/(1+r_)^A15</f>
        <v>0.52571416940667792</v>
      </c>
      <c r="CM15">
        <f>AD15*c_LIR_2</f>
        <v>6272.8093737502431</v>
      </c>
      <c r="CN15">
        <f>AE15*(c_Other+c_LIR_2)</f>
        <v>803.43928798687455</v>
      </c>
      <c r="CO15">
        <f>AF15*(c_Stroke1+c_Stroke2+c_LIR_2)</f>
        <v>88.970181502037704</v>
      </c>
      <c r="CP15">
        <f>AG15*(c_Stroke2 + c_LIR_2)</f>
        <v>163.25616848770437</v>
      </c>
      <c r="CQ15">
        <f>AH15*(c_MI1+c_MI2 + c_LIR_2)</f>
        <v>61.794050671047692</v>
      </c>
      <c r="CR15">
        <f>AI15*(c_MI2+c_LIR_2)</f>
        <v>105.35997137273034</v>
      </c>
      <c r="CS15">
        <f>AJ15*(c_Stroke1+c_Stroke2+c_MI2+c_LIR_2)</f>
        <v>1.3061822355346602</v>
      </c>
      <c r="CT15">
        <f>AK15*(c_Stroke2+c_MI1+c_MI2+c_LIR_2)</f>
        <v>1.2724203592683465</v>
      </c>
      <c r="CU15">
        <f>AL15*(c_Stroke2+c_MI2+c_LIR_2)</f>
        <v>2.1313416009427155</v>
      </c>
      <c r="CV15">
        <f>AM15*(c_HF1+c_LIR_2)</f>
        <v>22.429013762915574</v>
      </c>
      <c r="CW15">
        <f>AN15*(c_HF2+c_LIR_2)</f>
        <v>65.599744318633441</v>
      </c>
      <c r="CX15">
        <f>AO15*(c_Stroke2+c_HF1+c_LIR_2)</f>
        <v>0.45287902183928425</v>
      </c>
      <c r="CY15">
        <f>AP15*(c_Stroke1+c_Stroke2+c_HF2+c_LIR_2)</f>
        <v>0.50935522742735451</v>
      </c>
      <c r="CZ15">
        <f>AQ15*(c_Stroke2+c_HF2+c_LIR_2)</f>
        <v>1.0897462260510338</v>
      </c>
      <c r="DA15">
        <f>AR15*(c_DM+c_LIR_2)</f>
        <v>6089.8576367747382</v>
      </c>
      <c r="DB15">
        <f>AS15*(c_Other+c_DM+c_LIR_2)</f>
        <v>870.74319844215381</v>
      </c>
      <c r="DC15">
        <f>AT15*(c_Stroke1+c_Stroke2+c_DM+c_LIR_2)</f>
        <v>99.262392172537176</v>
      </c>
      <c r="DD15">
        <f>AU15*(c_Stroke2+c_DM+c_LIR_2)</f>
        <v>199.4207846532282</v>
      </c>
      <c r="DE15">
        <f>AV15*(c_MI1+c_MI2+c_DM+c_LIR_2)</f>
        <v>68.966748029378934</v>
      </c>
      <c r="DF15">
        <f>AW15*(c_MI2+c_DM+c_LIR_2)</f>
        <v>140.95584782707851</v>
      </c>
      <c r="DG15">
        <f>AX15*(c_Stroke1+c_Stroke2+c_MI2+c_DM+c_LIR_2)</f>
        <v>2.1770161960638252</v>
      </c>
      <c r="DH15">
        <f>AY15*(c_Stroke2+c_MI1+c_MI2+c_DM+c_LIR_2)</f>
        <v>2.0800622457186129</v>
      </c>
      <c r="DI15">
        <f>AZ15*(c_Stroke2+c_MI2+c_DM+c_LIR_2)</f>
        <v>3.7663381657438664</v>
      </c>
      <c r="DJ15">
        <f>BA15*(c_HF1+c_DM+c_LIR_2)</f>
        <v>23.923703688344673</v>
      </c>
      <c r="DK15">
        <f>BB15*(c_HF2+c_DM+c_LIR_2)</f>
        <v>68.126810865894043</v>
      </c>
      <c r="DL15">
        <f>BC15*(c_Stroke2+c_HF1+c_DM+c_LIR_2)</f>
        <v>0.70967575531057869</v>
      </c>
      <c r="DM15">
        <f>BD15*(c_Stroke1+c_Stroke2+c_HF2+c_DM+c_LIR_2)</f>
        <v>0.77700420943218818</v>
      </c>
      <c r="DN15">
        <f>BE15*(c_Stroke2+c_HF2+c_DM+c_LIR_2)</f>
        <v>1.6198300626504796</v>
      </c>
      <c r="DO15">
        <f t="shared" si="5"/>
        <v>0</v>
      </c>
      <c r="DP15">
        <f t="shared" si="38"/>
        <v>15162.806765611524</v>
      </c>
      <c r="DQ15">
        <f>DP15/(1+r_)^A15</f>
        <v>10634.887592653815</v>
      </c>
    </row>
    <row r="16" spans="1:121" x14ac:dyDescent="0.3">
      <c r="A16">
        <v>13</v>
      </c>
      <c r="B16">
        <v>58</v>
      </c>
      <c r="C16">
        <f t="shared" si="39"/>
        <v>36.1</v>
      </c>
      <c r="D16">
        <f t="shared" si="1"/>
        <v>125</v>
      </c>
      <c r="E16">
        <f t="shared" si="40"/>
        <v>5.5</v>
      </c>
      <c r="F16">
        <v>5.94E-3</v>
      </c>
      <c r="G16">
        <v>9.8399999999999998E-3</v>
      </c>
      <c r="H16">
        <f t="shared" si="3"/>
        <v>6.7200000000000003E-3</v>
      </c>
      <c r="I16">
        <f t="shared" si="20"/>
        <v>3.2286349135090861E-2</v>
      </c>
      <c r="J16">
        <f t="shared" si="21"/>
        <v>0.15203578869621126</v>
      </c>
      <c r="K16">
        <f t="shared" si="22"/>
        <v>0.20623245489448605</v>
      </c>
      <c r="L16">
        <f t="shared" si="23"/>
        <v>7.5101655356593522E-2</v>
      </c>
      <c r="M16">
        <f t="shared" si="24"/>
        <v>0.10357297274501354</v>
      </c>
      <c r="N16">
        <f t="shared" si="25"/>
        <v>0.32846558106663826</v>
      </c>
      <c r="O16">
        <f t="shared" si="26"/>
        <v>0.43029583946656991</v>
      </c>
      <c r="P16">
        <f t="shared" si="27"/>
        <v>0.17787737405826065</v>
      </c>
      <c r="Q16">
        <f t="shared" si="28"/>
        <v>0.24176057992461308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1.2270109939700383E-2</v>
      </c>
      <c r="U16">
        <f t="shared" si="29"/>
        <v>0.30156272521143346</v>
      </c>
      <c r="V16">
        <f t="shared" si="30"/>
        <v>0.39507465775280048</v>
      </c>
      <c r="W16">
        <f t="shared" si="31"/>
        <v>0.15625716948885904</v>
      </c>
      <c r="X16">
        <f t="shared" si="32"/>
        <v>0.21176108077402955</v>
      </c>
      <c r="Y16">
        <f t="shared" si="33"/>
        <v>0.49215608459486782</v>
      </c>
      <c r="Z16">
        <f t="shared" si="34"/>
        <v>0.61611591460072468</v>
      </c>
      <c r="AA16">
        <f t="shared" si="35"/>
        <v>0.28344153557578122</v>
      </c>
      <c r="AB16">
        <f t="shared" si="36"/>
        <v>0.37558668203833379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2.2695010281079724E-2</v>
      </c>
      <c r="AD16">
        <f t="shared" si="37"/>
        <v>0.50687889603297087</v>
      </c>
      <c r="AE16">
        <f t="shared" si="6"/>
        <v>3.2674095723493071E-2</v>
      </c>
      <c r="AF16">
        <f t="shared" si="7"/>
        <v>2.5774527428709011E-3</v>
      </c>
      <c r="AG16">
        <f t="shared" si="8"/>
        <v>9.4968167578821788E-3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1.5293079443272086E-3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7.3360903956991306E-3</v>
      </c>
      <c r="AJ16">
        <f t="shared" si="11"/>
        <v>3.7760953551802166E-5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3.0255377859281019E-5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1.1537777276501112E-4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5.9149421865563952E-4</v>
      </c>
      <c r="AN16">
        <f t="shared" si="15"/>
        <v>2.8386241334041355E-3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1.1411145068600439E-5</v>
      </c>
      <c r="AP16">
        <f>AM15*T15*p_Stroke*p_Stroke_rec*(1-I15) + AN15*T15*p_Stroke*p_Stroke_rec*(1-I15) + AO15*(p_recur_Stroke*p_Stroke_rec)*(1-I15) + AP15*(p_recur_Stroke*p_Stroke_rec)*(1-I15) + AQ15*(p_recur_Stroke*p_Stroke_rec)*(1-I15)</f>
        <v>1.2715067283289909E-5</v>
      </c>
      <c r="AQ16">
        <f>AO15*(1-p_recur_Stroke-H15*rr_Stroke*rr_HF)*(1-I15) + AP15*(1-p_recur_Stroke-H15*rr_Stroke*rr_HF)*(1-I15) + AQ15*(1-p_recur_Stroke-H15*rr_Stroke*rr_HF)*(1-I15)</f>
        <v>4.2585689063682876E-5</v>
      </c>
      <c r="AR16">
        <f>AR15*(1-AC15-H15*rr_DM) + AD15*(1-T15-H15)*I15</f>
        <v>0.27195552798306072</v>
      </c>
      <c r="AS16">
        <f>AR15*AC15*p_Other + AD15*T15*p_Other*I15 + AE15*(1-T15*p_Stroke-T15*p_MI-H15*rr_Other)*I15 + AS15*(1-AC15*p_Stroke-AC15*p_MI-H15*rr_Other*rr_DM)</f>
        <v>2.693037162209426E-2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2.3779919211632289E-3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7.8448148255567812E-3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1.4588929145635432E-3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6.1101451563115392E-3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5.33954935450787E-5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4.3784760212402387E-5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1.4695097140002815E-4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5.3394403762488255E-4</v>
      </c>
      <c r="BB16">
        <f>AM15*(1-T15*p_Stroke - H15*rr_HF)*I15 + AN15*(1-T15*p_Stroke - H15*rr_HF)*I15 + BA15*(1-AC15*p_Stroke - H15*rr_HF*rr_DM) + BB15*(1-AC15*p_Stroke - H15*rr_HF*rr_DM)</f>
        <v>2.2868464228710237E-3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1.571712842486029E-5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1.7410676168597795E-5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5.2326206089783572E-5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5.7998995926018523E-2</v>
      </c>
      <c r="BG16">
        <f t="shared" si="17"/>
        <v>0.94200000000000028</v>
      </c>
      <c r="BH16">
        <f>(0.9442 - 0.0007*$B16 - dis_BMI*($C16-21.75))*AD16</f>
        <v>0.43401252033375115</v>
      </c>
      <c r="BI16">
        <f>0.959*(0.9442 - 0.0007*$B16 - dis_BMI*($C16-21.75))*AE16</f>
        <v>2.6829972817959069E-2</v>
      </c>
      <c r="BJ16">
        <f>(0.943*(0.9442 - 0.0007*$B16 - dis_BMI*($C16-21.75)) - 0.19*0.5)*AF16</f>
        <v>1.836277944889048E-3</v>
      </c>
      <c r="BK16">
        <f>(0.943*(0.9442 - 0.0007*$B16 - dis_BMI*($C16-21.75)))*AG16</f>
        <v>7.6681005585562158E-3</v>
      </c>
      <c r="BL16">
        <f>(0.955*(0.9442 - 0.0007*$B16 - dis_BMI*($C16-21.75)) - 0.15*0.5)*AH16</f>
        <v>1.1358383823303398E-3</v>
      </c>
      <c r="BM16">
        <f>(0.955*(0.9442 - 0.0007*$B16 - dis_BMI*($C16-21.75)))*AI16</f>
        <v>5.9988236384264588E-3</v>
      </c>
      <c r="BN16">
        <f>(0.955*0.943*(0.9442 - 0.0007*$B16 - dis_BMI*($C16-21.75)) - 0.19*0.5)*AJ16</f>
        <v>2.5530342253781144E-5</v>
      </c>
      <c r="BO16">
        <f>(0.955*0.943*(0.9442 - 0.0007*$B16 - dis_BMI*($C16-21.75)) - 0.15*0.5)*AK16</f>
        <v>2.1060897973210535E-5</v>
      </c>
      <c r="BP16">
        <f>(0.955*0.943*(0.9442 - 0.0007*$B16 - dis_BMI*($C16-21.75)))*AL16</f>
        <v>8.8968294214247521E-5</v>
      </c>
      <c r="BQ16">
        <f>(0.93*(0.9442 - 0.0007*$B16 - dis_BMI*($C16-21.75)))*AM16</f>
        <v>4.7101148954510223E-4</v>
      </c>
      <c r="BR16">
        <f>(0.93*(0.9442 - 0.0007*$B16 - dis_BMI*($C16-21.75)))*AN16</f>
        <v>2.2604186806291604E-3</v>
      </c>
      <c r="BS16">
        <f>(0.93*0.943*(0.9442 - 0.0007*$B16 - dis_BMI*($C16-21.75)))*AO16</f>
        <v>8.5688376850652447E-6</v>
      </c>
      <c r="BT16">
        <f>(0.93*0.943*(0.9442 - 0.0007*$B16 - dis_BMI*($C16-21.75))-0.19*0.5)*AP16</f>
        <v>8.3400453492645587E-6</v>
      </c>
      <c r="BU16">
        <f>(0.93*0.943*(0.9442 - 0.0007*$B16 - dis_BMI*($C16-21.75)))*AQ16</f>
        <v>3.1978373344622847E-5</v>
      </c>
      <c r="BV16">
        <f>0.962*(0.9442 - 0.0007*$B16 - dis_BMI*($C16-21.75))*AR16</f>
        <v>0.2240118597376573</v>
      </c>
      <c r="BW16">
        <f>0.962*0.959*(0.9442 - 0.0007*$B16 - dis_BMI*($C16-21.75))*AS16</f>
        <v>2.1273261277490064E-2</v>
      </c>
      <c r="BX16">
        <f>0.962*(0.943*(0.9442 - 0.0007*$B16 - dis_BMI*($C16-21.75)) - 0.19*0.5)*AT16</f>
        <v>1.6297956473083765E-3</v>
      </c>
      <c r="BY16">
        <f>0.962*(0.943*(0.9442 - 0.0007*$B16 - dis_BMI*($C16-21.75)))*AU16</f>
        <v>6.0935097434262134E-3</v>
      </c>
      <c r="BZ16">
        <f>0.962*(0.955*(0.9442 - 0.0007*$B16 - dis_BMI*($C16-21.75)) - 0.15*0.5)*AV16</f>
        <v>1.0423656297591812E-3</v>
      </c>
      <c r="CA16">
        <f>0.962*(0.955*(0.9442 - 0.0007*$B16 - dis_BMI*($C16-21.75)))*AW16</f>
        <v>4.8064897424179142E-3</v>
      </c>
      <c r="CB16">
        <f>0.962*(0.955*0.943*(0.9442 - 0.0007*$B16 - dis_BMI*($C16-21.75)) - 0.19*0.5)*AX16</f>
        <v>3.4729086612333373E-5</v>
      </c>
      <c r="CC16">
        <f>0.962*(0.955*0.943*(0.9442 - 0.0007*$B16 - dis_BMI*($C16-21.75)) - 0.15*0.5)*AY16</f>
        <v>2.9320566074946704E-5</v>
      </c>
      <c r="CD16">
        <f>0.962*(0.955*0.943*(0.9442 - 0.0007*$B16 - dis_BMI*($C16-21.75)))*AZ16</f>
        <v>1.0900857090019119E-4</v>
      </c>
      <c r="CE16">
        <f>0.962*(0.93*(0.9442 - 0.0007*$B16 - dis_BMI*($C16-21.75)))*BA16</f>
        <v>4.090268431337765E-4</v>
      </c>
      <c r="CF16">
        <f>0.962*(0.93*(0.9442 - 0.0007*$B16 - dis_BMI*($C16-21.75)))*BB16</f>
        <v>1.7518344754621042E-3</v>
      </c>
      <c r="CG16">
        <f>0.962*(0.93*0.943*(0.9442 - 0.0007*$B16 - dis_BMI*($C16-21.75)))*BC16</f>
        <v>1.13537927806417E-5</v>
      </c>
      <c r="CH16">
        <f>0.962*(0.93*0.943*(0.9442 - 0.0007*$B16 - dis_BMI*($C16-21.75))-0.19*0.5)*BD16</f>
        <v>1.0986021874721736E-5</v>
      </c>
      <c r="CI16">
        <f>0.962*(0.93*0.943*(0.9442 - 0.0007*$B16 - dis_BMI*($C16-21.75)))*BE16</f>
        <v>3.7799583033300528E-5</v>
      </c>
      <c r="CJ16">
        <f t="shared" si="18"/>
        <v>0</v>
      </c>
      <c r="CK16">
        <f t="shared" si="19"/>
        <v>0.74164875135483799</v>
      </c>
      <c r="CL16">
        <f>CK16/(1+r_)^A16</f>
        <v>0.50502671103934416</v>
      </c>
      <c r="CM16">
        <f>AD16*c_LIR_2</f>
        <v>5960.8958173477376</v>
      </c>
      <c r="CN16">
        <f>AE16*(c_Other+c_LIR_2)</f>
        <v>850.80077854403612</v>
      </c>
      <c r="CO16">
        <f>AF16*(c_Stroke1+c_Stroke2+c_LIR_2)</f>
        <v>91.695458780375176</v>
      </c>
      <c r="CP16">
        <f>AG16*(c_Stroke2 + c_LIR_2)</f>
        <v>173.4118739989286</v>
      </c>
      <c r="CQ16">
        <f>AH16*(c_MI1+c_MI2 + c_LIR_2)</f>
        <v>62.565517310370431</v>
      </c>
      <c r="CR16">
        <f>AI16*(c_MI2+c_LIR_2)</f>
        <v>109.13901681681597</v>
      </c>
      <c r="CS16">
        <f>AJ16*(c_Stroke1+c_Stroke2+c_MI2+c_LIR_2)</f>
        <v>1.4610845757798812</v>
      </c>
      <c r="CT16">
        <f>AK16*(c_Stroke2+c_MI1+c_MI2+c_LIR_2)</f>
        <v>1.4344377196863725</v>
      </c>
      <c r="CU16">
        <f>AL16*(c_Stroke2+c_MI2+c_LIR_2)</f>
        <v>2.4664306483976426</v>
      </c>
      <c r="CV16">
        <f>AM16*(c_HF1+c_LIR_2)</f>
        <v>22.944060741652258</v>
      </c>
      <c r="CW16">
        <f>AN16*(c_HF2+c_LIR_2)</f>
        <v>77.678949410604162</v>
      </c>
      <c r="CX16">
        <f>AO16*(c_Stroke2+c_HF1+c_LIR_2)</f>
        <v>0.51681076015691385</v>
      </c>
      <c r="CY16">
        <f>AP16*(c_Stroke1+c_Stroke2+c_HF2+c_LIR_2)</f>
        <v>0.65076985862606085</v>
      </c>
      <c r="CZ16">
        <f>AQ16*(c_Stroke2+c_HF2+c_LIR_2)</f>
        <v>1.4421643601416205</v>
      </c>
      <c r="DA16">
        <f>AR16*(c_DM+c_LIR_2)</f>
        <v>6305.2889162872625</v>
      </c>
      <c r="DB16">
        <f>AS16*(c_Other+c_DM+c_LIR_2)</f>
        <v>1008.9194424501393</v>
      </c>
      <c r="DC16">
        <f>AT16*(c_Stroke1+c_Stroke2+c_DM+c_LIR_2)</f>
        <v>111.76799828659293</v>
      </c>
      <c r="DD16">
        <f>AU16*(c_Stroke2+c_DM+c_LIR_2)</f>
        <v>232.87332809665304</v>
      </c>
      <c r="DE16">
        <f>AV16*(c_MI1+c_MI2+c_DM+c_LIR_2)</f>
        <v>76.352619576597604</v>
      </c>
      <c r="DF16">
        <f>AW16*(c_MI2+c_DM+c_LIR_2)</f>
        <v>160.70903790130612</v>
      </c>
      <c r="DG16">
        <f>AX16*(c_Stroke1+c_Stroke2+c_MI2+c_DM+c_LIR_2)</f>
        <v>2.6760753454922543</v>
      </c>
      <c r="DH16">
        <f>AY16*(c_Stroke2+c_MI1+c_MI2+c_DM+c_LIR_2)</f>
        <v>2.576120151856907</v>
      </c>
      <c r="DI16">
        <f>AZ16*(c_Stroke2+c_MI2+c_DM+c_LIR_2)</f>
        <v>4.8202857638637235</v>
      </c>
      <c r="DJ16">
        <f>BA16*(c_HF1+c_DM+c_LIR_2)</f>
        <v>26.811999849333478</v>
      </c>
      <c r="DK16">
        <f>BB16*(c_HF2+c_DM+c_LIR_2)</f>
        <v>88.706772743167008</v>
      </c>
      <c r="DL16">
        <f>BC16*(c_Stroke2+c_HF1+c_DM+c_LIR_2)</f>
        <v>0.89139693861595137</v>
      </c>
      <c r="DM16">
        <f>BD16*(c_Stroke1+c_Stroke2+c_HF2+c_DM+c_LIR_2)</f>
        <v>1.0900127922112335</v>
      </c>
      <c r="DN16">
        <f>BE16*(c_Stroke2+c_HF2+c_DM+c_LIR_2)</f>
        <v>2.369853873806298</v>
      </c>
      <c r="DO16">
        <f t="shared" si="5"/>
        <v>0</v>
      </c>
      <c r="DP16">
        <f t="shared" si="38"/>
        <v>15382.957030930205</v>
      </c>
      <c r="DQ16">
        <f>DP16/(1+r_)^A16</f>
        <v>10475.045203269401</v>
      </c>
    </row>
    <row r="17" spans="1:121" x14ac:dyDescent="0.3">
      <c r="A17">
        <v>14</v>
      </c>
      <c r="B17">
        <v>59</v>
      </c>
      <c r="C17">
        <f t="shared" si="39"/>
        <v>36.1</v>
      </c>
      <c r="D17">
        <f t="shared" si="1"/>
        <v>125</v>
      </c>
      <c r="E17">
        <f t="shared" si="40"/>
        <v>5.5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0"/>
        <v>3.2286349135090861E-2</v>
      </c>
      <c r="J17">
        <f t="shared" si="21"/>
        <v>0.15866822001604952</v>
      </c>
      <c r="K17">
        <f t="shared" si="22"/>
        <v>0.21491380373609659</v>
      </c>
      <c r="L17">
        <f t="shared" si="23"/>
        <v>7.8533388300632723E-2</v>
      </c>
      <c r="M17">
        <f t="shared" si="24"/>
        <v>0.10822767418973722</v>
      </c>
      <c r="N17">
        <f t="shared" si="25"/>
        <v>0.34292270335405128</v>
      </c>
      <c r="O17">
        <f t="shared" si="26"/>
        <v>0.44754859702175143</v>
      </c>
      <c r="P17">
        <f t="shared" si="27"/>
        <v>0.18663150476602919</v>
      </c>
      <c r="Q17">
        <f t="shared" si="28"/>
        <v>0.25314375888204088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1.2824387763107849E-2</v>
      </c>
      <c r="U17">
        <f t="shared" si="29"/>
        <v>0.31339699576817048</v>
      </c>
      <c r="V17">
        <f t="shared" si="30"/>
        <v>0.40938055894873637</v>
      </c>
      <c r="W17">
        <f t="shared" si="31"/>
        <v>0.16305548653289126</v>
      </c>
      <c r="X17">
        <f t="shared" si="32"/>
        <v>0.22064137234008074</v>
      </c>
      <c r="Y17">
        <f t="shared" si="33"/>
        <v>0.51061962914559267</v>
      </c>
      <c r="Z17">
        <f t="shared" si="34"/>
        <v>0.63568755490088846</v>
      </c>
      <c r="AA17">
        <f t="shared" si="35"/>
        <v>0.29637669701103975</v>
      </c>
      <c r="AB17">
        <f t="shared" si="36"/>
        <v>0.39145399755404287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2.3631509752846239E-2</v>
      </c>
      <c r="AD17">
        <f t="shared" si="37"/>
        <v>0.48119871932228769</v>
      </c>
      <c r="AE17">
        <f t="shared" si="6"/>
        <v>3.4351128987221945E-2</v>
      </c>
      <c r="AF17">
        <f t="shared" si="7"/>
        <v>2.6456039020542059E-3</v>
      </c>
      <c r="AG17">
        <f t="shared" si="8"/>
        <v>1.0004996181254937E-2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1.5445155340010964E-3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7.5621948953461561E-3</v>
      </c>
      <c r="AJ17">
        <f t="shared" si="11"/>
        <v>4.1867582161256285E-5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3.3751394819229484E-5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1.3162583563038684E-4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6.0299888020826347E-4</v>
      </c>
      <c r="AN17">
        <f t="shared" si="15"/>
        <v>3.2694074170872972E-3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1.2866903139682823E-5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1.5745475031649286E-5</v>
      </c>
      <c r="AQ17">
        <f>AO16*(1-p_recur_Stroke-H16*rr_Stroke*rr_HF)*(1-I16) + AP16*(1-p_recur_Stroke-H16*rr_Stroke*rr_HF)*(1-I16) + AQ16*(1-p_recur_Stroke-H16*rr_Stroke*rr_HF)*(1-I16)</f>
        <v>5.4339700266568225E-5</v>
      </c>
      <c r="AR17">
        <f>AR16*(1-AC16-H16*rr_DM) + AD16*(1-T16-H16)*I16</f>
        <v>0.27973631290813877</v>
      </c>
      <c r="AS17">
        <f>AR16*AC16*p_Other + AD16*T16*p_Other*I16 + AE16*(1-T16*p_Stroke-T16*p_MI-H16*rr_Other)*I16 + AS16*(1-AC16*p_Stroke-AC16*p_MI-H16*rr_Other*rr_DM)</f>
        <v>3.0800607864377164E-2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2.6521936138398233E-3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9.0315547193088562E-3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1.6020873571758825E-3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6.8939046978405555E-3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6.469745820860636E-5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5.3334249220301678E-5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1.8423857000486883E-4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5.931213980873689E-4</v>
      </c>
      <c r="BB17">
        <f>AM16*(1-T16*p_Stroke - H16*rr_HF)*I16 + AN16*(1-T16*p_Stroke - H16*rr_HF)*I16 + BA16*(1-AC16*p_Stroke - H16*rr_HF*rr_DM) + BB16*(1-AC16*p_Stroke - H16*rr_HF*rr_DM)</f>
        <v>2.8754710374889287E-3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1.9390240832522675E-5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2.3505628475933716E-5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7.3250524274319276E-5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6.5926567722215862E-2</v>
      </c>
      <c r="BG17">
        <f t="shared" si="17"/>
        <v>0.94200000000000039</v>
      </c>
      <c r="BH17">
        <f>(0.9442 - 0.0007*$B17 - dis_BMI*($C17-21.75))*AD17</f>
        <v>0.41168715832258662</v>
      </c>
      <c r="BI17">
        <f>0.959*(0.9442 - 0.0007*$B17 - dis_BMI*($C17-21.75))*AE17</f>
        <v>2.8183990246748513E-2</v>
      </c>
      <c r="BJ17">
        <f>(0.943*(0.9442 - 0.0007*$B17 - dis_BMI*($C17-21.75)) - 0.19*0.5)*AF17</f>
        <v>1.8830851278359871E-3</v>
      </c>
      <c r="BK17">
        <f>(0.943*(0.9442 - 0.0007*$B17 - dis_BMI*($C17-21.75)))*AG17</f>
        <v>8.0718201637919249E-3</v>
      </c>
      <c r="BL17">
        <f>(0.955*(0.9442 - 0.0007*$B17 - dis_BMI*($C17-21.75)) - 0.15*0.5)*AH17</f>
        <v>1.1461007630727224E-3</v>
      </c>
      <c r="BM17">
        <f>(0.955*(0.9442 - 0.0007*$B17 - dis_BMI*($C17-21.75)))*AI17</f>
        <v>6.1786571203106752E-3</v>
      </c>
      <c r="BN17">
        <f>(0.955*0.943*(0.9442 - 0.0007*$B17 - dis_BMI*($C17-21.75)) - 0.19*0.5)*AJ17</f>
        <v>2.8280458291145248E-5</v>
      </c>
      <c r="BO17">
        <f>(0.955*0.943*(0.9442 - 0.0007*$B17 - dis_BMI*($C17-21.75)) - 0.15*0.5)*AK17</f>
        <v>2.3473213609064258E-5</v>
      </c>
      <c r="BP17">
        <f>(0.955*0.943*(0.9442 - 0.0007*$B17 - dis_BMI*($C17-21.75)))*AL17</f>
        <v>1.0141426867139197E-4</v>
      </c>
      <c r="BQ17">
        <f>(0.93*(0.9442 - 0.0007*$B17 - dis_BMI*($C17-21.75)))*AM17</f>
        <v>4.7978018958003431E-4</v>
      </c>
      <c r="BR17">
        <f>(0.93*(0.9442 - 0.0007*$B17 - dis_BMI*($C17-21.75)))*AN17</f>
        <v>2.6013264068463155E-3</v>
      </c>
      <c r="BS17">
        <f>(0.93*0.943*(0.9442 - 0.0007*$B17 - dis_BMI*($C17-21.75)))*AO17</f>
        <v>9.6540941629567621E-6</v>
      </c>
      <c r="BT17">
        <f>(0.93*0.943*(0.9442 - 0.0007*$B17 - dis_BMI*($C17-21.75))-0.19*0.5)*AP17</f>
        <v>1.0318079218699204E-5</v>
      </c>
      <c r="BU17">
        <f>(0.93*0.943*(0.9442 - 0.0007*$B17 - dis_BMI*($C17-21.75)))*AQ17</f>
        <v>4.0771316723631452E-5</v>
      </c>
      <c r="BV17">
        <f>0.962*(0.9442 - 0.0007*$B17 - dis_BMI*($C17-21.75))*AR17</f>
        <v>0.23023257768156782</v>
      </c>
      <c r="BW17">
        <f>0.962*0.959*(0.9442 - 0.0007*$B17 - dis_BMI*($C17-21.75))*AS17</f>
        <v>2.4310608211791804E-2</v>
      </c>
      <c r="BX17">
        <f>0.962*(0.943*(0.9442 - 0.0007*$B17 - dis_BMI*($C17-21.75)) - 0.19*0.5)*AT17</f>
        <v>1.8160400751295477E-3</v>
      </c>
      <c r="BY17">
        <f>0.962*(0.943*(0.9442 - 0.0007*$B17 - dis_BMI*($C17-21.75)))*AU17</f>
        <v>7.0095823101203698E-3</v>
      </c>
      <c r="BZ17">
        <f>0.962*(0.955*(0.9442 - 0.0007*$B17 - dis_BMI*($C17-21.75)) - 0.15*0.5)*AV17</f>
        <v>1.1436464503370837E-3</v>
      </c>
      <c r="CA17">
        <f>0.962*(0.955*(0.9442 - 0.0007*$B17 - dis_BMI*($C17-21.75)))*AW17</f>
        <v>5.418593560190697E-3</v>
      </c>
      <c r="CB17">
        <f>0.962*(0.955*0.943*(0.9442 - 0.0007*$B17 - dis_BMI*($C17-21.75)) - 0.19*0.5)*AX17</f>
        <v>4.2040788465706527E-5</v>
      </c>
      <c r="CC17">
        <f>0.962*(0.955*0.943*(0.9442 - 0.0007*$B17 - dis_BMI*($C17-21.75)) - 0.15*0.5)*AY17</f>
        <v>3.5683059457003811E-5</v>
      </c>
      <c r="CD17">
        <f>0.962*(0.955*0.943*(0.9442 - 0.0007*$B17 - dis_BMI*($C17-21.75)))*AZ17</f>
        <v>1.3655686817238508E-4</v>
      </c>
      <c r="CE17">
        <f>0.962*(0.93*(0.9442 - 0.0007*$B17 - dis_BMI*($C17-21.75)))*BA17</f>
        <v>4.5398810134553987E-4</v>
      </c>
      <c r="CF17">
        <f>0.962*(0.93*(0.9442 - 0.0007*$B17 - dis_BMI*($C17-21.75)))*BB17</f>
        <v>2.2009484752923956E-3</v>
      </c>
      <c r="CG17">
        <f>0.962*(0.93*0.943*(0.9442 - 0.0007*$B17 - dis_BMI*($C17-21.75)))*BC17</f>
        <v>1.3995737037320853E-5</v>
      </c>
      <c r="CH17">
        <f>0.962*(0.93*0.943*(0.9442 - 0.0007*$B17 - dis_BMI*($C17-21.75))-0.19*0.5)*BD17</f>
        <v>1.4818014993921519E-5</v>
      </c>
      <c r="CI17">
        <f>0.962*(0.93*0.943*(0.9442 - 0.0007*$B17 - dis_BMI*($C17-21.75)))*BE17</f>
        <v>5.2871704093005961E-5</v>
      </c>
      <c r="CJ17">
        <f t="shared" si="18"/>
        <v>0</v>
      </c>
      <c r="CK17">
        <f t="shared" si="19"/>
        <v>0.73332778080944416</v>
      </c>
      <c r="CL17">
        <f>CK17/(1+r_)^A17</f>
        <v>0.48481605339457706</v>
      </c>
      <c r="CM17">
        <f>AD17*c_LIR_2</f>
        <v>5658.8969392301033</v>
      </c>
      <c r="CN17">
        <f>AE17*(c_Other+c_LIR_2)</f>
        <v>894.46904769827222</v>
      </c>
      <c r="CO17">
        <f>AF17*(c_Stroke1+c_Stroke2+c_LIR_2)</f>
        <v>94.120004419480424</v>
      </c>
      <c r="CP17">
        <f>AG17*(c_Stroke2 + c_LIR_2)</f>
        <v>182.69123026971513</v>
      </c>
      <c r="CQ17">
        <f>AH17*(c_MI1+c_MI2 + c_LIR_2)</f>
        <v>63.187675011518856</v>
      </c>
      <c r="CR17">
        <f>AI17*(c_MI2+c_LIR_2)</f>
        <v>112.50277345806477</v>
      </c>
      <c r="CS17">
        <f>AJ17*(c_Stroke1+c_Stroke2+c_MI2+c_LIR_2)</f>
        <v>1.6199823565654894</v>
      </c>
      <c r="CT17">
        <f>AK17*(c_Stroke2+c_MI1+c_MI2+c_LIR_2)</f>
        <v>1.600187379774489</v>
      </c>
      <c r="CU17">
        <f>AL17*(c_Stroke2+c_MI2+c_LIR_2)</f>
        <v>2.8137654882707794</v>
      </c>
      <c r="CV17">
        <f>AM17*(c_HF1+c_LIR_2)</f>
        <v>23.390326563278538</v>
      </c>
      <c r="CW17">
        <f>AN17*(c_HF2+c_LIR_2)</f>
        <v>89.467333968593891</v>
      </c>
      <c r="CX17">
        <f>AO17*(c_Stroke2+c_HF1+c_LIR_2)</f>
        <v>0.58274204319623502</v>
      </c>
      <c r="CY17">
        <f>AP17*(c_Stroke1+c_Stroke2+c_HF2+c_LIR_2)</f>
        <v>0.80586915759484212</v>
      </c>
      <c r="CZ17">
        <f>AQ17*(c_Stroke2+c_HF2+c_LIR_2)</f>
        <v>1.8402139495273329</v>
      </c>
      <c r="DA17">
        <f>AR17*(c_DM+c_LIR_2)</f>
        <v>6485.6864147751976</v>
      </c>
      <c r="DB17">
        <f>AS17*(c_Other+c_DM+c_LIR_2)</f>
        <v>1153.913973031026</v>
      </c>
      <c r="DC17">
        <f>AT17*(c_Stroke1+c_Stroke2+c_DM+c_LIR_2)</f>
        <v>124.65575204408553</v>
      </c>
      <c r="DD17">
        <f>AU17*(c_Stroke2+c_DM+c_LIR_2)</f>
        <v>268.10170184268338</v>
      </c>
      <c r="DE17">
        <f>AV17*(c_MI1+c_MI2+c_DM+c_LIR_2)</f>
        <v>83.846843925156989</v>
      </c>
      <c r="DF17">
        <f>AW17*(c_MI2+c_DM+c_LIR_2)</f>
        <v>181.32348136260228</v>
      </c>
      <c r="DG17">
        <f>AX17*(c_Stroke1+c_Stroke2+c_MI2+c_DM+c_LIR_2)</f>
        <v>3.2425072104989336</v>
      </c>
      <c r="DH17">
        <f>AY17*(c_Stroke2+c_MI1+c_MI2+c_DM+c_LIR_2)</f>
        <v>3.1379738871256695</v>
      </c>
      <c r="DI17">
        <f>AZ17*(c_Stroke2+c_MI2+c_DM+c_LIR_2)</f>
        <v>6.0433935732997073</v>
      </c>
      <c r="DJ17">
        <f>BA17*(c_HF1+c_DM+c_LIR_2)</f>
        <v>29.783591004957231</v>
      </c>
      <c r="DK17">
        <f>BB17*(c_HF2+c_DM+c_LIR_2)</f>
        <v>111.53952154419555</v>
      </c>
      <c r="DL17">
        <f>BC17*(c_Stroke2+c_HF1+c_DM+c_LIR_2)</f>
        <v>1.0997175088165236</v>
      </c>
      <c r="DM17">
        <f>BD17*(c_Stroke1+c_Stroke2+c_HF2+c_DM+c_LIR_2)</f>
        <v>1.4715933763643063</v>
      </c>
      <c r="DN17">
        <f>BE17*(c_Stroke2+c_HF2+c_DM+c_LIR_2)</f>
        <v>3.3175162443839201</v>
      </c>
      <c r="DO17">
        <f t="shared" si="5"/>
        <v>0</v>
      </c>
      <c r="DP17">
        <f t="shared" si="38"/>
        <v>15585.15207232435</v>
      </c>
      <c r="DQ17">
        <f>DP17/(1+r_)^A17</f>
        <v>10303.621541404582</v>
      </c>
    </row>
    <row r="18" spans="1:121" x14ac:dyDescent="0.3">
      <c r="A18">
        <v>15</v>
      </c>
      <c r="B18">
        <v>60</v>
      </c>
      <c r="C18">
        <f t="shared" si="39"/>
        <v>36.1</v>
      </c>
      <c r="D18">
        <f t="shared" si="1"/>
        <v>125</v>
      </c>
      <c r="E18">
        <f t="shared" si="40"/>
        <v>5.5</v>
      </c>
      <c r="F18">
        <v>6.8700000000000002E-3</v>
      </c>
      <c r="G18">
        <v>1.142E-2</v>
      </c>
      <c r="H18">
        <f t="shared" si="3"/>
        <v>7.7800000000000005E-3</v>
      </c>
      <c r="I18">
        <f t="shared" si="20"/>
        <v>3.2286349135090861E-2</v>
      </c>
      <c r="J18">
        <f t="shared" si="21"/>
        <v>0.16544277662680862</v>
      </c>
      <c r="K18">
        <f t="shared" si="22"/>
        <v>0.22375293138894403</v>
      </c>
      <c r="L18">
        <f t="shared" si="23"/>
        <v>8.2053398776356312E-2</v>
      </c>
      <c r="M18">
        <f t="shared" si="24"/>
        <v>0.11299490517291644</v>
      </c>
      <c r="N18">
        <f t="shared" si="25"/>
        <v>0.3575785849080575</v>
      </c>
      <c r="O18">
        <f t="shared" si="26"/>
        <v>0.4648792363818024</v>
      </c>
      <c r="P18">
        <f t="shared" si="27"/>
        <v>0.19560646956658612</v>
      </c>
      <c r="Q18">
        <f t="shared" si="28"/>
        <v>0.26476167798452221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1.3390787867110385E-2</v>
      </c>
      <c r="U18">
        <f t="shared" si="29"/>
        <v>0.32537209187436722</v>
      </c>
      <c r="V18">
        <f t="shared" si="30"/>
        <v>0.42375651438864093</v>
      </c>
      <c r="W18">
        <f t="shared" si="31"/>
        <v>0.16999780937594433</v>
      </c>
      <c r="X18">
        <f t="shared" si="32"/>
        <v>0.22968000552811185</v>
      </c>
      <c r="Y18">
        <f t="shared" si="33"/>
        <v>0.52904828147687832</v>
      </c>
      <c r="Z18">
        <f t="shared" si="34"/>
        <v>0.65492042364804792</v>
      </c>
      <c r="AA18">
        <f t="shared" si="35"/>
        <v>0.30953713178183784</v>
      </c>
      <c r="AB18">
        <f t="shared" si="36"/>
        <v>0.40747447264167547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2.4581272751108049E-2</v>
      </c>
      <c r="AD18">
        <f t="shared" si="37"/>
        <v>0.45632119775661872</v>
      </c>
      <c r="AE18">
        <f t="shared" si="6"/>
        <v>3.5877702841588185E-2</v>
      </c>
      <c r="AF18">
        <f t="shared" si="7"/>
        <v>2.7053820604032884E-3</v>
      </c>
      <c r="AG18">
        <f t="shared" si="8"/>
        <v>1.046129105626397E-2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1.5561744724426182E-3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7.7597260986618996E-3</v>
      </c>
      <c r="AJ18">
        <f t="shared" si="11"/>
        <v>4.6055587847184781E-5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3.7307352210164388E-5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1.4823221653460989E-4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6.1278224879874688E-4</v>
      </c>
      <c r="AN18">
        <f t="shared" si="15"/>
        <v>3.6869759262396352E-3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1.435838570713107E-5</v>
      </c>
      <c r="AP18">
        <f>AM17*T17*p_Stroke*p_Stroke_rec*(1-I17) + AN17*T17*p_Stroke*p_Stroke_rec*(1-I17) + AO17*(p_recur_Stroke*p_Stroke_rec)*(1-I17) + AP17*(p_recur_Stroke*p_Stroke_rec)*(1-I17) + AQ17*(p_recur_Stroke*p_Stroke_rec)*(1-I17)</f>
        <v>1.9031277131460746E-5</v>
      </c>
      <c r="AQ18">
        <f>AO17*(1-p_recur_Stroke-H17*rr_Stroke*rr_HF)*(1-I17) + AP17*(1-p_recur_Stroke-H17*rr_Stroke*rr_HF)*(1-I17) + AQ17*(1-p_recur_Stroke-H17*rr_Stroke*rr_HF)*(1-I17)</f>
        <v>6.7332059205219447E-5</v>
      </c>
      <c r="AR18">
        <f>AR17*(1-AC17-H17*rr_DM) + AD17*(1-T17-H17)*I17</f>
        <v>0.28602241241214399</v>
      </c>
      <c r="AS18">
        <f>AR17*AC17*p_Other + AD17*T17*p_Other*I17 + AE17*(1-T17*p_Stroke-T17*p_MI-H17*rr_Other)*I17 + AS17*(1-AC17*p_Stroke-AC17*p_MI-H17*rr_Other*rr_DM)</f>
        <v>3.4818923036915639E-2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2.932964274609413E-3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1.026566647935678E-2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1.7465983958308744E-3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7.7040736666417224E-3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7.7390807890693E-5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6.403297140648799E-5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2.2673556545768812E-4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6.5363374311519235E-4</v>
      </c>
      <c r="BB18">
        <f>AM17*(1-T17*p_Stroke - H17*rr_HF)*I17 + AN17*(1-T17*p_Stroke - H17*rr_HF)*I17 + BA17*(1-AC17*p_Stroke - H17*rr_HF*rr_DM) + BB17*(1-AC17*p_Stroke - H17*rr_HF*rr_DM)</f>
        <v>3.5202186797242251E-3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2.3551101856531021E-5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3.080195742465203E-5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9.8949494612151276E-5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7.4500498073361204E-2</v>
      </c>
      <c r="BG18">
        <f t="shared" si="17"/>
        <v>0.94200000000000028</v>
      </c>
      <c r="BH18">
        <f>(0.9442 - 0.0007*$B18 - dis_BMI*($C18-21.75))*AD18</f>
        <v>0.39008389429625673</v>
      </c>
      <c r="BI18">
        <f>0.959*(0.9442 - 0.0007*$B18 - dis_BMI*($C18-21.75))*AE18</f>
        <v>2.9412410015307134E-2</v>
      </c>
      <c r="BJ18">
        <f>(0.943*(0.9442 - 0.0007*$B18 - dis_BMI*($C18-21.75)) - 0.19*0.5)*AF18</f>
        <v>1.9238481390238859E-3</v>
      </c>
      <c r="BK18">
        <f>(0.943*(0.9442 - 0.0007*$B18 - dis_BMI*($C18-21.75)))*AG18</f>
        <v>8.4330437588714304E-3</v>
      </c>
      <c r="BL18">
        <f>(0.955*(0.9442 - 0.0007*$B18 - dis_BMI*($C18-21.75)) - 0.15*0.5)*AH18</f>
        <v>1.1537119229517291E-3</v>
      </c>
      <c r="BM18">
        <f>(0.955*(0.9442 - 0.0007*$B18 - dis_BMI*($C18-21.75)))*AI18</f>
        <v>6.3348617192541526E-3</v>
      </c>
      <c r="BN18">
        <f>(0.955*0.943*(0.9442 - 0.0007*$B18 - dis_BMI*($C18-21.75)) - 0.19*0.5)*AJ18</f>
        <v>3.1080313518202624E-5</v>
      </c>
      <c r="BO18">
        <f>(0.955*0.943*(0.9442 - 0.0007*$B18 - dis_BMI*($C18-21.75)) - 0.15*0.5)*AK18</f>
        <v>2.5922770716303407E-5</v>
      </c>
      <c r="BP18">
        <f>(0.955*0.943*(0.9442 - 0.0007*$B18 - dis_BMI*($C18-21.75)))*AL18</f>
        <v>1.1411560652574182E-4</v>
      </c>
      <c r="BQ18">
        <f>(0.93*(0.9442 - 0.0007*$B18 - dis_BMI*($C18-21.75)))*AM18</f>
        <v>4.8716547257115925E-4</v>
      </c>
      <c r="BR18">
        <f>(0.93*(0.9442 - 0.0007*$B18 - dis_BMI*($C18-21.75)))*AN18</f>
        <v>2.9311674301696787E-3</v>
      </c>
      <c r="BS18">
        <f>(0.93*0.943*(0.9442 - 0.0007*$B18 - dis_BMI*($C18-21.75)))*AO18</f>
        <v>1.0764345597603228E-5</v>
      </c>
      <c r="BT18">
        <f>(0.93*0.943*(0.9442 - 0.0007*$B18 - dis_BMI*($C18-21.75))-0.19*0.5)*AP18</f>
        <v>1.2459596655802238E-5</v>
      </c>
      <c r="BU18">
        <f>(0.93*0.943*(0.9442 - 0.0007*$B18 - dis_BMI*($C18-21.75)))*AQ18</f>
        <v>5.0478206245936149E-5</v>
      </c>
      <c r="BV18">
        <f>0.962*(0.9442 - 0.0007*$B18 - dis_BMI*($C18-21.75))*AR18</f>
        <v>0.23521364563119776</v>
      </c>
      <c r="BW18">
        <f>0.962*0.959*(0.9442 - 0.0007*$B18 - dis_BMI*($C18-21.75))*AS18</f>
        <v>2.7459737995442785E-2</v>
      </c>
      <c r="BX18">
        <f>0.962*(0.943*(0.9442 - 0.0007*$B18 - dis_BMI*($C18-21.75)) - 0.19*0.5)*AT18</f>
        <v>2.0064300648107046E-3</v>
      </c>
      <c r="BY18">
        <f>0.962*(0.943*(0.9442 - 0.0007*$B18 - dis_BMI*($C18-21.75)))*AU18</f>
        <v>7.9608839129298066E-3</v>
      </c>
      <c r="BZ18">
        <f>0.962*(0.955*(0.9442 - 0.0007*$B18 - dis_BMI*($C18-21.75)) - 0.15*0.5)*AV18</f>
        <v>1.2456820975017904E-3</v>
      </c>
      <c r="CA18">
        <f>0.962*(0.955*(0.9442 - 0.0007*$B18 - dis_BMI*($C18-21.75)))*AW18</f>
        <v>6.0504300776544227E-3</v>
      </c>
      <c r="CB18">
        <f>0.962*(0.955*0.943*(0.9442 - 0.0007*$B18 - dis_BMI*($C18-21.75)) - 0.19*0.5)*AX18</f>
        <v>5.0242068749312915E-5</v>
      </c>
      <c r="CC18">
        <f>0.962*(0.955*0.943*(0.9442 - 0.0007*$B18 - dis_BMI*($C18-21.75)) - 0.15*0.5)*AY18</f>
        <v>4.2802163222103179E-5</v>
      </c>
      <c r="CD18">
        <f>0.962*(0.955*0.943*(0.9442 - 0.0007*$B18 - dis_BMI*($C18-21.75)))*AZ18</f>
        <v>1.6791796429468738E-4</v>
      </c>
      <c r="CE18">
        <f>0.962*(0.93*(0.9442 - 0.0007*$B18 - dis_BMI*($C18-21.75)))*BA18</f>
        <v>4.9989622885168413E-4</v>
      </c>
      <c r="CF18">
        <f>0.962*(0.93*(0.9442 - 0.0007*$B18 - dis_BMI*($C18-21.75)))*BB18</f>
        <v>2.692247854800954E-3</v>
      </c>
      <c r="CG18">
        <f>0.962*(0.93*0.943*(0.9442 - 0.0007*$B18 - dis_BMI*($C18-21.75)))*BC18</f>
        <v>1.6985108282930915E-5</v>
      </c>
      <c r="CH18">
        <f>0.962*(0.93*0.943*(0.9442 - 0.0007*$B18 - dis_BMI*($C18-21.75))-0.19*0.5)*BD18</f>
        <v>1.9399450939246876E-5</v>
      </c>
      <c r="CI18">
        <f>0.962*(0.93*0.943*(0.9442 - 0.0007*$B18 - dis_BMI*($C18-21.75)))*BE18</f>
        <v>7.1362600814475616E-5</v>
      </c>
      <c r="CJ18">
        <f t="shared" si="18"/>
        <v>0</v>
      </c>
      <c r="CK18">
        <f t="shared" si="19"/>
        <v>0.72450258681315804</v>
      </c>
      <c r="CL18">
        <f>CK18/(1+r_)^A18</f>
        <v>0.46503064126585314</v>
      </c>
      <c r="CM18">
        <f>AD18*c_LIR_2</f>
        <v>5366.3372856178366</v>
      </c>
      <c r="CN18">
        <f>AE18*(c_Other+c_LIR_2)</f>
        <v>934.21950429211472</v>
      </c>
      <c r="CO18">
        <f>AF18*(c_Stroke1+c_Stroke2+c_LIR_2)</f>
        <v>96.246672180907382</v>
      </c>
      <c r="CP18">
        <f>AG18*(c_Stroke2 + c_LIR_2)</f>
        <v>191.02317468738011</v>
      </c>
      <c r="CQ18">
        <f>AH18*(c_MI1+c_MI2 + c_LIR_2)</f>
        <v>63.664653842099952</v>
      </c>
      <c r="CR18">
        <f>AI18*(c_MI2+c_LIR_2)</f>
        <v>115.44144516979308</v>
      </c>
      <c r="CS18">
        <f>AJ18*(c_Stroke1+c_Stroke2+c_MI2+c_LIR_2)</f>
        <v>1.7820288605711208</v>
      </c>
      <c r="CT18">
        <f>AK18*(c_Stroke2+c_MI1+c_MI2+c_LIR_2)</f>
        <v>1.7687788756361038</v>
      </c>
      <c r="CU18">
        <f>AL18*(c_Stroke2+c_MI2+c_LIR_2)</f>
        <v>3.1687600928603556</v>
      </c>
      <c r="CV18">
        <f>AM18*(c_HF1+c_LIR_2)</f>
        <v>23.76982343090339</v>
      </c>
      <c r="CW18">
        <f>AN18*(c_HF2+c_LIR_2)</f>
        <v>100.89409622154761</v>
      </c>
      <c r="CX18">
        <f>AO18*(c_Stroke2+c_HF1+c_LIR_2)</f>
        <v>0.65029128867596619</v>
      </c>
      <c r="CY18">
        <f>AP18*(c_Stroke1+c_Stroke2+c_HF2+c_LIR_2)</f>
        <v>0.97403979486529246</v>
      </c>
      <c r="CZ18">
        <f>AQ18*(c_Stroke2+c_HF2+c_LIR_2)</f>
        <v>2.2802001849847566</v>
      </c>
      <c r="DA18">
        <f>AR18*(c_DM+c_LIR_2)</f>
        <v>6631.4296317755579</v>
      </c>
      <c r="DB18">
        <f>AS18*(c_Other+c_DM+c_LIR_2)</f>
        <v>1304.4561326550074</v>
      </c>
      <c r="DC18">
        <f>AT18*(c_Stroke1+c_Stroke2+c_DM+c_LIR_2)</f>
        <v>137.85225387091702</v>
      </c>
      <c r="DD18">
        <f>AU18*(c_Stroke2+c_DM+c_LIR_2)</f>
        <v>304.73630943970602</v>
      </c>
      <c r="DE18">
        <f>AV18*(c_MI1+c_MI2+c_DM+c_LIR_2)</f>
        <v>91.409973644204641</v>
      </c>
      <c r="DF18">
        <f>AW18*(c_MI2+c_DM+c_LIR_2)</f>
        <v>202.63254558001057</v>
      </c>
      <c r="DG18">
        <f>AX18*(c_Stroke1+c_Stroke2+c_MI2+c_DM+c_LIR_2)</f>
        <v>3.8786725098657517</v>
      </c>
      <c r="DH18">
        <f>AY18*(c_Stroke2+c_MI1+c_MI2+c_DM+c_LIR_2)</f>
        <v>3.7674439056721272</v>
      </c>
      <c r="DI18">
        <f>AZ18*(c_Stroke2+c_MI2+c_DM+c_LIR_2)</f>
        <v>7.4373800181430862</v>
      </c>
      <c r="DJ18">
        <f>BA18*(c_HF1+c_DM+c_LIR_2)</f>
        <v>32.822218410529381</v>
      </c>
      <c r="DK18">
        <f>BB18*(c_HF2+c_DM+c_LIR_2)</f>
        <v>136.5492825865027</v>
      </c>
      <c r="DL18">
        <f>BC18*(c_Stroke2+c_HF1+c_DM+c_LIR_2)</f>
        <v>1.3357007417931568</v>
      </c>
      <c r="DM18">
        <f>BD18*(c_Stroke1+c_Stroke2+c_HF2+c_DM+c_LIR_2)</f>
        <v>1.928387346527765</v>
      </c>
      <c r="DN18">
        <f>BE18*(c_Stroke2+c_HF2+c_DM+c_LIR_2)</f>
        <v>4.4814226109843309</v>
      </c>
      <c r="DO18">
        <f t="shared" si="5"/>
        <v>0</v>
      </c>
      <c r="DP18">
        <f t="shared" si="38"/>
        <v>15766.938109635599</v>
      </c>
      <c r="DQ18">
        <f>DP18/(1+r_)^A18</f>
        <v>10120.197599534229</v>
      </c>
    </row>
    <row r="19" spans="1:121" x14ac:dyDescent="0.3">
      <c r="A19">
        <v>16</v>
      </c>
      <c r="B19">
        <v>61</v>
      </c>
      <c r="C19">
        <f t="shared" si="39"/>
        <v>36.1</v>
      </c>
      <c r="D19">
        <f t="shared" si="1"/>
        <v>125</v>
      </c>
      <c r="E19">
        <f t="shared" si="40"/>
        <v>5.5</v>
      </c>
      <c r="F19">
        <v>7.45E-3</v>
      </c>
      <c r="G19">
        <v>1.244E-2</v>
      </c>
      <c r="H19">
        <f t="shared" si="3"/>
        <v>8.4479999999999989E-3</v>
      </c>
      <c r="I19">
        <f t="shared" si="20"/>
        <v>3.2286349135090861E-2</v>
      </c>
      <c r="J19">
        <f t="shared" si="21"/>
        <v>0.17235752348011957</v>
      </c>
      <c r="K19">
        <f t="shared" si="22"/>
        <v>0.23274538543712919</v>
      </c>
      <c r="L19">
        <f t="shared" si="23"/>
        <v>8.5661803160015149E-2</v>
      </c>
      <c r="M19">
        <f t="shared" si="24"/>
        <v>0.11787425638042692</v>
      </c>
      <c r="N19">
        <f t="shared" si="25"/>
        <v>0.37241520438381459</v>
      </c>
      <c r="O19">
        <f t="shared" si="26"/>
        <v>0.48225804220418123</v>
      </c>
      <c r="P19">
        <f t="shared" si="27"/>
        <v>0.20479872620183492</v>
      </c>
      <c r="Q19">
        <f t="shared" si="28"/>
        <v>0.27660550698563691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1.3969094328577368E-2</v>
      </c>
      <c r="U19">
        <f t="shared" si="29"/>
        <v>0.33747763725562885</v>
      </c>
      <c r="V19">
        <f t="shared" si="30"/>
        <v>0.43818555805015358</v>
      </c>
      <c r="W19">
        <f t="shared" si="31"/>
        <v>0.17708203556116242</v>
      </c>
      <c r="X19">
        <f t="shared" si="32"/>
        <v>0.23887222993019375</v>
      </c>
      <c r="Y19">
        <f t="shared" si="33"/>
        <v>0.54740609541460117</v>
      </c>
      <c r="Z19">
        <f t="shared" si="34"/>
        <v>0.67377277028217919</v>
      </c>
      <c r="AA19">
        <f t="shared" si="35"/>
        <v>0.32290980484323617</v>
      </c>
      <c r="AB19">
        <f t="shared" si="36"/>
        <v>0.42362462767553521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2.5543527943959907E-2</v>
      </c>
      <c r="AD19">
        <f t="shared" si="37"/>
        <v>0.43223948103515303</v>
      </c>
      <c r="AE19">
        <f t="shared" si="6"/>
        <v>3.7249175802489438E-2</v>
      </c>
      <c r="AF19">
        <f t="shared" si="7"/>
        <v>2.7562823989390438E-3</v>
      </c>
      <c r="AG19">
        <f t="shared" si="8"/>
        <v>1.0864769619782793E-2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1.5641779218762179E-3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7.929051580689005E-3</v>
      </c>
      <c r="AJ19">
        <f t="shared" si="11"/>
        <v>5.0286875074211246E-5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4.0889134917737594E-5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1.6504589930775454E-4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6.2080428507713169E-4</v>
      </c>
      <c r="AN19">
        <f t="shared" si="15"/>
        <v>4.0892023261489031E-3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1.5870492512227686E-5</v>
      </c>
      <c r="AP19">
        <f>AM18*T18*p_Stroke*p_Stroke_rec*(1-I18) + AN18*T18*p_Stroke*p_Stroke_rec*(1-I18) + AO18*(p_recur_Stroke*p_Stroke_rec)*(1-I18) + AP18*(p_recur_Stroke*p_Stroke_rec)*(1-I18) + AQ18*(p_recur_Stroke*p_Stroke_rec)*(1-I18)</f>
        <v>2.2550634079614853E-5</v>
      </c>
      <c r="AQ19">
        <f>AO18*(1-p_recur_Stroke-H18*rr_Stroke*rr_HF)*(1-I18) + AP18*(1-p_recur_Stroke-H18*rr_Stroke*rr_HF)*(1-I18) + AQ18*(1-p_recur_Stroke-H18*rr_Stroke*rr_HF)*(1-I18)</f>
        <v>8.1453594286336417E-5</v>
      </c>
      <c r="AR19">
        <f>AR18*(1-AC18-H18*rr_DM) + AD18*(1-T18-H18)*I18</f>
        <v>0.29085361240035434</v>
      </c>
      <c r="AS19">
        <f>AR18*AC18*p_Other + AD18*T18*p_Other*I18 + AE18*(1-T18*p_Stroke-T18*p_MI-H18*rr_Other)*I18 + AS18*(1-AC18*p_Stroke-AC18*p_MI-H18*rr_Other*rr_DM)</f>
        <v>3.8951575095808641E-2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3.2179114224835429E-3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1.1536289675950419E-2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1.891375092712981E-3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8.5349192723918957E-3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9.1479239905469306E-5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7.5870137756622248E-5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2.7450343087274541E-4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7.1503141678131701E-4</v>
      </c>
      <c r="BB19">
        <f>AM18*(1-T18*p_Stroke - H18*rr_HF)*I18 + AN18*(1-T18*p_Stroke - H18*rr_HF)*I18 + BA18*(1-AC18*p_Stroke - H18*rr_HF*rr_DM) + BB18*(1-AC18*p_Stroke - H18*rr_HF*rr_DM)</f>
        <v>4.2187198994732052E-3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2.8201145091937257E-5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3.9386835621340147E-5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1.298103824634204E-4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8.3752272951998788E-2</v>
      </c>
      <c r="BG19">
        <f t="shared" si="17"/>
        <v>0.94200000000000028</v>
      </c>
      <c r="BH19">
        <f>(0.9442 - 0.0007*$B19 - dis_BMI*($C19-21.75))*AD19</f>
        <v>0.36919519152877078</v>
      </c>
      <c r="BI19">
        <f>0.959*(0.9442 - 0.0007*$B19 - dis_BMI*($C19-21.75))*AE19</f>
        <v>3.0511733177918832E-2</v>
      </c>
      <c r="BJ19">
        <f>(0.943*(0.9442 - 0.0007*$B19 - dis_BMI*($C19-21.75)) - 0.19*0.5)*AF19</f>
        <v>1.9582249064529983E-3</v>
      </c>
      <c r="BK19">
        <f>(0.943*(0.9442 - 0.0007*$B19 - dis_BMI*($C19-21.75)))*AG19</f>
        <v>8.7511235940166791E-3</v>
      </c>
      <c r="BL19">
        <f>(0.955*(0.9442 - 0.0007*$B19 - dis_BMI*($C19-21.75)) - 0.15*0.5)*AH19</f>
        <v>1.1585998431416025E-3</v>
      </c>
      <c r="BM19">
        <f>(0.955*(0.9442 - 0.0007*$B19 - dis_BMI*($C19-21.75)))*AI19</f>
        <v>6.4677945730801673E-3</v>
      </c>
      <c r="BN19">
        <f>(0.955*0.943*(0.9442 - 0.0007*$B19 - dis_BMI*($C19-21.75)) - 0.19*0.5)*AJ19</f>
        <v>3.3904069527030176E-5</v>
      </c>
      <c r="BO19">
        <f>(0.955*0.943*(0.9442 - 0.0007*$B19 - dis_BMI*($C19-21.75)) - 0.15*0.5)*AK19</f>
        <v>2.8385772777381098E-5</v>
      </c>
      <c r="BP19">
        <f>(0.955*0.943*(0.9442 - 0.0007*$B19 - dis_BMI*($C19-21.75)))*AL19</f>
        <v>1.269554665160601E-4</v>
      </c>
      <c r="BQ19">
        <f>(0.93*(0.9442 - 0.0007*$B19 - dis_BMI*($C19-21.75)))*AM19</f>
        <v>4.9313889475180223E-4</v>
      </c>
      <c r="BR19">
        <f>(0.93*(0.9442 - 0.0007*$B19 - dis_BMI*($C19-21.75)))*AN19</f>
        <v>3.2482777004076632E-3</v>
      </c>
      <c r="BS19">
        <f>(0.93*0.943*(0.9442 - 0.0007*$B19 - dis_BMI*($C19-21.75)))*AO19</f>
        <v>1.1888214945135072E-5</v>
      </c>
      <c r="BT19">
        <f>(0.93*0.943*(0.9442 - 0.0007*$B19 - dis_BMI*($C19-21.75))-0.19*0.5)*AP19</f>
        <v>1.4749842597706047E-5</v>
      </c>
      <c r="BU19">
        <f>(0.93*0.943*(0.9442 - 0.0007*$B19 - dis_BMI*($C19-21.75)))*AQ19</f>
        <v>6.1014983384020457E-5</v>
      </c>
      <c r="BV19">
        <f>0.962*(0.9442 - 0.0007*$B19 - dis_BMI*($C19-21.75))*AR19</f>
        <v>0.23899077473068003</v>
      </c>
      <c r="BW19">
        <f>0.962*0.959*(0.9442 - 0.0007*$B19 - dis_BMI*($C19-21.75))*AS19</f>
        <v>3.0693775071168626E-2</v>
      </c>
      <c r="BX19">
        <f>0.962*(0.943*(0.9442 - 0.0007*$B19 - dis_BMI*($C19-21.75)) - 0.19*0.5)*AT19</f>
        <v>2.1993179339744396E-3</v>
      </c>
      <c r="BY19">
        <f>0.962*(0.943*(0.9442 - 0.0007*$B19 - dis_BMI*($C19-21.75)))*AU19</f>
        <v>8.9389090880031691E-3</v>
      </c>
      <c r="BZ19">
        <f>0.962*(0.955*(0.9442 - 0.0007*$B19 - dis_BMI*($C19-21.75)) - 0.15*0.5)*AV19</f>
        <v>1.347721173274512E-3</v>
      </c>
      <c r="CA19">
        <f>0.962*(0.955*(0.9442 - 0.0007*$B19 - dis_BMI*($C19-21.75)))*AW19</f>
        <v>6.6974497565415285E-3</v>
      </c>
      <c r="CB19">
        <f>0.962*(0.955*0.943*(0.9442 - 0.0007*$B19 - dis_BMI*($C19-21.75)) - 0.19*0.5)*AX19</f>
        <v>5.9332794138637927E-5</v>
      </c>
      <c r="CC19">
        <f>0.962*(0.955*0.943*(0.9442 - 0.0007*$B19 - dis_BMI*($C19-21.75)) - 0.15*0.5)*AY19</f>
        <v>5.0668581285961995E-5</v>
      </c>
      <c r="CD19">
        <f>0.962*(0.955*0.943*(0.9442 - 0.0007*$B19 - dis_BMI*($C19-21.75)))*AZ19</f>
        <v>2.0312787075903049E-4</v>
      </c>
      <c r="CE19">
        <f>0.962*(0.93*(0.9442 - 0.0007*$B19 - dis_BMI*($C19-21.75)))*BA19</f>
        <v>5.4640510421735135E-4</v>
      </c>
      <c r="CF19">
        <f>0.962*(0.93*(0.9442 - 0.0007*$B19 - dis_BMI*($C19-21.75)))*BB19</f>
        <v>3.2238165096464071E-3</v>
      </c>
      <c r="CG19">
        <f>0.962*(0.93*0.943*(0.9442 - 0.0007*$B19 - dis_BMI*($C19-21.75)))*BC19</f>
        <v>2.0322075440974959E-5</v>
      </c>
      <c r="CH19">
        <f>0.962*(0.93*0.943*(0.9442 - 0.0007*$B19 - dis_BMI*($C19-21.75))-0.19*0.5)*BD19</f>
        <v>2.478305213421508E-5</v>
      </c>
      <c r="CI19">
        <f>0.962*(0.93*0.943*(0.9442 - 0.0007*$B19 - dis_BMI*($C19-21.75)))*BE19</f>
        <v>9.3542881923530617E-5</v>
      </c>
      <c r="CJ19">
        <f t="shared" si="18"/>
        <v>0</v>
      </c>
      <c r="CK19">
        <f t="shared" si="19"/>
        <v>0.71515092919147638</v>
      </c>
      <c r="CL19">
        <f>CK19/(1+r_)^A19</f>
        <v>0.44565841562467307</v>
      </c>
      <c r="CM19">
        <f>AD19*c_LIR_2</f>
        <v>5083.1362969734</v>
      </c>
      <c r="CN19">
        <f>AE19*(c_Other+c_LIR_2)</f>
        <v>969.9312887210225</v>
      </c>
      <c r="CO19">
        <f>AF19*(c_Stroke1+c_Stroke2+c_LIR_2)</f>
        <v>98.057502624655427</v>
      </c>
      <c r="CP19">
        <f>AG19*(c_Stroke2 + c_LIR_2)</f>
        <v>198.39069325723381</v>
      </c>
      <c r="CQ19">
        <f>AH19*(c_MI1+c_MI2 + c_LIR_2)</f>
        <v>63.992082961877948</v>
      </c>
      <c r="CR19">
        <f>AI19*(c_MI2+c_LIR_2)</f>
        <v>117.96050036591033</v>
      </c>
      <c r="CS19">
        <f>AJ19*(c_Stroke1+c_Stroke2+c_MI2+c_LIR_2)</f>
        <v>1.9457500572464557</v>
      </c>
      <c r="CT19">
        <f>AK19*(c_Stroke2+c_MI1+c_MI2+c_LIR_2)</f>
        <v>1.9385947755848572</v>
      </c>
      <c r="CU19">
        <f>AL19*(c_Stroke2+c_MI2+c_LIR_2)</f>
        <v>3.5281861895018687</v>
      </c>
      <c r="CV19">
        <f>AM19*(c_HF1+c_LIR_2)</f>
        <v>24.080998218141939</v>
      </c>
      <c r="CW19">
        <f>AN19*(c_HF2+c_LIR_2)</f>
        <v>111.90102165506474</v>
      </c>
      <c r="CX19">
        <f>AO19*(c_Stroke2+c_HF1+c_LIR_2)</f>
        <v>0.71877460587879194</v>
      </c>
      <c r="CY19">
        <f>AP19*(c_Stroke1+c_Stroke2+c_HF2+c_LIR_2)</f>
        <v>1.1541640028287679</v>
      </c>
      <c r="CZ19">
        <f>AQ19*(c_Stroke2+c_HF2+c_LIR_2)</f>
        <v>2.7584259705067828</v>
      </c>
      <c r="DA19">
        <f>AR19*(c_DM+c_LIR_2)</f>
        <v>6743.4410035022156</v>
      </c>
      <c r="DB19">
        <f>AS19*(c_Other+c_DM+c_LIR_2)</f>
        <v>1459.281809389375</v>
      </c>
      <c r="DC19">
        <f>AT19*(c_Stroke1+c_Stroke2+c_DM+c_LIR_2)</f>
        <v>151.245054768149</v>
      </c>
      <c r="DD19">
        <f>AU19*(c_Stroke2+c_DM+c_LIR_2)</f>
        <v>342.45475903058821</v>
      </c>
      <c r="DE19">
        <f>AV19*(c_MI1+c_MI2+c_DM+c_LIR_2)</f>
        <v>98.987006852226571</v>
      </c>
      <c r="DF19">
        <f>AW19*(c_MI2+c_DM+c_LIR_2)</f>
        <v>224.48544670245164</v>
      </c>
      <c r="DG19">
        <f>AX19*(c_Stroke1+c_Stroke2+c_MI2+c_DM+c_LIR_2)</f>
        <v>4.5847565455823105</v>
      </c>
      <c r="DH19">
        <f>AY19*(c_Stroke2+c_MI1+c_MI2+c_DM+c_LIR_2)</f>
        <v>4.4638954250486265</v>
      </c>
      <c r="DI19">
        <f>AZ19*(c_Stroke2+c_MI2+c_DM+c_LIR_2)</f>
        <v>9.0042615394877945</v>
      </c>
      <c r="DJ19">
        <f>BA19*(c_HF1+c_DM+c_LIR_2)</f>
        <v>35.905302593673831</v>
      </c>
      <c r="DK19">
        <f>BB19*(c_HF2+c_DM+c_LIR_2)</f>
        <v>163.64414490056564</v>
      </c>
      <c r="DL19">
        <f>BC19*(c_Stroke2+c_HF1+c_DM+c_LIR_2)</f>
        <v>1.5994279438892216</v>
      </c>
      <c r="DM19">
        <f>BD19*(c_Stroke1+c_Stroke2+c_HF2+c_DM+c_LIR_2)</f>
        <v>2.4658522309096211</v>
      </c>
      <c r="DN19">
        <f>BE19*(c_Stroke2+c_HF2+c_DM+c_LIR_2)</f>
        <v>5.8791122217683096</v>
      </c>
      <c r="DO19">
        <f t="shared" si="5"/>
        <v>0</v>
      </c>
      <c r="DP19">
        <f t="shared" si="38"/>
        <v>15926.936114024787</v>
      </c>
      <c r="DQ19">
        <f>DP19/(1+r_)^A19</f>
        <v>9925.140029331129</v>
      </c>
    </row>
    <row r="20" spans="1:121" x14ac:dyDescent="0.3">
      <c r="A20">
        <v>17</v>
      </c>
      <c r="B20">
        <v>62</v>
      </c>
      <c r="C20">
        <f t="shared" si="39"/>
        <v>36.1</v>
      </c>
      <c r="D20">
        <f t="shared" si="1"/>
        <v>125</v>
      </c>
      <c r="E20">
        <f t="shared" si="40"/>
        <v>5.5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0"/>
        <v>3.2286349135090861E-2</v>
      </c>
      <c r="J20">
        <f t="shared" si="21"/>
        <v>0.17941037407350946</v>
      </c>
      <c r="K20">
        <f t="shared" si="22"/>
        <v>0.24188649417446551</v>
      </c>
      <c r="L20">
        <f t="shared" si="23"/>
        <v>8.9358667916887402E-2</v>
      </c>
      <c r="M20">
        <f t="shared" si="24"/>
        <v>0.12286523364292667</v>
      </c>
      <c r="N20">
        <f t="shared" si="25"/>
        <v>0.38741387875980682</v>
      </c>
      <c r="O20">
        <f t="shared" si="26"/>
        <v>0.4996550218331588</v>
      </c>
      <c r="P20">
        <f t="shared" si="27"/>
        <v>0.21420432571205283</v>
      </c>
      <c r="Q20">
        <f t="shared" si="28"/>
        <v>0.28866582826634501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1.4559075940541406E-2</v>
      </c>
      <c r="U20">
        <f t="shared" si="29"/>
        <v>0.34970300136674326</v>
      </c>
      <c r="V20">
        <f t="shared" si="30"/>
        <v>0.45265063975469477</v>
      </c>
      <c r="W20">
        <f t="shared" si="31"/>
        <v>0.18430590537740332</v>
      </c>
      <c r="X20">
        <f t="shared" si="32"/>
        <v>0.24821307017465077</v>
      </c>
      <c r="Y20">
        <f t="shared" si="33"/>
        <v>0.56565743133888668</v>
      </c>
      <c r="Z20">
        <f t="shared" si="34"/>
        <v>0.6922052649364121</v>
      </c>
      <c r="AA20">
        <f t="shared" si="35"/>
        <v>0.33648102423348403</v>
      </c>
      <c r="AB20">
        <f t="shared" si="36"/>
        <v>0.43988042100255853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2.6517485210378635E-2</v>
      </c>
      <c r="AD20">
        <f t="shared" si="37"/>
        <v>0.40890733331976969</v>
      </c>
      <c r="AE20">
        <f t="shared" si="6"/>
        <v>3.8455031007176739E-2</v>
      </c>
      <c r="AF20">
        <f t="shared" si="7"/>
        <v>2.7981508468073292E-3</v>
      </c>
      <c r="AG20">
        <f t="shared" si="8"/>
        <v>1.1210473391150175E-2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1.5685395367303267E-3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8.0690637567712008E-3</v>
      </c>
      <c r="AJ20">
        <f t="shared" si="11"/>
        <v>5.4528302580111964E-5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4.4467510323376161E-5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1.8177700553960197E-4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6.2707579060681097E-4</v>
      </c>
      <c r="AN20">
        <f t="shared" si="15"/>
        <v>4.4732136002907244E-3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1.7390147794179257E-5</v>
      </c>
      <c r="AP20">
        <f>AM19*T19*p_Stroke*p_Stroke_rec*(1-I19) + AN19*T19*p_Stroke*p_Stroke_rec*(1-I19) + AO19*(p_recur_Stroke*p_Stroke_rec)*(1-I19) + AP19*(p_recur_Stroke*p_Stroke_rec)*(1-I19) + AQ19*(p_recur_Stroke*p_Stroke_rec)*(1-I19)</f>
        <v>2.6279513528915338E-5</v>
      </c>
      <c r="AQ20">
        <f>AO19*(1-p_recur_Stroke-H19*rr_Stroke*rr_HF)*(1-I19) + AP19*(1-p_recur_Stroke-H19*rr_Stroke*rr_HF)*(1-I19) + AQ19*(1-p_recur_Stroke-H19*rr_Stroke*rr_HF)*(1-I19)</f>
        <v>9.6501177692414632E-5</v>
      </c>
      <c r="AR20">
        <f>AR19*(1-AC19-H19*rr_DM) + AD19*(1-T19-H19)*I19</f>
        <v>0.29424107850569525</v>
      </c>
      <c r="AS20">
        <f>AR19*AC19*p_Other + AD19*T19*p_Other*I19 + AE19*(1-T19*p_Stroke-T19*p_MI-H19*rr_Other)*I19 + AS19*(1-AC19*p_Stroke-AC19*p_MI-H19*rr_Other*rr_DM)</f>
        <v>4.3154021218646435E-2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3.5048205131479565E-3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1.2826151396112807E-2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2.0354523179073828E-3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9.3784049418278101E-3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1.0695403769756198E-4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8.8825229617923638E-5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3.2722740374397589E-4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7.7689377350215725E-4</v>
      </c>
      <c r="BB20">
        <f>AM19*(1-T19*p_Stroke - H19*rr_HF)*I19 + AN19*(1-T19*p_Stroke - H19*rr_HF)*I19 + BA19*(1-AC19*p_Stroke - H19*rr_HF*rr_DM) + BB19*(1-AC19*p_Stroke - H19*rr_HF*rr_DM)</f>
        <v>4.9667707604174622E-3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3.3337355352661572E-5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4.9336534520456769E-5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1.660054424075199E-4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9.3814895662641118E-2</v>
      </c>
      <c r="BG20">
        <f t="shared" si="17"/>
        <v>0.94200000000000017</v>
      </c>
      <c r="BH20">
        <f>(0.9442 - 0.0007*$B20 - dis_BMI*($C20-21.75))*AD20</f>
        <v>0.34897991908509085</v>
      </c>
      <c r="BI20">
        <f>0.959*(0.9442 - 0.0007*$B20 - dis_BMI*($C20-21.75))*AE20</f>
        <v>3.1473664526465231E-2</v>
      </c>
      <c r="BJ20">
        <f>(0.943*(0.9442 - 0.0007*$B20 - dis_BMI*($C20-21.75)) - 0.19*0.5)*AF20</f>
        <v>1.9861236515879362E-3</v>
      </c>
      <c r="BK20">
        <f>(0.943*(0.9442 - 0.0007*$B20 - dis_BMI*($C20-21.75)))*AG20</f>
        <v>9.0221736829014815E-3</v>
      </c>
      <c r="BL20">
        <f>(0.955*(0.9442 - 0.0007*$B20 - dis_BMI*($C20-21.75)) - 0.15*0.5)*AH20</f>
        <v>1.1607819595484228E-3</v>
      </c>
      <c r="BM20">
        <f>(0.955*(0.9442 - 0.0007*$B20 - dis_BMI*($C20-21.75)))*AI20</f>
        <v>6.5766095225922062E-3</v>
      </c>
      <c r="BN20">
        <f>(0.955*0.943*(0.9442 - 0.0007*$B20 - dis_BMI*($C20-21.75)) - 0.19*0.5)*AJ20</f>
        <v>3.6729321083390101E-5</v>
      </c>
      <c r="BO20">
        <f>(0.955*0.943*(0.9442 - 0.0007*$B20 - dis_BMI*($C20-21.75)) - 0.15*0.5)*AK20</f>
        <v>3.084189571339376E-5</v>
      </c>
      <c r="BP20">
        <f>(0.955*0.943*(0.9442 - 0.0007*$B20 - dis_BMI*($C20-21.75)))*AL20</f>
        <v>1.3971066106568944E-4</v>
      </c>
      <c r="BQ20">
        <f>(0.93*(0.9442 - 0.0007*$B20 - dis_BMI*($C20-21.75)))*AM20</f>
        <v>4.977124692464198E-4</v>
      </c>
      <c r="BR20">
        <f>(0.93*(0.9442 - 0.0007*$B20 - dis_BMI*($C20-21.75)))*AN20</f>
        <v>3.5504068564231094E-3</v>
      </c>
      <c r="BS20">
        <f>(0.93*0.943*(0.9442 - 0.0007*$B20 - dis_BMI*($C20-21.75)))*AO20</f>
        <v>1.3015877502699466E-5</v>
      </c>
      <c r="BT20">
        <f>(0.93*0.943*(0.9442 - 0.0007*$B20 - dis_BMI*($C20-21.75))-0.19*0.5)*AP20</f>
        <v>1.7172682668130685E-5</v>
      </c>
      <c r="BU20">
        <f>(0.93*0.943*(0.9442 - 0.0007*$B20 - dis_BMI*($C20-21.75)))*AQ20</f>
        <v>7.22275349569554E-5</v>
      </c>
      <c r="BV20">
        <f>0.962*(0.9442 - 0.0007*$B20 - dis_BMI*($C20-21.75))*AR20</f>
        <v>0.24157607130997197</v>
      </c>
      <c r="BW20">
        <f>0.962*0.959*(0.9442 - 0.0007*$B20 - dis_BMI*($C20-21.75))*AS20</f>
        <v>3.3977427022780317E-2</v>
      </c>
      <c r="BX20">
        <f>0.962*(0.943*(0.9442 - 0.0007*$B20 - dis_BMI*($C20-21.75)) - 0.19*0.5)*AT20</f>
        <v>2.3931835771386269E-3</v>
      </c>
      <c r="BY20">
        <f>0.962*(0.943*(0.9442 - 0.0007*$B20 - dis_BMI*($C20-21.75)))*AU20</f>
        <v>9.930215308730922E-3</v>
      </c>
      <c r="BZ20">
        <f>0.962*(0.955*(0.9442 - 0.0007*$B20 - dis_BMI*($C20-21.75)) - 0.15*0.5)*AV20</f>
        <v>1.4490760713244725E-3</v>
      </c>
      <c r="CA20">
        <f>0.962*(0.955*(0.9442 - 0.0007*$B20 - dis_BMI*($C20-21.75)))*AW20</f>
        <v>7.3533114820127799E-3</v>
      </c>
      <c r="CB20">
        <f>0.962*(0.955*0.943*(0.9442 - 0.0007*$B20 - dis_BMI*($C20-21.75)) - 0.19*0.5)*AX20</f>
        <v>6.9304778319842034E-5</v>
      </c>
      <c r="CC20">
        <f>0.962*(0.955*0.943*(0.9442 - 0.0007*$B20 - dis_BMI*($C20-21.75)) - 0.15*0.5)*AY20</f>
        <v>5.9266551862748416E-5</v>
      </c>
      <c r="CD20">
        <f>0.962*(0.955*0.943*(0.9442 - 0.0007*$B20 - dis_BMI*($C20-21.75)))*AZ20</f>
        <v>2.4194427014177664E-4</v>
      </c>
      <c r="CE20">
        <f>0.962*(0.93*(0.9442 - 0.0007*$B20 - dis_BMI*($C20-21.75)))*BA20</f>
        <v>5.9319188306504206E-4</v>
      </c>
      <c r="CF20">
        <f>0.962*(0.93*(0.9442 - 0.0007*$B20 - dis_BMI*($C20-21.75)))*BB20</f>
        <v>3.7923435617755589E-3</v>
      </c>
      <c r="CG20">
        <f>0.962*(0.93*0.943*(0.9442 - 0.0007*$B20 - dis_BMI*($C20-21.75)))*BC20</f>
        <v>2.4003600831939127E-5</v>
      </c>
      <c r="CH20">
        <f>0.962*(0.93*0.943*(0.9442 - 0.0007*$B20 - dis_BMI*($C20-21.75))-0.19*0.5)*BD20</f>
        <v>3.101448227419476E-5</v>
      </c>
      <c r="CI20">
        <f>0.962*(0.93*0.943*(0.9442 - 0.0007*$B20 - dis_BMI*($C20-21.75)))*BE20</f>
        <v>1.1952742901549438E-4</v>
      </c>
      <c r="CJ20">
        <f t="shared" si="18"/>
        <v>0</v>
      </c>
      <c r="CK20">
        <f t="shared" si="19"/>
        <v>0.7051669710560915</v>
      </c>
      <c r="CL20">
        <f>CK20/(1+r_)^A20</f>
        <v>0.42663761455547916</v>
      </c>
      <c r="CM20">
        <f>AD20*c_LIR_2</f>
        <v>4808.7502398404913</v>
      </c>
      <c r="CN20">
        <f>AE20*(c_Other+c_LIR_2)</f>
        <v>1001.3305523958751</v>
      </c>
      <c r="CO20">
        <f>AF20*(c_Stroke1+c_Stroke2+c_LIR_2)</f>
        <v>99.547014526017549</v>
      </c>
      <c r="CP20">
        <f>AG20*(c_Stroke2 + c_LIR_2)</f>
        <v>204.7032441224022</v>
      </c>
      <c r="CQ20">
        <f>AH20*(c_MI1+c_MI2 + c_LIR_2)</f>
        <v>64.170520987174399</v>
      </c>
      <c r="CR20">
        <f>AI20*(c_MI2+c_LIR_2)</f>
        <v>120.04346150948516</v>
      </c>
      <c r="CS20">
        <f>AJ20*(c_Stroke1+c_Stroke2+c_MI2+c_LIR_2)</f>
        <v>2.1098636117322722</v>
      </c>
      <c r="CT20">
        <f>AK20*(c_Stroke2+c_MI1+c_MI2+c_LIR_2)</f>
        <v>2.1082491319415873</v>
      </c>
      <c r="CU20">
        <f>AL20*(c_Stroke2+c_MI2+c_LIR_2)</f>
        <v>3.8858470474200715</v>
      </c>
      <c r="CV20">
        <f>AM20*(c_HF1+c_LIR_2)</f>
        <v>24.324269917638198</v>
      </c>
      <c r="CW20">
        <f>AN20*(c_HF2+c_LIR_2)</f>
        <v>122.40949017195567</v>
      </c>
      <c r="CX20">
        <f>AO20*(c_Stroke2+c_HF1+c_LIR_2)</f>
        <v>0.78759979359837851</v>
      </c>
      <c r="CY20">
        <f>AP20*(c_Stroke1+c_Stroke2+c_HF2+c_LIR_2)</f>
        <v>1.345011781923416</v>
      </c>
      <c r="CZ20">
        <f>AQ20*(c_Stroke2+c_HF2+c_LIR_2)</f>
        <v>3.2680123825536214</v>
      </c>
      <c r="DA20">
        <f>AR20*(c_DM+c_LIR_2)</f>
        <v>6821.9794051545441</v>
      </c>
      <c r="DB20">
        <f>AS20*(c_Other+c_DM+c_LIR_2)</f>
        <v>1616.7222509353701</v>
      </c>
      <c r="DC20">
        <f>AT20*(c_Stroke1+c_Stroke2+c_DM+c_LIR_2)</f>
        <v>164.7300689384671</v>
      </c>
      <c r="DD20">
        <f>AU20*(c_Stroke2+c_DM+c_LIR_2)</f>
        <v>380.74430419360868</v>
      </c>
      <c r="DE20">
        <f>AV20*(c_MI1+c_MI2+c_DM+c_LIR_2)</f>
        <v>106.52743251000079</v>
      </c>
      <c r="DF20">
        <f>AW20*(c_MI2+c_DM+c_LIR_2)</f>
        <v>246.67080677995506</v>
      </c>
      <c r="DG20">
        <f>AX20*(c_Stroke1+c_Stroke2+c_MI2+c_DM+c_LIR_2)</f>
        <v>5.3603224613264118</v>
      </c>
      <c r="DH20">
        <f>AY20*(c_Stroke2+c_MI1+c_MI2+c_DM+c_LIR_2)</f>
        <v>5.226121209800155</v>
      </c>
      <c r="DI20">
        <f>AZ20*(c_Stroke2+c_MI2+c_DM+c_LIR_2)</f>
        <v>10.733713297609897</v>
      </c>
      <c r="DJ20">
        <f>BA20*(c_HF1+c_DM+c_LIR_2)</f>
        <v>39.011720836410824</v>
      </c>
      <c r="DK20">
        <f>BB20*(c_HF2+c_DM+c_LIR_2)</f>
        <v>192.66103779659335</v>
      </c>
      <c r="DL20">
        <f>BC20*(c_Stroke2+c_HF1+c_DM+c_LIR_2)</f>
        <v>1.8907281088262011</v>
      </c>
      <c r="DM20">
        <f>BD20*(c_Stroke1+c_Stroke2+c_HF2+c_DM+c_LIR_2)</f>
        <v>3.0887630801877166</v>
      </c>
      <c r="DN20">
        <f>BE20*(c_Stroke2+c_HF2+c_DM+c_LIR_2)</f>
        <v>7.5183864866365759</v>
      </c>
      <c r="DO20">
        <f t="shared" si="5"/>
        <v>0</v>
      </c>
      <c r="DP20">
        <f t="shared" si="38"/>
        <v>16061.648439009547</v>
      </c>
      <c r="DQ20">
        <f>DP20/(1+r_)^A20</f>
        <v>9717.561452977774</v>
      </c>
    </row>
    <row r="21" spans="1:121" x14ac:dyDescent="0.3">
      <c r="A21">
        <v>18</v>
      </c>
      <c r="B21">
        <v>63</v>
      </c>
      <c r="C21">
        <f t="shared" si="39"/>
        <v>36.1</v>
      </c>
      <c r="D21">
        <f t="shared" si="1"/>
        <v>125</v>
      </c>
      <c r="E21">
        <f t="shared" si="40"/>
        <v>5.5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0"/>
        <v>3.2286349135090861E-2</v>
      </c>
      <c r="J21">
        <f t="shared" si="21"/>
        <v>0.18659909191350577</v>
      </c>
      <c r="K21">
        <f t="shared" si="22"/>
        <v>0.25117137269187817</v>
      </c>
      <c r="L21">
        <f t="shared" si="23"/>
        <v>9.3144009268515737E-2</v>
      </c>
      <c r="M21">
        <f t="shared" si="24"/>
        <v>0.12796725778904072</v>
      </c>
      <c r="N21">
        <f t="shared" si="25"/>
        <v>0.40255532172847341</v>
      </c>
      <c r="O21">
        <f t="shared" si="26"/>
        <v>0.51704004313281748</v>
      </c>
      <c r="P21">
        <f t="shared" si="27"/>
        <v>0.22381891324372838</v>
      </c>
      <c r="Q21">
        <f t="shared" si="28"/>
        <v>0.30093265263969271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1.5160486675647709E-2</v>
      </c>
      <c r="U21">
        <f t="shared" si="29"/>
        <v>0.36203732284151213</v>
      </c>
      <c r="V21">
        <f t="shared" si="30"/>
        <v>0.46713467628960459</v>
      </c>
      <c r="W21">
        <f t="shared" si="31"/>
        <v>0.19166700356364097</v>
      </c>
      <c r="X21">
        <f t="shared" si="32"/>
        <v>0.25769733268626893</v>
      </c>
      <c r="Y21">
        <f t="shared" si="33"/>
        <v>0.58376714769334748</v>
      </c>
      <c r="Z21">
        <f t="shared" si="34"/>
        <v>0.71018124481528533</v>
      </c>
      <c r="AA21">
        <f t="shared" si="35"/>
        <v>0.3502364740366426</v>
      </c>
      <c r="AB21">
        <f t="shared" si="36"/>
        <v>0.45621734101745037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2.7502337895657099E-2</v>
      </c>
      <c r="AD21">
        <f t="shared" si="37"/>
        <v>0.38640254459814605</v>
      </c>
      <c r="AE21">
        <f t="shared" si="6"/>
        <v>3.9505442682199764E-2</v>
      </c>
      <c r="AF21">
        <f t="shared" si="7"/>
        <v>2.8303123342901318E-3</v>
      </c>
      <c r="AG21">
        <f t="shared" si="8"/>
        <v>1.1506395129969526E-2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1.5690988928288247E-3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8.1831158036676337E-3</v>
      </c>
      <c r="AJ21">
        <f t="shared" si="11"/>
        <v>5.8728497797778094E-5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4.7996314775092757E-5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1.9852014466527175E-4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6.3152894062203893E-4</v>
      </c>
      <c r="AN21">
        <f t="shared" si="15"/>
        <v>4.8386960040231091E-3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1.8896710445332938E-5</v>
      </c>
      <c r="AP21">
        <f>AM20*T20*p_Stroke*p_Stroke_rec*(1-I20) + AN20*T20*p_Stroke*p_Stroke_rec*(1-I20) + AO20*(p_recur_Stroke*p_Stroke_rec)*(1-I20) + AP20*(p_recur_Stroke*p_Stroke_rec)*(1-I20) + AQ20*(p_recur_Stroke*p_Stroke_rec)*(1-I20)</f>
        <v>3.018039969709973E-5</v>
      </c>
      <c r="AQ21">
        <f>AO20*(1-p_recur_Stroke-H20*rr_Stroke*rr_HF)*(1-I20) + AP20*(1-p_recur_Stroke-H20*rr_Stroke*rr_HF)*(1-I20) + AQ20*(1-p_recur_Stroke-H20*rr_Stroke*rr_HF)*(1-I20)</f>
        <v>1.1245199229744939E-4</v>
      </c>
      <c r="AR21">
        <f>AR20*(1-AC20-H20*rr_DM) + AD20*(1-T20-H20)*I20</f>
        <v>0.29630182392757959</v>
      </c>
      <c r="AS21">
        <f>AR20*AC20*p_Other + AD20*T20*p_Other*I20 + AE20*(1-T20*p_Stroke-T20*p_MI-H20*rr_Other)*I20 + AS20*(1-AC20*p_Stroke-AC20*p_MI-H20*rr_Other*rr_DM)</f>
        <v>4.7404595365930474E-2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3.7905261263420685E-3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1.4133766086036307E-2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2.177542489275115E-3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1.0232051318872041E-2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1.2374361982199822E-4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1.0281865436237761E-4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3.8527988688915693E-4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8.386596889789472E-4</v>
      </c>
      <c r="BB21">
        <f>AM20*(1-T20*p_Stroke - H20*rr_HF)*I20 + AN20*(1-T20*p_Stroke - H20*rr_HF)*I20 + BA20*(1-AC20*p_Stroke - H20*rr_HF*rr_DM) + BB20*(1-AC20*p_Stroke - H20*rr_HF*rr_DM)</f>
        <v>5.7624774733984942E-3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3.893134741814331E-5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6.0689398455227791E-5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2.0800897834156762E-4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0.10450517719287339</v>
      </c>
      <c r="BG21">
        <f t="shared" si="17"/>
        <v>0.94200000000000017</v>
      </c>
      <c r="BH21">
        <f>(0.9442 - 0.0007*$B21 - dis_BMI*($C21-21.75))*AD21</f>
        <v>0.32950283789334606</v>
      </c>
      <c r="BI21">
        <f>0.959*(0.9442 - 0.0007*$B21 - dis_BMI*($C21-21.75))*AE21</f>
        <v>3.2306857902511102E-2</v>
      </c>
      <c r="BJ21">
        <f>(0.943*(0.9442 - 0.0007*$B21 - dis_BMI*($C21-21.75)) - 0.19*0.5)*AF21</f>
        <v>2.0070835423309343E-3</v>
      </c>
      <c r="BK21">
        <f>(0.943*(0.9442 - 0.0007*$B21 - dis_BMI*($C21-21.75)))*AG21</f>
        <v>9.2527357229448288E-3</v>
      </c>
      <c r="BL21">
        <f>(0.955*(0.9442 - 0.0007*$B21 - dis_BMI*($C21-21.75)) - 0.15*0.5)*AH21</f>
        <v>1.160146962811715E-3</v>
      </c>
      <c r="BM21">
        <f>(0.955*(0.9442 - 0.0007*$B21 - dis_BMI*($C21-21.75)))*AI21</f>
        <v>6.6640960871286207E-3</v>
      </c>
      <c r="BN21">
        <f>(0.955*0.943*(0.9442 - 0.0007*$B21 - dis_BMI*($C21-21.75)) - 0.19*0.5)*AJ21</f>
        <v>3.952147772288356E-5</v>
      </c>
      <c r="BO21">
        <f>(0.955*0.943*(0.9442 - 0.0007*$B21 - dis_BMI*($C21-21.75)) - 0.15*0.5)*AK21</f>
        <v>3.3259156759321094E-5</v>
      </c>
      <c r="BP21">
        <f>(0.955*0.943*(0.9442 - 0.0007*$B21 - dis_BMI*($C21-21.75)))*AL21</f>
        <v>1.5245400187565927E-4</v>
      </c>
      <c r="BQ21">
        <f>(0.93*(0.9442 - 0.0007*$B21 - dis_BMI*($C21-21.75)))*AM21</f>
        <v>5.0083582621778878E-4</v>
      </c>
      <c r="BR21">
        <f>(0.93*(0.9442 - 0.0007*$B21 - dis_BMI*($C21-21.75)))*AN21</f>
        <v>3.8373416562741381E-3</v>
      </c>
      <c r="BS21">
        <f>(0.93*0.943*(0.9442 - 0.0007*$B21 - dis_BMI*($C21-21.75)))*AO21</f>
        <v>1.413188294006118E-5</v>
      </c>
      <c r="BT21">
        <f>(0.93*0.943*(0.9442 - 0.0007*$B21 - dis_BMI*($C21-21.75))-0.19*0.5)*AP21</f>
        <v>1.970323885904593E-5</v>
      </c>
      <c r="BU21">
        <f>(0.93*0.943*(0.9442 - 0.0007*$B21 - dis_BMI*($C21-21.75)))*AQ21</f>
        <v>8.4097091719829084E-5</v>
      </c>
      <c r="BV21">
        <f>0.962*(0.9442 - 0.0007*$B21 - dis_BMI*($C21-21.75))*AR21</f>
        <v>0.24306844268900915</v>
      </c>
      <c r="BW21">
        <f>0.962*0.959*(0.9442 - 0.0007*$B21 - dis_BMI*($C21-21.75))*AS21</f>
        <v>3.7293513814320216E-2</v>
      </c>
      <c r="BX21">
        <f>0.962*(0.943*(0.9442 - 0.0007*$B21 - dis_BMI*($C21-21.75)) - 0.19*0.5)*AT21</f>
        <v>2.5858638346371284E-3</v>
      </c>
      <c r="BY21">
        <f>0.962*(0.943*(0.9442 - 0.0007*$B21 - dis_BMI*($C21-21.75)))*AU21</f>
        <v>1.0933616728188518E-2</v>
      </c>
      <c r="BZ21">
        <f>0.962*(0.955*(0.9442 - 0.0007*$B21 - dis_BMI*($C21-21.75)) - 0.15*0.5)*AV21</f>
        <v>1.5488323156880339E-3</v>
      </c>
      <c r="CA21">
        <f>0.962*(0.955*(0.9442 - 0.0007*$B21 - dis_BMI*($C21-21.75)))*AW21</f>
        <v>8.0160484772821491E-3</v>
      </c>
      <c r="CB21">
        <f>0.962*(0.955*0.943*(0.9442 - 0.0007*$B21 - dis_BMI*($C21-21.75)) - 0.19*0.5)*AX21</f>
        <v>8.0109158644010053E-5</v>
      </c>
      <c r="CC21">
        <f>0.962*(0.955*0.943*(0.9442 - 0.0007*$B21 - dis_BMI*($C21-21.75)) - 0.15*0.5)*AY21</f>
        <v>6.8540983039921822E-5</v>
      </c>
      <c r="CD21">
        <f>0.962*(0.955*0.943*(0.9442 - 0.0007*$B21 - dis_BMI*($C21-21.75)))*AZ21</f>
        <v>2.8463326576245898E-4</v>
      </c>
      <c r="CE21">
        <f>0.962*(0.93*(0.9442 - 0.0007*$B21 - dis_BMI*($C21-21.75)))*BA21</f>
        <v>6.3982760117692263E-4</v>
      </c>
      <c r="CF21">
        <f>0.962*(0.93*(0.9442 - 0.0007*$B21 - dis_BMI*($C21-21.75)))*BB21</f>
        <v>4.3962911143725749E-3</v>
      </c>
      <c r="CG21">
        <f>0.962*(0.93*0.943*(0.9442 - 0.0007*$B21 - dis_BMI*($C21-21.75)))*BC21</f>
        <v>2.8008401920298946E-5</v>
      </c>
      <c r="CH21">
        <f>0.962*(0.93*0.943*(0.9442 - 0.0007*$B21 - dis_BMI*($C21-21.75))-0.19*0.5)*BD21</f>
        <v>3.8115405110246269E-5</v>
      </c>
      <c r="CI21">
        <f>0.962*(0.93*0.943*(0.9442 - 0.0007*$B21 - dis_BMI*($C21-21.75)))*BE21</f>
        <v>1.4964802029190168E-4</v>
      </c>
      <c r="CJ21">
        <f t="shared" si="18"/>
        <v>0</v>
      </c>
      <c r="CK21">
        <f t="shared" si="19"/>
        <v>0.69470659425288528</v>
      </c>
      <c r="CL21">
        <f>CK21/(1+r_)^A21</f>
        <v>0.4080669073396177</v>
      </c>
      <c r="CM21">
        <f>AD21*c_LIR_2</f>
        <v>4544.0939244741976</v>
      </c>
      <c r="CN21">
        <f>AE21*(c_Other+c_LIR_2)</f>
        <v>1028.6822220017996</v>
      </c>
      <c r="CO21">
        <f>AF21*(c_Stroke1+c_Stroke2+c_LIR_2)</f>
        <v>100.69119160470572</v>
      </c>
      <c r="CP21">
        <f>AG21*(c_Stroke2 + c_LIR_2)</f>
        <v>210.10677507324354</v>
      </c>
      <c r="CQ21">
        <f>AH21*(c_MI1+c_MI2 + c_LIR_2)</f>
        <v>64.193404804520043</v>
      </c>
      <c r="CR21">
        <f>AI21*(c_MI2+c_LIR_2)</f>
        <v>121.74021381116339</v>
      </c>
      <c r="CS21">
        <f>AJ21*(c_Stroke1+c_Stroke2+c_MI2+c_LIR_2)</f>
        <v>2.2723817652894276</v>
      </c>
      <c r="CT21">
        <f>AK21*(c_Stroke2+c_MI1+c_MI2+c_LIR_2)</f>
        <v>2.2755532798019229</v>
      </c>
      <c r="CU21">
        <f>AL21*(c_Stroke2+c_MI2+c_LIR_2)</f>
        <v>4.2437651325095143</v>
      </c>
      <c r="CV21">
        <f>AM21*(c_HF1+c_LIR_2)</f>
        <v>24.497007606728889</v>
      </c>
      <c r="CW21">
        <f>AN21*(c_HF2+c_LIR_2)</f>
        <v>132.41091615009239</v>
      </c>
      <c r="CX21">
        <f>AO21*(c_Stroke2+c_HF1+c_LIR_2)</f>
        <v>0.85583201606912873</v>
      </c>
      <c r="CY21">
        <f>AP21*(c_Stroke1+c_Stroke2+c_HF2+c_LIR_2)</f>
        <v>1.5446630368972614</v>
      </c>
      <c r="CZ21">
        <f>AQ21*(c_Stroke2+c_HF2+c_LIR_2)</f>
        <v>3.8081867191531238</v>
      </c>
      <c r="DA21">
        <f>AR21*(c_DM+c_LIR_2)</f>
        <v>6869.7577877609328</v>
      </c>
      <c r="DB21">
        <f>AS21*(c_Other+c_DM+c_LIR_2)</f>
        <v>1775.9657607892193</v>
      </c>
      <c r="DC21">
        <f>AT21*(c_Stroke1+c_Stroke2+c_DM+c_LIR_2)</f>
        <v>178.15851846420355</v>
      </c>
      <c r="DD21">
        <f>AU21*(c_Stroke2+c_DM+c_LIR_2)</f>
        <v>419.5608462639878</v>
      </c>
      <c r="DE21">
        <f>AV21*(c_MI1+c_MI2+c_DM+c_LIR_2)</f>
        <v>113.96386371870241</v>
      </c>
      <c r="DF21">
        <f>AW21*(c_MI2+c_DM+c_LIR_2)</f>
        <v>269.12341378897241</v>
      </c>
      <c r="DG21">
        <f>AX21*(c_Stroke1+c_Stroke2+c_MI2+c_DM+c_LIR_2)</f>
        <v>6.201782738238907</v>
      </c>
      <c r="DH21">
        <f>AY21*(c_Stroke2+c_MI1+c_MI2+c_DM+c_LIR_2)</f>
        <v>6.0494383480648493</v>
      </c>
      <c r="DI21">
        <f>AZ21*(c_Stroke2+c_MI2+c_DM+c_LIR_2)</f>
        <v>12.637950849738125</v>
      </c>
      <c r="DJ21">
        <f>BA21*(c_HF1+c_DM+c_LIR_2)</f>
        <v>42.113296282077833</v>
      </c>
      <c r="DK21">
        <f>BB21*(c_HF2+c_DM+c_LIR_2)</f>
        <v>223.52650119312759</v>
      </c>
      <c r="DL21">
        <f>BC21*(c_Stroke2+c_HF1+c_DM+c_LIR_2)</f>
        <v>2.2079913688199979</v>
      </c>
      <c r="DM21">
        <f>BD21*(c_Stroke1+c_Stroke2+c_HF2+c_DM+c_LIR_2)</f>
        <v>3.7995204796879909</v>
      </c>
      <c r="DN21">
        <f>BE21*(c_Stroke2+c_HF2+c_DM+c_LIR_2)</f>
        <v>9.4207266290895983</v>
      </c>
      <c r="DO21">
        <f t="shared" si="5"/>
        <v>0</v>
      </c>
      <c r="DP21">
        <f t="shared" si="38"/>
        <v>16173.903436151037</v>
      </c>
      <c r="DQ21">
        <f>DP21/(1+r_)^A21</f>
        <v>9500.4636625015846</v>
      </c>
    </row>
    <row r="22" spans="1:121" x14ac:dyDescent="0.3">
      <c r="A22">
        <v>19</v>
      </c>
      <c r="B22">
        <v>64</v>
      </c>
      <c r="C22">
        <f t="shared" si="39"/>
        <v>36.1</v>
      </c>
      <c r="D22">
        <f t="shared" si="1"/>
        <v>125</v>
      </c>
      <c r="E22">
        <f t="shared" si="40"/>
        <v>5.5</v>
      </c>
      <c r="F22">
        <v>8.9599999999999992E-3</v>
      </c>
      <c r="G22">
        <v>1.523E-2</v>
      </c>
      <c r="H22">
        <f t="shared" si="3"/>
        <v>1.0213999999999999E-2</v>
      </c>
      <c r="I22">
        <f t="shared" si="20"/>
        <v>3.2286349135090861E-2</v>
      </c>
      <c r="J22">
        <f t="shared" si="21"/>
        <v>0.19392129220475673</v>
      </c>
      <c r="K22">
        <f t="shared" si="22"/>
        <v>0.26059492943246865</v>
      </c>
      <c r="L22">
        <f t="shared" si="23"/>
        <v>9.7017792887667875E-2</v>
      </c>
      <c r="M22">
        <f t="shared" si="24"/>
        <v>0.13317966457545061</v>
      </c>
      <c r="N22">
        <f t="shared" si="25"/>
        <v>0.41781970597635709</v>
      </c>
      <c r="O22">
        <f t="shared" si="26"/>
        <v>0.53438297487919661</v>
      </c>
      <c r="P22">
        <f t="shared" si="27"/>
        <v>0.23363772995511656</v>
      </c>
      <c r="Q22">
        <f t="shared" si="28"/>
        <v>0.31339543750374188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1.5773066189804834E-2</v>
      </c>
      <c r="U22">
        <f t="shared" si="29"/>
        <v>0.37446953374315417</v>
      </c>
      <c r="V22">
        <f t="shared" si="30"/>
        <v>0.48162060273232954</v>
      </c>
      <c r="W22">
        <f t="shared" si="31"/>
        <v>0.19916276125598664</v>
      </c>
      <c r="X22">
        <f t="shared" si="32"/>
        <v>0.26731961294067275</v>
      </c>
      <c r="Y22">
        <f t="shared" si="33"/>
        <v>0.60170079045345126</v>
      </c>
      <c r="Z22">
        <f t="shared" si="34"/>
        <v>0.72766693493389067</v>
      </c>
      <c r="AA22">
        <f t="shared" si="35"/>
        <v>0.36416125054964055</v>
      </c>
      <c r="AB22">
        <f t="shared" si="36"/>
        <v>0.47261050219941825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2.8497265102391978E-2</v>
      </c>
      <c r="AD22">
        <f t="shared" si="37"/>
        <v>0.36464297517392291</v>
      </c>
      <c r="AE22">
        <f t="shared" si="6"/>
        <v>4.0384792881246211E-2</v>
      </c>
      <c r="AF22">
        <f t="shared" si="7"/>
        <v>2.8538532222995316E-3</v>
      </c>
      <c r="AG22">
        <f t="shared" si="8"/>
        <v>1.1742861069205041E-2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1.5662680322097897E-3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8.268418761397096E-3</v>
      </c>
      <c r="AJ22">
        <f t="shared" si="11"/>
        <v>6.2885660019257095E-5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5.1475831128444311E-5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2.1477427732838057E-4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6.3434943085405164E-4</v>
      </c>
      <c r="AN22">
        <f t="shared" si="15"/>
        <v>5.1820078807421812E-3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2.0390154389571209E-5</v>
      </c>
      <c r="AP22">
        <f>AM21*T21*p_Stroke*p_Stroke_rec*(1-I21) + AN21*T21*p_Stroke*p_Stroke_rec*(1-I21) + AO21*(p_recur_Stroke*p_Stroke_rec)*(1-I21) + AP21*(p_recur_Stroke*p_Stroke_rec)*(1-I21) + AQ21*(p_recur_Stroke*p_Stroke_rec)*(1-I21)</f>
        <v>3.423874456274404E-5</v>
      </c>
      <c r="AQ22">
        <f>AO21*(1-p_recur_Stroke-H21*rr_Stroke*rr_HF)*(1-I21) + AP21*(1-p_recur_Stroke-H21*rr_Stroke*rr_HF)*(1-I21) + AQ21*(1-p_recur_Stroke-H21*rr_Stroke*rr_HF)*(1-I21)</f>
        <v>1.2894730073902607E-4</v>
      </c>
      <c r="AR22">
        <f>AR21*(1-AC21-H21*rr_DM) + AD21*(1-T21-H21)*I21</f>
        <v>0.29702426710226382</v>
      </c>
      <c r="AS22">
        <f>AR21*AC21*p_Other + AD21*T21*p_Other*I21 + AE21*(1-T21*p_Stroke-T21*p_MI-H21*rr_Other)*I21 + AS21*(1-AC21*p_Stroke-AC21*p_MI-H21*rr_Other*rr_DM)</f>
        <v>5.1645837030623844E-2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4.0742541796875056E-3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1.5432944567209853E-2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2.317215466765422E-3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1.1084715524962714E-2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1.4186302793818954E-4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1.1785863529493388E-4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4.4764062341240185E-4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9.0012171837135549E-4</v>
      </c>
      <c r="BB22">
        <f>AM21*(1-T21*p_Stroke - H21*rr_HF)*I21 + AN21*(1-T21*p_Stroke - H21*rr_HF)*I21 + BA21*(1-AC21*p_Stroke - H21*rr_HF*rr_DM) + BB21*(1-AC21*p_Stroke - H21*rr_HF*rr_DM)</f>
        <v>6.5986966972487885E-3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4.4991770942514367E-5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7.351992985883049E-5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2.5553227803028227E-4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0.11605230302734525</v>
      </c>
      <c r="BG22">
        <f t="shared" si="17"/>
        <v>0.94200000000000006</v>
      </c>
      <c r="BH22">
        <f>(0.9442 - 0.0007*$B22 - dis_BMI*($C22-21.75))*AD22</f>
        <v>0.31069222378206518</v>
      </c>
      <c r="BI22">
        <f>0.959*(0.9442 - 0.0007*$B22 - dis_BMI*($C22-21.75))*AE22</f>
        <v>3.2998864755630866E-2</v>
      </c>
      <c r="BJ22">
        <f>(0.943*(0.9442 - 0.0007*$B22 - dis_BMI*($C22-21.75)) - 0.19*0.5)*AF22</f>
        <v>2.0218934646544793E-3</v>
      </c>
      <c r="BK22">
        <f>(0.943*(0.9442 - 0.0007*$B22 - dis_BMI*($C22-21.75)))*AG22</f>
        <v>9.4351356343072932E-3</v>
      </c>
      <c r="BL22">
        <f>(0.955*(0.9442 - 0.0007*$B22 - dis_BMI*($C22-21.75)) - 0.15*0.5)*AH22</f>
        <v>1.1570068550407675E-3</v>
      </c>
      <c r="BM22">
        <f>(0.955*(0.9442 - 0.0007*$B22 - dis_BMI*($C22-21.75)))*AI22</f>
        <v>6.7280369446946322E-3</v>
      </c>
      <c r="BN22">
        <f>(0.955*0.943*(0.9442 - 0.0007*$B22 - dis_BMI*($C22-21.75)) - 0.19*0.5)*AJ22</f>
        <v>4.2279406768055673E-5</v>
      </c>
      <c r="BO22">
        <f>(0.955*0.943*(0.9442 - 0.0007*$B22 - dis_BMI*($C22-21.75)) - 0.15*0.5)*AK22</f>
        <v>3.5637845490180097E-5</v>
      </c>
      <c r="BP22">
        <f>(0.955*0.943*(0.9442 - 0.0007*$B22 - dis_BMI*($C22-21.75)))*AL22</f>
        <v>1.6480100771589036E-4</v>
      </c>
      <c r="BQ22">
        <f>(0.93*(0.9442 - 0.0007*$B22 - dis_BMI*($C22-21.75)))*AM22</f>
        <v>5.0265966255519769E-4</v>
      </c>
      <c r="BR22">
        <f>(0.93*(0.9442 - 0.0007*$B22 - dis_BMI*($C22-21.75)))*AN22</f>
        <v>4.106232631414684E-3</v>
      </c>
      <c r="BS22">
        <f>(0.93*0.943*(0.9442 - 0.0007*$B22 - dis_BMI*($C22-21.75)))*AO22</f>
        <v>1.5236235884657182E-5</v>
      </c>
      <c r="BT22">
        <f>(0.93*0.943*(0.9442 - 0.0007*$B22 - dis_BMI*($C22-21.75))-0.19*0.5)*AP22</f>
        <v>2.2331705661342975E-5</v>
      </c>
      <c r="BU22">
        <f>(0.93*0.943*(0.9442 - 0.0007*$B22 - dis_BMI*($C22-21.75)))*AQ22</f>
        <v>9.6353929117598333E-5</v>
      </c>
      <c r="BV22">
        <f>0.962*(0.9442 - 0.0007*$B22 - dis_BMI*($C22-21.75))*AR22</f>
        <v>0.24346107607994874</v>
      </c>
      <c r="BW22">
        <f>0.962*0.959*(0.9442 - 0.0007*$B22 - dis_BMI*($C22-21.75))*AS22</f>
        <v>4.0596774744247492E-2</v>
      </c>
      <c r="BX22">
        <f>0.962*(0.943*(0.9442 - 0.0007*$B22 - dis_BMI*($C22-21.75)) - 0.19*0.5)*AT22</f>
        <v>2.7768334184665585E-3</v>
      </c>
      <c r="BY22">
        <f>0.962*(0.943*(0.9442 - 0.0007*$B22 - dis_BMI*($C22-21.75)))*AU22</f>
        <v>1.192883669866799E-2</v>
      </c>
      <c r="BZ22">
        <f>0.962*(0.955*(0.9442 - 0.0007*$B22 - dis_BMI*($C22-21.75)) - 0.15*0.5)*AV22</f>
        <v>1.6466880685730371E-3</v>
      </c>
      <c r="CA22">
        <f>0.962*(0.955*(0.9442 - 0.0007*$B22 - dis_BMI*($C22-21.75)))*AW22</f>
        <v>8.676918691702595E-3</v>
      </c>
      <c r="CB22">
        <f>0.962*(0.955*0.943*(0.9442 - 0.0007*$B22 - dis_BMI*($C22-21.75)) - 0.19*0.5)*AX22</f>
        <v>9.1753271645158584E-5</v>
      </c>
      <c r="CC22">
        <f>0.962*(0.955*0.943*(0.9442 - 0.0007*$B22 - dis_BMI*($C22-21.75)) - 0.15*0.5)*AY22</f>
        <v>7.8495462589767991E-5</v>
      </c>
      <c r="CD22">
        <f>0.962*(0.955*0.943*(0.9442 - 0.0007*$B22 - dis_BMI*($C22-21.75)))*AZ22</f>
        <v>3.3043204677054639E-4</v>
      </c>
      <c r="CE22">
        <f>0.962*(0.93*(0.9442 - 0.0007*$B22 - dis_BMI*($C22-21.75)))*BA22</f>
        <v>6.8615430649786075E-4</v>
      </c>
      <c r="CF22">
        <f>0.962*(0.93*(0.9442 - 0.0007*$B22 - dis_BMI*($C22-21.75)))*BB22</f>
        <v>5.0301243306102549E-3</v>
      </c>
      <c r="CG22">
        <f>0.962*(0.93*0.943*(0.9442 - 0.0007*$B22 - dis_BMI*($C22-21.75)))*BC22</f>
        <v>3.2341885373749461E-5</v>
      </c>
      <c r="CH22">
        <f>0.962*(0.93*0.943*(0.9442 - 0.0007*$B22 - dis_BMI*($C22-21.75))-0.19*0.5)*BD22</f>
        <v>4.6130081214552025E-5</v>
      </c>
      <c r="CI22">
        <f>0.962*(0.93*0.943*(0.9442 - 0.0007*$B22 - dis_BMI*($C22-21.75)))*BE22</f>
        <v>1.8368682699571485E-4</v>
      </c>
      <c r="CJ22">
        <f t="shared" si="18"/>
        <v>0</v>
      </c>
      <c r="CK22">
        <f t="shared" si="19"/>
        <v>0.68358493977430479</v>
      </c>
      <c r="CL22">
        <f>CK22/(1+r_)^A22</f>
        <v>0.3898389392923573</v>
      </c>
      <c r="CM22">
        <f>AD22*c_LIR_2</f>
        <v>4288.2013880453333</v>
      </c>
      <c r="CN22">
        <f>AE22*(c_Other+c_LIR_2)</f>
        <v>1051.57962183477</v>
      </c>
      <c r="CO22">
        <f>AF22*(c_Stroke1+c_Stroke2+c_LIR_2)</f>
        <v>101.52868223652814</v>
      </c>
      <c r="CP22">
        <f>AG22*(c_Stroke2 + c_LIR_2)</f>
        <v>214.42464312368406</v>
      </c>
      <c r="CQ22">
        <f>AH22*(c_MI1+c_MI2 + c_LIR_2)</f>
        <v>64.077591465734713</v>
      </c>
      <c r="CR22">
        <f>AI22*(c_MI2+c_LIR_2)</f>
        <v>123.0092659133046</v>
      </c>
      <c r="CS22">
        <f>AJ22*(c_Stroke1+c_Stroke2+c_MI2+c_LIR_2)</f>
        <v>2.4332348431251147</v>
      </c>
      <c r="CT22">
        <f>AK22*(c_Stroke2+c_MI1+c_MI2+c_LIR_2)</f>
        <v>2.4405206296306732</v>
      </c>
      <c r="CU22">
        <f>AL22*(c_Stroke2+c_MI2+c_LIR_2)</f>
        <v>4.5912297264487911</v>
      </c>
      <c r="CV22">
        <f>AM22*(c_HF1+c_LIR_2)</f>
        <v>24.606414422828664</v>
      </c>
      <c r="CW22">
        <f>AN22*(c_HF2+c_LIR_2)</f>
        <v>141.8056456565098</v>
      </c>
      <c r="CX22">
        <f>AO22*(c_Stroke2+c_HF1+c_LIR_2)</f>
        <v>0.92347009230368005</v>
      </c>
      <c r="CY22">
        <f>AP22*(c_Stroke1+c_Stroke2+c_HF2+c_LIR_2)</f>
        <v>1.7523731854658027</v>
      </c>
      <c r="CZ22">
        <f>AQ22*(c_Stroke2+c_HF2+c_LIR_2)</f>
        <v>4.366800339527118</v>
      </c>
      <c r="DA22">
        <f>AR22*(c_DM+c_LIR_2)</f>
        <v>6886.5076327659863</v>
      </c>
      <c r="DB22">
        <f>AS22*(c_Other+c_DM+c_LIR_2)</f>
        <v>1934.8596385152916</v>
      </c>
      <c r="DC22">
        <f>AT22*(c_Stroke1+c_Stroke2+c_DM+c_LIR_2)</f>
        <v>191.49402069949244</v>
      </c>
      <c r="DD22">
        <f>AU22*(c_Stroke2+c_DM+c_LIR_2)</f>
        <v>458.1269594776245</v>
      </c>
      <c r="DE22">
        <f>AV22*(c_MI1+c_MI2+c_DM+c_LIR_2)</f>
        <v>121.27378866863512</v>
      </c>
      <c r="DF22">
        <f>AW22*(c_MI2+c_DM+c_LIR_2)</f>
        <v>291.55018773756933</v>
      </c>
      <c r="DG22">
        <f>AX22*(c_Stroke1+c_Stroke2+c_MI2+c_DM+c_LIR_2)</f>
        <v>7.1098912342061835</v>
      </c>
      <c r="DH22">
        <f>AY22*(c_Stroke2+c_MI1+c_MI2+c_DM+c_LIR_2)</f>
        <v>6.9343306662127295</v>
      </c>
      <c r="DI22">
        <f>AZ22*(c_Stroke2+c_MI2+c_DM+c_LIR_2)</f>
        <v>14.683507729173606</v>
      </c>
      <c r="DJ22">
        <f>BA22*(c_HF1+c_DM+c_LIR_2)</f>
        <v>45.199612088017616</v>
      </c>
      <c r="DK22">
        <f>BB22*(c_HF2+c_DM+c_LIR_2)</f>
        <v>255.96344488628051</v>
      </c>
      <c r="DL22">
        <f>BC22*(c_Stroke2+c_HF1+c_DM+c_LIR_2)</f>
        <v>2.5517082890047025</v>
      </c>
      <c r="DM22">
        <f>BD22*(c_Stroke1+c_Stroke2+c_HF2+c_DM+c_LIR_2)</f>
        <v>4.6027887287419418</v>
      </c>
      <c r="DN22">
        <f>BE22*(c_Stroke2+c_HF2+c_DM+c_LIR_2)</f>
        <v>11.573056871991485</v>
      </c>
      <c r="DO22">
        <f t="shared" si="5"/>
        <v>0</v>
      </c>
      <c r="DP22">
        <f t="shared" si="38"/>
        <v>16258.171449873424</v>
      </c>
      <c r="DQ22">
        <f>DP22/(1+r_)^A22</f>
        <v>9271.807999375389</v>
      </c>
    </row>
    <row r="23" spans="1:121" x14ac:dyDescent="0.3">
      <c r="A23">
        <v>20</v>
      </c>
      <c r="B23">
        <v>65</v>
      </c>
      <c r="C23">
        <f t="shared" si="39"/>
        <v>36.1</v>
      </c>
      <c r="D23">
        <f t="shared" si="1"/>
        <v>125</v>
      </c>
      <c r="E23">
        <f t="shared" si="40"/>
        <v>5.5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0"/>
        <v>3.2286349135090861E-2</v>
      </c>
      <c r="J23">
        <f t="shared" si="21"/>
        <v>0.20137444376681746</v>
      </c>
      <c r="K23">
        <f t="shared" si="22"/>
        <v>0.27015187320663958</v>
      </c>
      <c r="L23">
        <f t="shared" si="23"/>
        <v>0.10097993362228341</v>
      </c>
      <c r="M23">
        <f t="shared" si="24"/>
        <v>0.13850170469599188</v>
      </c>
      <c r="N23">
        <f t="shared" si="25"/>
        <v>0.43318672909143796</v>
      </c>
      <c r="O23">
        <f t="shared" si="26"/>
        <v>0.55165382869666424</v>
      </c>
      <c r="P23">
        <f t="shared" si="27"/>
        <v>0.24365561604774433</v>
      </c>
      <c r="Q23">
        <f t="shared" si="28"/>
        <v>0.32604310733232977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1.6396540364216776E-2</v>
      </c>
      <c r="U23">
        <f t="shared" si="29"/>
        <v>0.38698838454061335</v>
      </c>
      <c r="V23">
        <f t="shared" si="30"/>
        <v>0.49609142374072279</v>
      </c>
      <c r="W23">
        <f t="shared" si="31"/>
        <v>0.20679045817868946</v>
      </c>
      <c r="X23">
        <f t="shared" si="32"/>
        <v>0.27707430320344195</v>
      </c>
      <c r="Y23">
        <f t="shared" si="33"/>
        <v>0.61942477886928682</v>
      </c>
      <c r="Z23">
        <f t="shared" si="34"/>
        <v>0.74463164067923326</v>
      </c>
      <c r="AA23">
        <f t="shared" si="35"/>
        <v>0.37823990155959375</v>
      </c>
      <c r="AB23">
        <f t="shared" si="36"/>
        <v>0.48903474456623963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2.9501434005111363E-2</v>
      </c>
      <c r="AD23">
        <f t="shared" si="37"/>
        <v>0.34369992911724317</v>
      </c>
      <c r="AE23">
        <f t="shared" si="6"/>
        <v>4.1106308921794156E-2</v>
      </c>
      <c r="AF23">
        <f t="shared" si="7"/>
        <v>2.8676163414771572E-3</v>
      </c>
      <c r="AG23">
        <f t="shared" si="8"/>
        <v>1.1929782823529351E-2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1.5597300061447198E-3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8.3287915905721644E-3</v>
      </c>
      <c r="AJ23">
        <f t="shared" si="11"/>
        <v>6.6927705797466537E-5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5.484100700445161E-5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2.3072412456581214E-4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6.3539679118971768E-4</v>
      </c>
      <c r="AN23">
        <f t="shared" si="15"/>
        <v>5.503516859890467E-3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2.1841207599092017E-5</v>
      </c>
      <c r="AP23">
        <f>AM22*T22*p_Stroke*p_Stroke_rec*(1-I22) + AN22*T22*p_Stroke*p_Stroke_rec*(1-I22) + AO22*(p_recur_Stroke*p_Stroke_rec)*(1-I22) + AP22*(p_recur_Stroke*p_Stroke_rec)*(1-I22) + AQ22*(p_recur_Stroke*p_Stroke_rec)*(1-I22)</f>
        <v>3.839827281486794E-5</v>
      </c>
      <c r="AQ23">
        <f>AO22*(1-p_recur_Stroke-H22*rr_Stroke*rr_HF)*(1-I22) + AP22*(1-p_recur_Stroke-H22*rr_Stroke*rr_HF)*(1-I22) + AQ22*(1-p_recur_Stroke-H22*rr_Stroke*rr_HF)*(1-I22)</f>
        <v>1.4599475984653702E-4</v>
      </c>
      <c r="AR23">
        <f>AR22*(1-AC22-H22*rr_DM) + AD22*(1-T22-H22)*I22</f>
        <v>0.29653805600218469</v>
      </c>
      <c r="AS23">
        <f>AR22*AC22*p_Other + AD22*T22*p_Other*I22 + AE22*(1-T22*p_Stroke-T22*p_MI-H22*rr_Other)*I22 + AS22*(1-AC22*p_Stroke-AC22*p_MI-H22*rr_Other*rr_DM)</f>
        <v>5.5857792533764494E-2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4.3517567155077017E-3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1.6724868358185437E-2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2.4528452286323972E-3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1.1934700488119275E-2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1.6113967064415791E-4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1.3377366082386431E-4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5.1474272540884606E-4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9.6056388808372526E-4</v>
      </c>
      <c r="BB23">
        <f>AM22*(1-T22*p_Stroke - H22*rr_HF)*I22 + AN22*(1-T22*p_Stroke - H22*rr_HF)*I22 + BA22*(1-AC22*p_Stroke - H22*rr_HF*rr_DM) + BB22*(1-AC22*p_Stroke - H22*rr_HF*rr_DM)</f>
        <v>7.4729761550072979E-3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5.1449788860348438E-5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8.7793592155231822E-5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3.0900126039625007E-4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0.12825874040275712</v>
      </c>
      <c r="BG23">
        <f t="shared" si="17"/>
        <v>0.94200000000000006</v>
      </c>
      <c r="BH23">
        <f>(0.9442 - 0.0007*$B23 - dis_BMI*($C23-21.75))*AD23</f>
        <v>0.29260721615431939</v>
      </c>
      <c r="BI23">
        <f>0.959*(0.9442 - 0.0007*$B23 - dis_BMI*($C23-21.75))*AE23</f>
        <v>3.3560828895694825E-2</v>
      </c>
      <c r="BJ23">
        <f>(0.943*(0.9442 - 0.0007*$B23 - dis_BMI*($C23-21.75)) - 0.19*0.5)*AF23</f>
        <v>2.029751424243153E-3</v>
      </c>
      <c r="BK23">
        <f>(0.943*(0.9442 - 0.0007*$B23 - dis_BMI*($C23-21.75)))*AG23</f>
        <v>9.5774483832974325E-3</v>
      </c>
      <c r="BL23">
        <f>(0.955*(0.9442 - 0.0007*$B23 - dis_BMI*($C23-21.75)) - 0.15*0.5)*AH23</f>
        <v>1.1511345162267652E-3</v>
      </c>
      <c r="BM23">
        <f>(0.955*(0.9442 - 0.0007*$B23 - dis_BMI*($C23-21.75)))*AI23</f>
        <v>6.7715946982252551E-3</v>
      </c>
      <c r="BN23">
        <f>(0.955*0.943*(0.9442 - 0.0007*$B23 - dis_BMI*($C23-21.75)) - 0.19*0.5)*AJ23</f>
        <v>4.4954771762916476E-5</v>
      </c>
      <c r="BO23">
        <f>(0.955*0.943*(0.9442 - 0.0007*$B23 - dis_BMI*($C23-21.75)) - 0.15*0.5)*AK23</f>
        <v>3.7933058940716637E-5</v>
      </c>
      <c r="BP23">
        <f>(0.955*0.943*(0.9442 - 0.0007*$B23 - dis_BMI*($C23-21.75)))*AL23</f>
        <v>1.768942274394863E-4</v>
      </c>
      <c r="BQ23">
        <f>(0.93*(0.9442 - 0.0007*$B23 - dis_BMI*($C23-21.75)))*AM23</f>
        <v>5.0307594951173147E-4</v>
      </c>
      <c r="BR23">
        <f>(0.93*(0.9442 - 0.0007*$B23 - dis_BMI*($C23-21.75)))*AN23</f>
        <v>4.3574141518076086E-3</v>
      </c>
      <c r="BS23">
        <f>(0.93*0.943*(0.9442 - 0.0007*$B23 - dis_BMI*($C23-21.75)))*AO23</f>
        <v>1.6307105384755933E-5</v>
      </c>
      <c r="BT23">
        <f>(0.93*0.943*(0.9442 - 0.0007*$B23 - dis_BMI*($C23-21.75))-0.19*0.5)*AP23</f>
        <v>2.5021122909328026E-5</v>
      </c>
      <c r="BU23">
        <f>(0.93*0.943*(0.9442 - 0.0007*$B23 - dis_BMI*($C23-21.75)))*AQ23</f>
        <v>1.0900276111741119E-4</v>
      </c>
      <c r="BV23">
        <f>0.962*(0.9442 - 0.0007*$B23 - dis_BMI*($C23-21.75))*AR23</f>
        <v>0.2428628560182671</v>
      </c>
      <c r="BW23">
        <f>0.962*0.959*(0.9442 - 0.0007*$B23 - dis_BMI*($C23-21.75))*AS23</f>
        <v>4.3871555971485066E-2</v>
      </c>
      <c r="BX23">
        <f>0.962*(0.943*(0.9442 - 0.0007*$B23 - dis_BMI*($C23-21.75)) - 0.19*0.5)*AT23</f>
        <v>2.9632035713732922E-3</v>
      </c>
      <c r="BY23">
        <f>0.962*(0.943*(0.9442 - 0.0007*$B23 - dis_BMI*($C23-21.75)))*AU23</f>
        <v>1.2916803791612936E-2</v>
      </c>
      <c r="BZ23">
        <f>0.962*(0.955*(0.9442 - 0.0007*$B23 - dis_BMI*($C23-21.75)) - 0.15*0.5)*AV23</f>
        <v>1.7414935356283078E-3</v>
      </c>
      <c r="CA23">
        <f>0.962*(0.955*(0.9442 - 0.0007*$B23 - dis_BMI*($C23-21.75)))*AW23</f>
        <v>9.3345966737059683E-3</v>
      </c>
      <c r="CB23">
        <f>0.962*(0.955*0.943*(0.9442 - 0.0007*$B23 - dis_BMI*($C23-21.75)) - 0.19*0.5)*AX23</f>
        <v>1.0412317503380755E-4</v>
      </c>
      <c r="CC23">
        <f>0.962*(0.955*0.943*(0.9442 - 0.0007*$B23 - dis_BMI*($C23-21.75)) - 0.15*0.5)*AY23</f>
        <v>8.9013961436602298E-5</v>
      </c>
      <c r="CD23">
        <f>0.962*(0.955*0.943*(0.9442 - 0.0007*$B23 - dis_BMI*($C23-21.75)))*AZ23</f>
        <v>3.7965222002668634E-4</v>
      </c>
      <c r="CE23">
        <f>0.962*(0.93*(0.9442 - 0.0007*$B23 - dis_BMI*($C23-21.75)))*BA23</f>
        <v>7.3162723842454974E-4</v>
      </c>
      <c r="CF23">
        <f>0.962*(0.93*(0.9442 - 0.0007*$B23 - dis_BMI*($C23-21.75)))*BB23</f>
        <v>5.6918992842920025E-3</v>
      </c>
      <c r="CG23">
        <f>0.962*(0.93*0.943*(0.9442 - 0.0007*$B23 - dis_BMI*($C23-21.75)))*BC23</f>
        <v>3.6953782633423153E-5</v>
      </c>
      <c r="CH23">
        <f>0.962*(0.93*0.943*(0.9442 - 0.0007*$B23 - dis_BMI*($C23-21.75))-0.19*0.5)*BD23</f>
        <v>5.5034243031641322E-5</v>
      </c>
      <c r="CI23">
        <f>0.962*(0.93*0.943*(0.9442 - 0.0007*$B23 - dis_BMI*($C23-21.75)))*BE23</f>
        <v>2.2193998582056531E-4</v>
      </c>
      <c r="CJ23">
        <f t="shared" si="18"/>
        <v>0</v>
      </c>
      <c r="CK23">
        <f t="shared" si="19"/>
        <v>0.67196933067365283</v>
      </c>
      <c r="CL23">
        <f>CK23/(1+r_)^A23</f>
        <v>0.37205312595082146</v>
      </c>
      <c r="CM23">
        <f>AD23*c_LIR_2</f>
        <v>4041.9111664187799</v>
      </c>
      <c r="CN23">
        <f>AE23*(c_Other+c_LIR_2)</f>
        <v>1070.367178014598</v>
      </c>
      <c r="CO23">
        <f>AF23*(c_Stroke1+c_Stroke2+c_LIR_2)</f>
        <v>102.01831896439134</v>
      </c>
      <c r="CP23">
        <f>AG23*(c_Stroke2 + c_LIR_2)</f>
        <v>217.83783435764593</v>
      </c>
      <c r="CQ23">
        <f>AH23*(c_MI1+c_MI2 + c_LIR_2)</f>
        <v>63.810114281386632</v>
      </c>
      <c r="CR23">
        <f>AI23*(c_MI2+c_LIR_2)</f>
        <v>123.90743249294209</v>
      </c>
      <c r="CS23">
        <f>AJ23*(c_Stroke1+c_Stroke2+c_MI2+c_LIR_2)</f>
        <v>2.5896337204213729</v>
      </c>
      <c r="CT23">
        <f>AK23*(c_Stroke2+c_MI1+c_MI2+c_LIR_2)</f>
        <v>2.6000669830880554</v>
      </c>
      <c r="CU23">
        <f>AL23*(c_Stroke2+c_MI2+c_LIR_2)</f>
        <v>4.9321896108433663</v>
      </c>
      <c r="CV23">
        <f>AM23*(c_HF1+c_LIR_2)</f>
        <v>24.647041530249147</v>
      </c>
      <c r="CW23">
        <f>AN23*(c_HF2+c_LIR_2)</f>
        <v>150.60373887090262</v>
      </c>
      <c r="CX23">
        <f>AO23*(c_Stroke2+c_HF1+c_LIR_2)</f>
        <v>0.9891882921628774</v>
      </c>
      <c r="CY23">
        <f>AP23*(c_Stroke1+c_Stroke2+c_HF2+c_LIR_2)</f>
        <v>1.9652620009377559</v>
      </c>
      <c r="CZ23">
        <f>AQ23*(c_Stroke2+c_HF2+c_LIR_2)</f>
        <v>4.9441125422029764</v>
      </c>
      <c r="DA23">
        <f>AR23*(c_DM+c_LIR_2)</f>
        <v>6875.234828410652</v>
      </c>
      <c r="DB23">
        <f>AS23*(c_Other+c_DM+c_LIR_2)</f>
        <v>2092.6563394849532</v>
      </c>
      <c r="DC23">
        <f>AT23*(c_Stroke1+c_Stroke2+c_DM+c_LIR_2)</f>
        <v>204.53691738557748</v>
      </c>
      <c r="DD23">
        <f>AU23*(c_Stroke2+c_DM+c_LIR_2)</f>
        <v>496.47771721273466</v>
      </c>
      <c r="DE23">
        <f>AV23*(c_MI1+c_MI2+c_DM+c_LIR_2)</f>
        <v>128.37210788570513</v>
      </c>
      <c r="DF23">
        <f>AW23*(c_MI2+c_DM+c_LIR_2)</f>
        <v>313.90649223851318</v>
      </c>
      <c r="DG23">
        <f>AX23*(c_Stroke1+c_Stroke2+c_MI2+c_DM+c_LIR_2)</f>
        <v>8.0759980133439058</v>
      </c>
      <c r="DH23">
        <f>AY23*(c_Stroke2+c_MI1+c_MI2+c_DM+c_LIR_2)</f>
        <v>7.8707071082328799</v>
      </c>
      <c r="DI23">
        <f>AZ23*(c_Stroke2+c_MI2+c_DM+c_LIR_2)</f>
        <v>16.884590878860969</v>
      </c>
      <c r="DJ23">
        <f>BA23*(c_HF1+c_DM+c_LIR_2)</f>
        <v>48.234715640124264</v>
      </c>
      <c r="DK23">
        <f>BB23*(c_HF2+c_DM+c_LIR_2)</f>
        <v>289.8767450527331</v>
      </c>
      <c r="DL23">
        <f>BC23*(c_Stroke2+c_HF1+c_DM+c_LIR_2)</f>
        <v>2.9179747752146619</v>
      </c>
      <c r="DM23">
        <f>BD23*(c_Stroke1+c_Stroke2+c_HF2+c_DM+c_LIR_2)</f>
        <v>5.4964056304704432</v>
      </c>
      <c r="DN23">
        <f>BE23*(c_Stroke2+c_HF2+c_DM+c_LIR_2)</f>
        <v>13.994667083346165</v>
      </c>
      <c r="DO23">
        <f t="shared" si="5"/>
        <v>0</v>
      </c>
      <c r="DP23">
        <f t="shared" si="38"/>
        <v>16317.659484881016</v>
      </c>
      <c r="DQ23">
        <f>DP23/(1+r_)^A23</f>
        <v>9034.6924218472996</v>
      </c>
    </row>
    <row r="24" spans="1:121" x14ac:dyDescent="0.3">
      <c r="A24">
        <v>21</v>
      </c>
      <c r="B24">
        <v>66</v>
      </c>
      <c r="C24">
        <f t="shared" si="39"/>
        <v>36.1</v>
      </c>
      <c r="D24">
        <f t="shared" si="1"/>
        <v>125</v>
      </c>
      <c r="E24">
        <f t="shared" si="40"/>
        <v>5.5</v>
      </c>
      <c r="F24">
        <v>1.042E-2</v>
      </c>
      <c r="G24">
        <v>1.7409999999999998E-2</v>
      </c>
      <c r="H24">
        <f t="shared" si="3"/>
        <v>1.1818E-2</v>
      </c>
      <c r="I24">
        <f t="shared" si="20"/>
        <v>3.2286349135090861E-2</v>
      </c>
      <c r="J24">
        <f t="shared" si="21"/>
        <v>0.20895587117967107</v>
      </c>
      <c r="K24">
        <f t="shared" si="22"/>
        <v>0.27983672065801524</v>
      </c>
      <c r="L24">
        <f t="shared" si="23"/>
        <v>0.10503029524962637</v>
      </c>
      <c r="M24">
        <f t="shared" si="24"/>
        <v>0.14393254387173571</v>
      </c>
      <c r="N24">
        <f t="shared" si="25"/>
        <v>0.44863568280097788</v>
      </c>
      <c r="O24">
        <f t="shared" si="26"/>
        <v>0.56882290148343517</v>
      </c>
      <c r="P24">
        <f t="shared" si="27"/>
        <v>0.25386701494830544</v>
      </c>
      <c r="Q24">
        <f t="shared" si="28"/>
        <v>0.33886407648006001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1.7030621883770681E-2</v>
      </c>
      <c r="U24">
        <f t="shared" si="29"/>
        <v>0.3995824697316599</v>
      </c>
      <c r="V24">
        <f t="shared" si="30"/>
        <v>0.51053026457106765</v>
      </c>
      <c r="W24">
        <f t="shared" si="31"/>
        <v>0.21454722507983959</v>
      </c>
      <c r="X24">
        <f t="shared" si="32"/>
        <v>0.28695560074274773</v>
      </c>
      <c r="Y24">
        <f t="shared" si="33"/>
        <v>0.63690658580324788</v>
      </c>
      <c r="Z24">
        <f t="shared" si="34"/>
        <v>0.76104791002732675</v>
      </c>
      <c r="AA24">
        <f t="shared" si="35"/>
        <v>0.39245646861447958</v>
      </c>
      <c r="AB24">
        <f t="shared" si="36"/>
        <v>0.50546473595780039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3.0514002176645381E-2</v>
      </c>
      <c r="AD24">
        <f t="shared" si="37"/>
        <v>0.32348229091084574</v>
      </c>
      <c r="AE24">
        <f t="shared" si="6"/>
        <v>4.165172635058588E-2</v>
      </c>
      <c r="AF24">
        <f t="shared" si="7"/>
        <v>2.8728719984005176E-3</v>
      </c>
      <c r="AG24">
        <f t="shared" si="8"/>
        <v>1.2055442652254739E-2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1.5499375121424469E-3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8.3607339681507891E-3</v>
      </c>
      <c r="AJ24">
        <f t="shared" si="11"/>
        <v>7.0859393530466616E-5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5.8098132364979537E-5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2.4572763439642043E-4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6.3487486671874854E-4</v>
      </c>
      <c r="AN24">
        <f t="shared" si="15"/>
        <v>5.7990927691217104E-3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2.3252670186106559E-5</v>
      </c>
      <c r="AP24">
        <f>AM23*T23*p_Stroke*p_Stroke_rec*(1-I23) + AN23*T23*p_Stroke*p_Stroke_rec*(1-I23) + AO23*(p_recur_Stroke*p_Stroke_rec)*(1-I23) + AP23*(p_recur_Stroke*p_Stroke_rec)*(1-I23) + AQ23*(p_recur_Stroke*p_Stroke_rec)*(1-I23)</f>
        <v>4.2644498528949886E-5</v>
      </c>
      <c r="AQ24">
        <f>AO23*(1-p_recur_Stroke-H23*rr_Stroke*rr_HF)*(1-I23) + AP23*(1-p_recur_Stroke-H23*rr_Stroke*rr_HF)*(1-I23) + AQ23*(1-p_recur_Stroke-H23*rr_Stroke*rr_HF)*(1-I23)</f>
        <v>1.6309111574641701E-4</v>
      </c>
      <c r="AR24">
        <f>AR23*(1-AC23-H23*rr_DM) + AD23*(1-T23-H23)*I23</f>
        <v>0.29482219824373151</v>
      </c>
      <c r="AS24">
        <f>AR23*AC23*p_Other + AD23*T23*p_Other*I23 + AE23*(1-T23*p_Stroke-T23*p_MI-H23*rr_Other)*I23 + AS23*(1-AC23*p_Stroke-AC23*p_MI-H23*rr_Other*rr_DM)</f>
        <v>5.9971741674554838E-2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4.6225408713360741E-3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1.7976357383016183E-2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2.5841064647889314E-3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1.2768490494167528E-2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1.8156445216434177E-4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1.5055375918132706E-4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5.8482957518644939E-4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1.0198156980155816E-3</v>
      </c>
      <c r="BB24">
        <f>AM23*(1-T23*p_Stroke - H23*rr_HF)*I23 + AN23*(1-T23*p_Stroke - H23*rr_HF)*I23 + BA23*(1-AC23*p_Stroke - H23*rr_HF*rr_DM) + BB23*(1-AC23*p_Stroke - H23*rr_HF*rr_DM)</f>
        <v>8.3751696033556432E-3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5.8306032038165788E-5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1.0355538236189722E-4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3.6751883110552538E-4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0.14140260706202204</v>
      </c>
      <c r="BG24">
        <f t="shared" si="17"/>
        <v>0.94199999999999984</v>
      </c>
      <c r="BH24">
        <f>(0.9442 - 0.0007*$B24 - dis_BMI*($C24-21.75))*AD24</f>
        <v>0.27516859335185639</v>
      </c>
      <c r="BI24">
        <f>0.959*(0.9442 - 0.0007*$B24 - dis_BMI*($C24-21.75))*AE24</f>
        <v>3.3978168618272866E-2</v>
      </c>
      <c r="BJ24">
        <f>(0.943*(0.9442 - 0.0007*$B24 - dis_BMI*($C24-21.75)) - 0.19*0.5)*AF24</f>
        <v>2.0315750917698329E-3</v>
      </c>
      <c r="BK24">
        <f>(0.943*(0.9442 - 0.0007*$B24 - dis_BMI*($C24-21.75)))*AG24</f>
        <v>9.6703726000763792E-3</v>
      </c>
      <c r="BL24">
        <f>(0.955*(0.9442 - 0.0007*$B24 - dis_BMI*($C24-21.75)) - 0.15*0.5)*AH24</f>
        <v>1.1428711848299896E-3</v>
      </c>
      <c r="BM24">
        <f>(0.955*(0.9442 - 0.0007*$B24 - dis_BMI*($C24-21.75)))*AI24</f>
        <v>6.7919758017524349E-3</v>
      </c>
      <c r="BN24">
        <f>(0.955*0.943*(0.9442 - 0.0007*$B24 - dis_BMI*($C24-21.75)) - 0.19*0.5)*AJ24</f>
        <v>4.7550983590034558E-5</v>
      </c>
      <c r="BO24">
        <f>(0.955*0.943*(0.9442 - 0.0007*$B24 - dis_BMI*($C24-21.75)) - 0.15*0.5)*AK24</f>
        <v>4.0149360098153916E-5</v>
      </c>
      <c r="BP24">
        <f>(0.955*0.943*(0.9442 - 0.0007*$B24 - dis_BMI*($C24-21.75)))*AL24</f>
        <v>1.8824238545074077E-4</v>
      </c>
      <c r="BQ24">
        <f>(0.93*(0.9442 - 0.0007*$B24 - dis_BMI*($C24-21.75)))*AM24</f>
        <v>5.02249411829972E-4</v>
      </c>
      <c r="BR24">
        <f>(0.93*(0.9442 - 0.0007*$B24 - dis_BMI*($C24-21.75)))*AN24</f>
        <v>4.5876614197882699E-3</v>
      </c>
      <c r="BS24">
        <f>(0.93*0.943*(0.9442 - 0.0007*$B24 - dis_BMI*($C24-21.75)))*AO24</f>
        <v>1.7346658414237654E-5</v>
      </c>
      <c r="BT24">
        <f>(0.93*0.943*(0.9442 - 0.0007*$B24 - dis_BMI*($C24-21.75))-0.19*0.5)*AP24</f>
        <v>2.7761873815121322E-5</v>
      </c>
      <c r="BU24">
        <f>(0.93*0.943*(0.9442 - 0.0007*$B24 - dis_BMI*($C24-21.75)))*AQ24</f>
        <v>1.2166713984273372E-4</v>
      </c>
      <c r="BV24">
        <f>0.962*(0.9442 - 0.0007*$B24 - dis_BMI*($C24-21.75))*AR24</f>
        <v>0.24125904572968751</v>
      </c>
      <c r="BW24">
        <f>0.962*0.959*(0.9442 - 0.0007*$B24 - dis_BMI*($C24-21.75))*AS24</f>
        <v>4.7063984726910847E-2</v>
      </c>
      <c r="BX24">
        <f>0.962*(0.943*(0.9442 - 0.0007*$B24 - dis_BMI*($C24-21.75)) - 0.19*0.5)*AT24</f>
        <v>3.1446508657253834E-3</v>
      </c>
      <c r="BY24">
        <f>0.962*(0.943*(0.9442 - 0.0007*$B24 - dis_BMI*($C24-21.75)))*AU24</f>
        <v>1.3871927551906077E-2</v>
      </c>
      <c r="BZ24">
        <f>0.962*(0.955*(0.9442 - 0.0007*$B24 - dis_BMI*($C24-21.75)) - 0.15*0.5)*AV24</f>
        <v>1.8330257599622035E-3</v>
      </c>
      <c r="CA24">
        <f>0.962*(0.955*(0.9442 - 0.0007*$B24 - dis_BMI*($C24-21.75)))*AW24</f>
        <v>9.9785251148488754E-3</v>
      </c>
      <c r="CB24">
        <f>0.962*(0.955*0.943*(0.9442 - 0.0007*$B24 - dis_BMI*($C24-21.75)) - 0.19*0.5)*AX24</f>
        <v>1.172108915522118E-4</v>
      </c>
      <c r="CC24">
        <f>0.962*(0.955*0.943*(0.9442 - 0.0007*$B24 - dis_BMI*($C24-21.75)) - 0.15*0.5)*AY24</f>
        <v>1.0008825835389356E-4</v>
      </c>
      <c r="CD24">
        <f>0.962*(0.955*0.943*(0.9442 - 0.0007*$B24 - dis_BMI*($C24-21.75)))*AZ24</f>
        <v>4.3099061866362149E-4</v>
      </c>
      <c r="CE24">
        <f>0.962*(0.93*(0.9442 - 0.0007*$B24 - dis_BMI*($C24-21.75)))*BA24</f>
        <v>7.7611855599011659E-4</v>
      </c>
      <c r="CF24">
        <f>0.962*(0.93*(0.9442 - 0.0007*$B24 - dis_BMI*($C24-21.75)))*BB24</f>
        <v>6.3738227910955193E-3</v>
      </c>
      <c r="CG24">
        <f>0.962*(0.93*0.943*(0.9442 - 0.0007*$B24 - dis_BMI*($C24-21.75)))*BC24</f>
        <v>4.1843842030206864E-5</v>
      </c>
      <c r="CH24">
        <f>0.962*(0.93*0.943*(0.9442 - 0.0007*$B24 - dis_BMI*($C24-21.75))-0.19*0.5)*BD24</f>
        <v>6.4853514005466361E-5</v>
      </c>
      <c r="CI24">
        <f>0.962*(0.93*0.943*(0.9442 - 0.0007*$B24 - dis_BMI*($C24-21.75)))*BE24</f>
        <v>2.6375315510819764E-4</v>
      </c>
      <c r="CJ24">
        <f t="shared" si="18"/>
        <v>0</v>
      </c>
      <c r="CK24">
        <f t="shared" si="19"/>
        <v>0.65963602725722736</v>
      </c>
      <c r="CL24">
        <f>CK24/(1+r_)^A24</f>
        <v>0.3545868688156536</v>
      </c>
      <c r="CM24">
        <f>AD24*c_LIR_2</f>
        <v>3804.151741111546</v>
      </c>
      <c r="CN24">
        <f>AE24*(c_Other+c_LIR_2)</f>
        <v>1084.5693024429058</v>
      </c>
      <c r="CO24">
        <f>AF24*(c_Stroke1+c_Stroke2+c_LIR_2)</f>
        <v>102.20529421509681</v>
      </c>
      <c r="CP24">
        <f>AG24*(c_Stroke2 + c_LIR_2)</f>
        <v>220.13238283017154</v>
      </c>
      <c r="CQ24">
        <f>AH24*(c_MI1+c_MI2 + c_LIR_2)</f>
        <v>63.409493559259644</v>
      </c>
      <c r="CR24">
        <f>AI24*(c_MI2+c_LIR_2)</f>
        <v>124.38263924417929</v>
      </c>
      <c r="CS24">
        <f>AJ24*(c_Stroke1+c_Stroke2+c_MI2+c_LIR_2)</f>
        <v>2.7417625138743449</v>
      </c>
      <c r="CT24">
        <f>AK24*(c_Stroke2+c_MI1+c_MI2+c_LIR_2)</f>
        <v>2.7544905535560447</v>
      </c>
      <c r="CU24">
        <f>AL24*(c_Stroke2+c_MI2+c_LIR_2)</f>
        <v>5.25291964049228</v>
      </c>
      <c r="CV24">
        <f>AM24*(c_HF1+c_LIR_2)</f>
        <v>24.626796080020256</v>
      </c>
      <c r="CW24">
        <f>AN24*(c_HF2+c_LIR_2)</f>
        <v>158.69217362701559</v>
      </c>
      <c r="CX24">
        <f>AO24*(c_Stroke2+c_HF1+c_LIR_2)</f>
        <v>1.0531134327287661</v>
      </c>
      <c r="CY24">
        <f>AP24*(c_Stroke1+c_Stroke2+c_HF2+c_LIR_2)</f>
        <v>2.1825880792101842</v>
      </c>
      <c r="CZ24">
        <f>AQ24*(c_Stroke2+c_HF2+c_LIR_2)</f>
        <v>5.5230806347524117</v>
      </c>
      <c r="DA24">
        <f>AR24*(c_DM+c_LIR_2)</f>
        <v>6835.4526662809149</v>
      </c>
      <c r="DB24">
        <f>AS24*(c_Other+c_DM+c_LIR_2)</f>
        <v>2246.7813300955227</v>
      </c>
      <c r="DC24">
        <f>AT24*(c_Stroke1+c_Stroke2+c_DM+c_LIR_2)</f>
        <v>217.26404349366683</v>
      </c>
      <c r="DD24">
        <f>AU24*(c_Stroke2+c_DM+c_LIR_2)</f>
        <v>533.62816891483544</v>
      </c>
      <c r="DE24">
        <f>AV24*(c_MI1+c_MI2+c_DM+c_LIR_2)</f>
        <v>135.24179594119352</v>
      </c>
      <c r="DF24">
        <f>AW24*(c_MI2+c_DM+c_LIR_2)</f>
        <v>335.83683697759432</v>
      </c>
      <c r="DG24">
        <f>AX24*(c_Stroke1+c_Stroke2+c_MI2+c_DM+c_LIR_2)</f>
        <v>9.0996472135724815</v>
      </c>
      <c r="DH24">
        <f>AY24*(c_Stroke2+c_MI1+c_MI2+c_DM+c_LIR_2)</f>
        <v>8.8579809751925591</v>
      </c>
      <c r="DI24">
        <f>AZ24*(c_Stroke2+c_MI2+c_DM+c_LIR_2)</f>
        <v>19.183579725265911</v>
      </c>
      <c r="DJ24">
        <f>BA24*(c_HF1+c_DM+c_LIR_2)</f>
        <v>51.21004527585243</v>
      </c>
      <c r="DK24">
        <f>BB24*(c_HF2+c_DM+c_LIR_2)</f>
        <v>324.87282891416538</v>
      </c>
      <c r="DL24">
        <f>BC24*(c_Stroke2+c_HF1+c_DM+c_LIR_2)</f>
        <v>3.3068266070445729</v>
      </c>
      <c r="DM24">
        <f>BD24*(c_Stroke1+c_Stroke2+c_HF2+c_DM+c_LIR_2)</f>
        <v>6.4831882681489379</v>
      </c>
      <c r="DN24">
        <f>BE24*(c_Stroke2+c_HF2+c_DM+c_LIR_2)</f>
        <v>16.644927860769243</v>
      </c>
      <c r="DO24">
        <f t="shared" si="5"/>
        <v>0</v>
      </c>
      <c r="DP24">
        <f t="shared" si="38"/>
        <v>16345.541644508548</v>
      </c>
      <c r="DQ24">
        <f>DP24/(1+r_)^A24</f>
        <v>8786.5340753470082</v>
      </c>
    </row>
    <row r="25" spans="1:121" x14ac:dyDescent="0.3">
      <c r="A25">
        <v>22</v>
      </c>
      <c r="B25">
        <v>67</v>
      </c>
      <c r="C25">
        <f t="shared" si="39"/>
        <v>36.1</v>
      </c>
      <c r="D25">
        <f t="shared" si="1"/>
        <v>125</v>
      </c>
      <c r="E25">
        <f t="shared" si="40"/>
        <v>5.5</v>
      </c>
      <c r="F25">
        <v>1.125E-2</v>
      </c>
      <c r="G25">
        <v>1.8259999999999998E-2</v>
      </c>
      <c r="H25">
        <f t="shared" si="3"/>
        <v>1.2651999999999998E-2</v>
      </c>
      <c r="I25">
        <f t="shared" si="20"/>
        <v>3.2286349135090861E-2</v>
      </c>
      <c r="J25">
        <f t="shared" si="21"/>
        <v>0.21666275715847627</v>
      </c>
      <c r="K25">
        <f t="shared" si="22"/>
        <v>0.28964380416925772</v>
      </c>
      <c r="L25">
        <f t="shared" si="23"/>
        <v>0.10916869026181752</v>
      </c>
      <c r="M25">
        <f t="shared" si="24"/>
        <v>0.14947126302388192</v>
      </c>
      <c r="N25">
        <f t="shared" si="25"/>
        <v>0.46414552521017416</v>
      </c>
      <c r="O25">
        <f t="shared" si="26"/>
        <v>0.58586091724144485</v>
      </c>
      <c r="P25">
        <f t="shared" si="27"/>
        <v>0.26426597866132373</v>
      </c>
      <c r="Q25">
        <f t="shared" si="28"/>
        <v>0.35184627426436199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1.7675010849558324E-2</v>
      </c>
      <c r="U25">
        <f t="shared" si="29"/>
        <v>0.41224025402958209</v>
      </c>
      <c r="V25">
        <f t="shared" si="30"/>
        <v>0.52492042158457486</v>
      </c>
      <c r="W25">
        <f t="shared" si="31"/>
        <v>0.22243004641185993</v>
      </c>
      <c r="X25">
        <f t="shared" si="32"/>
        <v>0.29695751650251034</v>
      </c>
      <c r="Y25">
        <f t="shared" si="33"/>
        <v>0.65411491100993313</v>
      </c>
      <c r="Z25">
        <f t="shared" si="34"/>
        <v>0.77689166366234275</v>
      </c>
      <c r="AA25">
        <f t="shared" si="35"/>
        <v>0.40679453214753025</v>
      </c>
      <c r="AB25">
        <f t="shared" si="36"/>
        <v>0.52187507652185805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3.153411991445549E-2</v>
      </c>
      <c r="AD25">
        <f t="shared" si="37"/>
        <v>0.30400750723175474</v>
      </c>
      <c r="AE25">
        <f t="shared" si="6"/>
        <v>4.2025160079013225E-2</v>
      </c>
      <c r="AF25">
        <f t="shared" si="7"/>
        <v>2.868218047467108E-3</v>
      </c>
      <c r="AG25">
        <f t="shared" si="8"/>
        <v>1.2124272394599952E-2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1.536500958595745E-3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8.3660615669992576E-3</v>
      </c>
      <c r="AJ25">
        <f t="shared" si="11"/>
        <v>7.4591490371826767E-5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6.1166953986594369E-5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2.5977804098672693E-4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6.3260721453478228E-4</v>
      </c>
      <c r="AN25">
        <f t="shared" si="15"/>
        <v>6.0679312015067691E-3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2.4588099709634621E-5</v>
      </c>
      <c r="AP25">
        <f>AM24*T24*p_Stroke*p_Stroke_rec*(1-I24) + AN24*T24*p_Stroke*p_Stroke_rec*(1-I24) + AO24*(p_recur_Stroke*p_Stroke_rec)*(1-I24) + AP24*(p_recur_Stroke*p_Stroke_rec)*(1-I24) + AQ24*(p_recur_Stroke*p_Stroke_rec)*(1-I24)</f>
        <v>4.6901465724800146E-5</v>
      </c>
      <c r="AQ25">
        <f>AO24*(1-p_recur_Stroke-H24*rr_Stroke*rr_HF)*(1-I24) + AP24*(1-p_recur_Stroke-H24*rr_Stroke*rr_HF)*(1-I24) + AQ24*(1-p_recur_Stroke-H24*rr_Stroke*rr_HF)*(1-I24)</f>
        <v>1.8008536074049902E-4</v>
      </c>
      <c r="AR25">
        <f>AR24*(1-AC24-H24*rr_DM) + AD24*(1-T24-H24)*I24</f>
        <v>0.29196191837763591</v>
      </c>
      <c r="AS25">
        <f>AR24*AC24*p_Other + AD24*T24*p_Other*I24 + AE24*(1-T24*p_Stroke-T24*p_MI-H24*rr_Other)*I24 + AS24*(1-AC24*p_Stroke-AC24*p_MI-H24*rr_Other*rr_DM)</f>
        <v>6.3949662331728219E-2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4.8814325975092684E-3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1.9178498768895883E-2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2.7091047010301653E-3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1.3580741490923349E-2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2.0284774935828894E-4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1.6792348721750673E-4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6.5758056550969089E-4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1.0770316133138834E-3</v>
      </c>
      <c r="BB25">
        <f>AM24*(1-T24*p_Stroke - H24*rr_HF)*I24 + AN24*(1-T24*p_Stroke - H24*rr_HF)*I24 + BA24*(1-AC24*p_Stroke - H24*rr_HF*rr_DM) + BB24*(1-AC24*p_Stroke - H24*rr_HF*rr_DM)</f>
        <v>9.2991112067701033E-3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6.5444715379244536E-5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1.2066957000903194E-4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4.3087786806247642E-4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0.15544178485066526</v>
      </c>
      <c r="BG25">
        <f t="shared" si="17"/>
        <v>0.94199999999999995</v>
      </c>
      <c r="BH25">
        <f>(0.9442 - 0.0007*$B25 - dis_BMI*($C25-21.75))*AD25</f>
        <v>0.25838966073409375</v>
      </c>
      <c r="BI25">
        <f>0.959*(0.9442 - 0.0007*$B25 - dis_BMI*($C25-21.75))*AE25</f>
        <v>3.4254592621339265E-2</v>
      </c>
      <c r="BJ25">
        <f>(0.943*(0.9442 - 0.0007*$B25 - dis_BMI*($C25-21.75)) - 0.19*0.5)*AF25</f>
        <v>2.0263907013088529E-3</v>
      </c>
      <c r="BK25">
        <f>(0.943*(0.9442 - 0.0007*$B25 - dis_BMI*($C25-21.75)))*AG25</f>
        <v>9.7175817125038436E-3</v>
      </c>
      <c r="BL25">
        <f>(0.955*(0.9442 - 0.0007*$B25 - dis_BMI*($C25-21.75)) - 0.15*0.5)*AH25</f>
        <v>1.1319363765325647E-3</v>
      </c>
      <c r="BM25">
        <f>(0.955*(0.9442 - 0.0007*$B25 - dis_BMI*($C25-21.75)))*AI25</f>
        <v>6.7907110496278397E-3</v>
      </c>
      <c r="BN25">
        <f>(0.955*0.943*(0.9442 - 0.0007*$B25 - dis_BMI*($C25-21.75)) - 0.19*0.5)*AJ25</f>
        <v>5.0008426515671034E-5</v>
      </c>
      <c r="BO25">
        <f>(0.955*0.943*(0.9442 - 0.0007*$B25 - dis_BMI*($C25-21.75)) - 0.15*0.5)*AK25</f>
        <v>4.2231544015416742E-5</v>
      </c>
      <c r="BP25">
        <f>(0.955*0.943*(0.9442 - 0.0007*$B25 - dis_BMI*($C25-21.75)))*AL25</f>
        <v>1.9884209267339849E-4</v>
      </c>
      <c r="BQ25">
        <f>(0.93*(0.9442 - 0.0007*$B25 - dis_BMI*($C25-21.75)))*AM25</f>
        <v>5.0004364523072197E-4</v>
      </c>
      <c r="BR25">
        <f>(0.93*(0.9442 - 0.0007*$B25 - dis_BMI*($C25-21.75)))*AN25</f>
        <v>4.7963892401101434E-3</v>
      </c>
      <c r="BS25">
        <f>(0.93*0.943*(0.9442 - 0.0007*$B25 - dis_BMI*($C25-21.75)))*AO25</f>
        <v>1.8327803936233556E-5</v>
      </c>
      <c r="BT25">
        <f>(0.93*0.943*(0.9442 - 0.0007*$B25 - dis_BMI*($C25-21.75))-0.19*0.5)*AP25</f>
        <v>3.0504397451834165E-5</v>
      </c>
      <c r="BU25">
        <f>(0.93*0.943*(0.9442 - 0.0007*$B25 - dis_BMI*($C25-21.75)))*AQ25</f>
        <v>1.3423441512011033E-4</v>
      </c>
      <c r="BV25">
        <f>0.962*(0.9442 - 0.0007*$B25 - dis_BMI*($C25-21.75))*AR25</f>
        <v>0.2387218129522915</v>
      </c>
      <c r="BW25">
        <f>0.962*0.959*(0.9442 - 0.0007*$B25 - dis_BMI*($C25-21.75))*AS25</f>
        <v>5.0144436844227355E-2</v>
      </c>
      <c r="BX25">
        <f>0.962*(0.943*(0.9442 - 0.0007*$B25 - dis_BMI*($C25-21.75)) - 0.19*0.5)*AT25</f>
        <v>3.3176715512703001E-3</v>
      </c>
      <c r="BY25">
        <f>0.962*(0.943*(0.9442 - 0.0007*$B25 - dis_BMI*($C25-21.75)))*AU25</f>
        <v>1.4787412817545791E-2</v>
      </c>
      <c r="BZ25">
        <f>0.962*(0.955*(0.9442 - 0.0007*$B25 - dis_BMI*($C25-21.75)) - 0.15*0.5)*AV25</f>
        <v>1.9199505502346893E-3</v>
      </c>
      <c r="CA25">
        <f>0.962*(0.955*(0.9442 - 0.0007*$B25 - dis_BMI*($C25-21.75)))*AW25</f>
        <v>1.0604562340891428E-2</v>
      </c>
      <c r="CB25">
        <f>0.962*(0.955*0.943*(0.9442 - 0.0007*$B25 - dis_BMI*($C25-21.75)) - 0.19*0.5)*AX25</f>
        <v>1.3082753866208119E-4</v>
      </c>
      <c r="CC25">
        <f>0.962*(0.955*0.943*(0.9442 - 0.0007*$B25 - dis_BMI*($C25-21.75)) - 0.15*0.5)*AY25</f>
        <v>1.1153383171182512E-4</v>
      </c>
      <c r="CD25">
        <f>0.962*(0.955*0.943*(0.9442 - 0.0007*$B25 - dis_BMI*($C25-21.75)))*AZ25</f>
        <v>4.8420573513884143E-4</v>
      </c>
      <c r="CE25">
        <f>0.962*(0.93*(0.9442 - 0.0007*$B25 - dis_BMI*($C25-21.75)))*BA25</f>
        <v>8.1898754095161485E-4</v>
      </c>
      <c r="CF25">
        <f>0.962*(0.93*(0.9442 - 0.0007*$B25 - dis_BMI*($C25-21.75)))*BB25</f>
        <v>7.0711538325558257E-3</v>
      </c>
      <c r="CG25">
        <f>0.962*(0.93*0.943*(0.9442 - 0.0007*$B25 - dis_BMI*($C25-21.75)))*BC25</f>
        <v>4.6928332205363419E-5</v>
      </c>
      <c r="CH25">
        <f>0.962*(0.93*0.943*(0.9442 - 0.0007*$B25 - dis_BMI*($C25-21.75))-0.19*0.5)*BD25</f>
        <v>7.5500334014442453E-5</v>
      </c>
      <c r="CI25">
        <f>0.962*(0.93*0.943*(0.9442 - 0.0007*$B25 - dis_BMI*($C25-21.75)))*BE25</f>
        <v>3.0896886960543547E-4</v>
      </c>
      <c r="CJ25">
        <f t="shared" si="18"/>
        <v>0</v>
      </c>
      <c r="CK25">
        <f t="shared" si="19"/>
        <v>0.64662540783176625</v>
      </c>
      <c r="CL25">
        <f>CK25/(1+r_)^A25</f>
        <v>0.33746895122754228</v>
      </c>
      <c r="CM25">
        <f>AD25*c_LIR_2</f>
        <v>3575.1282850454359</v>
      </c>
      <c r="CN25">
        <f>AE25*(c_Other+c_LIR_2)</f>
        <v>1094.2931432974253</v>
      </c>
      <c r="CO25">
        <f>AF25*(c_Stroke1+c_Stroke2+c_LIR_2)</f>
        <v>102.03972525668983</v>
      </c>
      <c r="CP25">
        <f>AG25*(c_Stroke2 + c_LIR_2)</f>
        <v>221.38921392539513</v>
      </c>
      <c r="CQ25">
        <f>AH25*(c_MI1+c_MI2 + c_LIR_2)</f>
        <v>62.859790717110521</v>
      </c>
      <c r="CR25">
        <f>AI25*(c_MI2+c_LIR_2)</f>
        <v>124.46189793224795</v>
      </c>
      <c r="CS25">
        <f>AJ25*(c_Stroke1+c_Stroke2+c_MI2+c_LIR_2)</f>
        <v>2.8861685369570931</v>
      </c>
      <c r="CT25">
        <f>AK25*(c_Stroke2+c_MI1+c_MI2+c_LIR_2)</f>
        <v>2.8999864554584258</v>
      </c>
      <c r="CU25">
        <f>AL25*(c_Stroke2+c_MI2+c_LIR_2)</f>
        <v>5.5532751821732615</v>
      </c>
      <c r="CV25">
        <f>AM25*(c_HF1+c_LIR_2)</f>
        <v>24.538833851804206</v>
      </c>
      <c r="CW25">
        <f>AN25*(c_HF2+c_LIR_2)</f>
        <v>166.04893732923273</v>
      </c>
      <c r="CX25">
        <f>AO25*(c_Stroke2+c_HF1+c_LIR_2)</f>
        <v>1.113595035849352</v>
      </c>
      <c r="CY25">
        <f>AP25*(c_Stroke1+c_Stroke2+c_HF2+c_LIR_2)</f>
        <v>2.4004639172609963</v>
      </c>
      <c r="CZ25">
        <f>AQ25*(c_Stroke2+c_HF2+c_LIR_2)</f>
        <v>6.0985907414769995</v>
      </c>
      <c r="DA25">
        <f>AR25*(c_DM+c_LIR_2)</f>
        <v>6769.1370775854884</v>
      </c>
      <c r="DB25">
        <f>AS25*(c_Other+c_DM+c_LIR_2)</f>
        <v>2395.8101495958658</v>
      </c>
      <c r="DC25">
        <f>AT25*(c_Stroke1+c_Stroke2+c_DM+c_LIR_2)</f>
        <v>229.43221351553314</v>
      </c>
      <c r="DD25">
        <f>AU25*(c_Stroke2+c_DM+c_LIR_2)</f>
        <v>569.31373595467426</v>
      </c>
      <c r="DE25">
        <f>AV25*(c_MI1+c_MI2+c_DM+c_LIR_2)</f>
        <v>141.78370363311473</v>
      </c>
      <c r="DF25">
        <f>AW25*(c_MI2+c_DM+c_LIR_2)</f>
        <v>357.20066269426593</v>
      </c>
      <c r="DG25">
        <f>AX25*(c_Stroke1+c_Stroke2+c_MI2+c_DM+c_LIR_2)</f>
        <v>10.166323502338726</v>
      </c>
      <c r="DH25">
        <f>AY25*(c_Stroke2+c_MI1+c_MI2+c_DM+c_LIR_2)</f>
        <v>9.8799462939292262</v>
      </c>
      <c r="DI25">
        <f>AZ25*(c_Stroke2+c_MI2+c_DM+c_LIR_2)</f>
        <v>21.569957709848879</v>
      </c>
      <c r="DJ25">
        <f>BA25*(c_HF1+c_DM+c_LIR_2)</f>
        <v>54.083142462556658</v>
      </c>
      <c r="DK25">
        <f>BB25*(c_HF2+c_DM+c_LIR_2)</f>
        <v>360.71252371061229</v>
      </c>
      <c r="DL25">
        <f>BC25*(c_Stroke2+c_HF1+c_DM+c_LIR_2)</f>
        <v>3.7116970327338539</v>
      </c>
      <c r="DM25">
        <f>BD25*(c_Stroke1+c_Stroke2+c_HF2+c_DM+c_LIR_2)</f>
        <v>7.5546390999854536</v>
      </c>
      <c r="DN25">
        <f>BE25*(c_Stroke2+c_HF2+c_DM+c_LIR_2)</f>
        <v>19.514458644549556</v>
      </c>
      <c r="DO25">
        <f t="shared" si="5"/>
        <v>0</v>
      </c>
      <c r="DP25">
        <f t="shared" si="38"/>
        <v>16341.582138660013</v>
      </c>
      <c r="DQ25">
        <f>DP25/(1+r_)^A25</f>
        <v>8528.5491707234651</v>
      </c>
    </row>
    <row r="26" spans="1:121" x14ac:dyDescent="0.3">
      <c r="A26">
        <v>23</v>
      </c>
      <c r="B26">
        <v>68</v>
      </c>
      <c r="C26">
        <f t="shared" si="39"/>
        <v>36.1</v>
      </c>
      <c r="D26">
        <f t="shared" si="1"/>
        <v>125</v>
      </c>
      <c r="E26">
        <f t="shared" si="40"/>
        <v>5.5</v>
      </c>
      <c r="F26">
        <v>1.205E-2</v>
      </c>
      <c r="G26">
        <v>1.9130000000000001E-2</v>
      </c>
      <c r="H26">
        <f t="shared" si="3"/>
        <v>1.3466000000000001E-2</v>
      </c>
      <c r="I26">
        <f t="shared" si="20"/>
        <v>3.2286349135090861E-2</v>
      </c>
      <c r="J26">
        <f t="shared" si="21"/>
        <v>0.22449214515743821</v>
      </c>
      <c r="K26">
        <f t="shared" si="22"/>
        <v>0.2995672801952397</v>
      </c>
      <c r="L26">
        <f t="shared" si="23"/>
        <v>0.11339487968387651</v>
      </c>
      <c r="M26">
        <f t="shared" si="24"/>
        <v>0.1551168585311461</v>
      </c>
      <c r="N26">
        <f t="shared" si="25"/>
        <v>0.47969495568052467</v>
      </c>
      <c r="O26">
        <f t="shared" si="26"/>
        <v>0.60273916720725418</v>
      </c>
      <c r="P26">
        <f t="shared" si="27"/>
        <v>0.27484617430863378</v>
      </c>
      <c r="Q26">
        <f t="shared" si="28"/>
        <v>0.36497717227361437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1.8329395423133287E-2</v>
      </c>
      <c r="U26">
        <f t="shared" si="29"/>
        <v>0.42495009902653258</v>
      </c>
      <c r="V26">
        <f t="shared" si="30"/>
        <v>0.53924541200385145</v>
      </c>
      <c r="W26">
        <f t="shared" si="31"/>
        <v>0.23043576325621462</v>
      </c>
      <c r="X26">
        <f t="shared" si="32"/>
        <v>0.30707388422130133</v>
      </c>
      <c r="Y26">
        <f t="shared" si="33"/>
        <v>0.67101984575405305</v>
      </c>
      <c r="Z26">
        <f t="shared" si="34"/>
        <v>0.79214229169037553</v>
      </c>
      <c r="AA26">
        <f t="shared" si="35"/>
        <v>0.42123725929317946</v>
      </c>
      <c r="AB26">
        <f t="shared" si="36"/>
        <v>0.53824040474019719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3.2560932555353708E-2</v>
      </c>
      <c r="AD26">
        <f t="shared" si="37"/>
        <v>0.28527024422610725</v>
      </c>
      <c r="AE26">
        <f t="shared" si="6"/>
        <v>4.2227155416662401E-2</v>
      </c>
      <c r="AF26">
        <f t="shared" si="7"/>
        <v>2.8541207362785133E-3</v>
      </c>
      <c r="AG26">
        <f t="shared" si="8"/>
        <v>1.2136463889625851E-2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1.519609514769439E-3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8.3451686441588339E-3</v>
      </c>
      <c r="AJ26">
        <f t="shared" si="11"/>
        <v>7.8097522154295612E-5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6.4025145543046119E-5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2.7265605077914882E-4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6.286778964062652E-4</v>
      </c>
      <c r="AN26">
        <f t="shared" si="15"/>
        <v>6.3085331764799624E-3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2.5837336708635152E-5</v>
      </c>
      <c r="AP26">
        <f>AM25*T25*p_Stroke*p_Stroke_rec*(1-I25) + AN25*T25*p_Stroke*p_Stroke_rec*(1-I25) + AO25*(p_recur_Stroke*p_Stroke_rec)*(1-I25) + AP25*(p_recur_Stroke*p_Stroke_rec)*(1-I25) + AQ25*(p_recur_Stroke*p_Stroke_rec)*(1-I25)</f>
        <v>5.112828166375159E-5</v>
      </c>
      <c r="AQ26">
        <f>AO25*(1-p_recur_Stroke-H25*rr_Stroke*rr_HF)*(1-I25) + AP25*(1-p_recur_Stroke-H25*rr_Stroke*rr_HF)*(1-I25) + AQ25*(1-p_recur_Stroke-H25*rr_Stroke*rr_HF)*(1-I25)</f>
        <v>1.9669174681926629E-4</v>
      </c>
      <c r="AR26">
        <f>AR25*(1-AC25-H25*rr_DM) + AD25*(1-T25-H25)*I25</f>
        <v>0.28802479274853299</v>
      </c>
      <c r="AS26">
        <f>AR25*AC25*p_Other + AD25*T25*p_Other*I25 + AE25*(1-T25*p_Stroke-T25*p_MI-H25*rr_Other)*I25 + AS25*(1-AC25*p_Stroke-AC25*p_MI-H25*rr_Other*rr_DM)</f>
        <v>6.7746896268602641E-2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5.126302633710206E-3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2.0315028720970213E-2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2.8269782210724077E-3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1.4363577792808073E-2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2.2483159824881804E-4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1.8573790952064101E-4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7.3197195841817522E-4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1.1318006229727182E-3</v>
      </c>
      <c r="BB26">
        <f>AM25*(1-T25*p_Stroke - H25*rr_HF)*I25 + AN25*(1-T25*p_Stroke - H25*rr_HF)*I25 + BA25*(1-AC25*p_Stroke - H25*rr_HF*rr_DM) + BB25*(1-AC25*p_Stroke - H25*rr_HF*rr_DM)</f>
        <v>1.0236594349768483E-2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7.2806578743154726E-5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1.390578097600343E-4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4.9837640850051361E-4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0.17039683679421419</v>
      </c>
      <c r="BG26">
        <f t="shared" si="17"/>
        <v>0.94199999999999973</v>
      </c>
      <c r="BH26">
        <f>(0.9442 - 0.0007*$B26 - dis_BMI*($C26-21.75))*AD26</f>
        <v>0.24226432855780045</v>
      </c>
      <c r="BI26">
        <f>0.959*(0.9442 - 0.0007*$B26 - dis_BMI*($C26-21.75))*AE26</f>
        <v>3.4390891377148701E-2</v>
      </c>
      <c r="BJ26">
        <f>(0.943*(0.9442 - 0.0007*$B26 - dis_BMI*($C26-21.75)) - 0.19*0.5)*AF26</f>
        <v>2.0145469721475789E-3</v>
      </c>
      <c r="BK26">
        <f>(0.943*(0.9442 - 0.0007*$B26 - dis_BMI*($C26-21.75)))*AG26</f>
        <v>9.7193418932164221E-3</v>
      </c>
      <c r="BL26">
        <f>(0.955*(0.9442 - 0.0007*$B26 - dis_BMI*($C26-21.75)) - 0.15*0.5)*AH26</f>
        <v>1.1184766335559976E-3</v>
      </c>
      <c r="BM26">
        <f>(0.955*(0.9442 - 0.0007*$B26 - dis_BMI*($C26-21.75)))*AI26</f>
        <v>6.7681735716742788E-3</v>
      </c>
      <c r="BN26">
        <f>(0.955*0.943*(0.9442 - 0.0007*$B26 - dis_BMI*($C26-21.75)) - 0.19*0.5)*AJ26</f>
        <v>5.23097455976383E-5</v>
      </c>
      <c r="BO26">
        <f>(0.955*0.943*(0.9442 - 0.0007*$B26 - dis_BMI*($C26-21.75)) - 0.15*0.5)*AK26</f>
        <v>4.4164566102925909E-5</v>
      </c>
      <c r="BP26">
        <f>(0.955*0.943*(0.9442 - 0.0007*$B26 - dis_BMI*($C26-21.75)))*AL26</f>
        <v>2.0852743581967621E-4</v>
      </c>
      <c r="BQ26">
        <f>(0.93*(0.9442 - 0.0007*$B26 - dis_BMI*($C26-21.75)))*AM26</f>
        <v>4.9652845092419099E-4</v>
      </c>
      <c r="BR26">
        <f>(0.93*(0.9442 - 0.0007*$B26 - dis_BMI*($C26-21.75)))*AN26</f>
        <v>4.9824659394375453E-3</v>
      </c>
      <c r="BS26">
        <f>(0.93*0.943*(0.9442 - 0.0007*$B26 - dis_BMI*($C26-21.75)))*AO26</f>
        <v>1.9243115422220371E-5</v>
      </c>
      <c r="BT26">
        <f>(0.93*0.943*(0.9442 - 0.0007*$B26 - dis_BMI*($C26-21.75))-0.19*0.5)*AP26</f>
        <v>3.322210277903218E-5</v>
      </c>
      <c r="BU26">
        <f>(0.93*0.943*(0.9442 - 0.0007*$B26 - dis_BMI*($C26-21.75)))*AQ26</f>
        <v>1.4649195578181662E-4</v>
      </c>
      <c r="BV26">
        <f>0.962*(0.9442 - 0.0007*$B26 - dis_BMI*($C26-21.75))*AR26</f>
        <v>0.23530867774325423</v>
      </c>
      <c r="BW26">
        <f>0.962*0.959*(0.9442 - 0.0007*$B26 - dis_BMI*($C26-21.75))*AS26</f>
        <v>5.3078187125552623E-2</v>
      </c>
      <c r="BX26">
        <f>0.962*(0.943*(0.9442 - 0.0007*$B26 - dis_BMI*($C26-21.75)) - 0.19*0.5)*AT26</f>
        <v>3.4808424814371896E-3</v>
      </c>
      <c r="BY26">
        <f>0.962*(0.943*(0.9442 - 0.0007*$B26 - dis_BMI*($C26-21.75)))*AU26</f>
        <v>1.5650823869959276E-2</v>
      </c>
      <c r="BZ26">
        <f>0.962*(0.955*(0.9442 - 0.0007*$B26 - dis_BMI*($C26-21.75)) - 0.15*0.5)*AV26</f>
        <v>2.0016698428719244E-3</v>
      </c>
      <c r="CA26">
        <f>0.962*(0.955*(0.9442 - 0.0007*$B26 - dis_BMI*($C26-21.75)))*AW26</f>
        <v>1.1206605219197805E-2</v>
      </c>
      <c r="CB26">
        <f>0.962*(0.955*0.943*(0.9442 - 0.0007*$B26 - dis_BMI*($C26-21.75)) - 0.19*0.5)*AX26</f>
        <v>1.4486977068873567E-4</v>
      </c>
      <c r="CC26">
        <f>0.962*(0.955*0.943*(0.9442 - 0.0007*$B26 - dis_BMI*($C26-21.75)) - 0.15*0.5)*AY26</f>
        <v>1.2325343139735591E-4</v>
      </c>
      <c r="CD26">
        <f>0.962*(0.955*0.943*(0.9442 - 0.0007*$B26 - dis_BMI*($C26-21.75)))*AZ26</f>
        <v>5.3853951969587345E-4</v>
      </c>
      <c r="CE26">
        <f>0.962*(0.93*(0.9442 - 0.0007*$B26 - dis_BMI*($C26-21.75)))*BA26</f>
        <v>8.5992573810371789E-4</v>
      </c>
      <c r="CF26">
        <f>0.962*(0.93*(0.9442 - 0.0007*$B26 - dis_BMI*($C26-21.75)))*BB26</f>
        <v>7.7776162808360621E-3</v>
      </c>
      <c r="CG26">
        <f>0.962*(0.93*0.943*(0.9442 - 0.0007*$B26 - dis_BMI*($C26-21.75)))*BC26</f>
        <v>5.2164294188553059E-5</v>
      </c>
      <c r="CH26">
        <f>0.962*(0.93*0.943*(0.9442 - 0.0007*$B26 - dis_BMI*($C26-21.75))-0.19*0.5)*BD26</f>
        <v>8.6923334311838366E-5</v>
      </c>
      <c r="CI26">
        <f>0.962*(0.93*0.943*(0.9442 - 0.0007*$B26 - dis_BMI*($C26-21.75)))*BE26</f>
        <v>3.5707561100169904E-4</v>
      </c>
      <c r="CJ26">
        <f t="shared" si="18"/>
        <v>0</v>
      </c>
      <c r="CK26">
        <f t="shared" si="19"/>
        <v>0.63292588657990523</v>
      </c>
      <c r="CL26">
        <f>CK26/(1+r_)^A26</f>
        <v>0.32069832409758681</v>
      </c>
      <c r="CM26">
        <f>AD26*c_LIR_2</f>
        <v>3354.7780720990213</v>
      </c>
      <c r="CN26">
        <f>AE26*(c_Other+c_LIR_2)</f>
        <v>1099.5528998944724</v>
      </c>
      <c r="CO26">
        <f>AF26*(c_Stroke1+c_Stroke2+c_LIR_2)</f>
        <v>101.53819931384439</v>
      </c>
      <c r="CP26">
        <f>AG26*(c_Stroke2 + c_LIR_2)</f>
        <v>221.61183062456803</v>
      </c>
      <c r="CQ26">
        <f>AH26*(c_MI1+c_MI2 + c_LIR_2)</f>
        <v>62.168744858732516</v>
      </c>
      <c r="CR26">
        <f>AI26*(c_MI2+c_LIR_2)</f>
        <v>124.15107391915097</v>
      </c>
      <c r="CS26">
        <f>AJ26*(c_Stroke1+c_Stroke2+c_MI2+c_LIR_2)</f>
        <v>3.0218274247161601</v>
      </c>
      <c r="CT26">
        <f>AK26*(c_Stroke2+c_MI1+c_MI2+c_LIR_2)</f>
        <v>3.0354961753413594</v>
      </c>
      <c r="CU26">
        <f>AL26*(c_Stroke2+c_MI2+c_LIR_2)</f>
        <v>5.8285683975058644</v>
      </c>
      <c r="CV26">
        <f>AM26*(c_HF1+c_LIR_2)</f>
        <v>24.386415601599026</v>
      </c>
      <c r="CW26">
        <f>AN26*(c_HF2+c_LIR_2)</f>
        <v>172.63301037437418</v>
      </c>
      <c r="CX26">
        <f>AO26*(c_Stroke2+c_HF1+c_LIR_2)</f>
        <v>1.1701729795340861</v>
      </c>
      <c r="CY26">
        <f>AP26*(c_Stroke1+c_Stroke2+c_HF2+c_LIR_2)</f>
        <v>2.6167965838324703</v>
      </c>
      <c r="CZ26">
        <f>AQ26*(c_Stroke2+c_HF2+c_LIR_2)</f>
        <v>6.6609660060344531</v>
      </c>
      <c r="DA26">
        <f>AR26*(c_DM+c_LIR_2)</f>
        <v>6677.8548198747376</v>
      </c>
      <c r="DB26">
        <f>AS26*(c_Other+c_DM+c_LIR_2)</f>
        <v>2538.0697218069295</v>
      </c>
      <c r="DC26">
        <f>AT26*(c_Stroke1+c_Stroke2+c_DM+c_LIR_2)</f>
        <v>240.94135008701338</v>
      </c>
      <c r="DD26">
        <f>AU26*(c_Stroke2+c_DM+c_LIR_2)</f>
        <v>603.05162758200072</v>
      </c>
      <c r="DE26">
        <f>AV26*(c_MI1+c_MI2+c_DM+c_LIR_2)</f>
        <v>147.95273217804552</v>
      </c>
      <c r="DF26">
        <f>AW26*(c_MI2+c_DM+c_LIR_2)</f>
        <v>377.79082310643793</v>
      </c>
      <c r="DG26">
        <f>AX26*(c_Stroke1+c_Stroke2+c_MI2+c_DM+c_LIR_2)</f>
        <v>11.268110041034262</v>
      </c>
      <c r="DH26">
        <f>AY26*(c_Stroke2+c_MI1+c_MI2+c_DM+c_LIR_2)</f>
        <v>10.928075644556435</v>
      </c>
      <c r="DI26">
        <f>AZ26*(c_Stroke2+c_MI2+c_DM+c_LIR_2)</f>
        <v>24.010144180032984</v>
      </c>
      <c r="DJ26">
        <f>BA26*(c_HF1+c_DM+c_LIR_2)</f>
        <v>56.833368282575044</v>
      </c>
      <c r="DK26">
        <f>BB26*(c_HF2+c_DM+c_LIR_2)</f>
        <v>397.07749482751944</v>
      </c>
      <c r="DL26">
        <f>BC26*(c_Stroke2+c_HF1+c_DM+c_LIR_2)</f>
        <v>4.1292251134180207</v>
      </c>
      <c r="DM26">
        <f>BD26*(c_Stroke1+c_Stroke2+c_HF2+c_DM+c_LIR_2)</f>
        <v>8.7058532378367079</v>
      </c>
      <c r="DN26">
        <f>BE26*(c_Stroke2+c_HF2+c_DM+c_LIR_2)</f>
        <v>22.571467540988262</v>
      </c>
      <c r="DO26">
        <f t="shared" si="5"/>
        <v>0</v>
      </c>
      <c r="DP26">
        <f t="shared" si="38"/>
        <v>16304.33888775585</v>
      </c>
      <c r="DQ26">
        <f>DP26/(1+r_)^A26</f>
        <v>8261.273978027275</v>
      </c>
    </row>
    <row r="27" spans="1:121" x14ac:dyDescent="0.3">
      <c r="A27">
        <v>24</v>
      </c>
      <c r="B27">
        <v>69</v>
      </c>
      <c r="C27">
        <f t="shared" si="39"/>
        <v>36.1</v>
      </c>
      <c r="D27">
        <f t="shared" si="1"/>
        <v>125</v>
      </c>
      <c r="E27">
        <f t="shared" si="40"/>
        <v>5.5</v>
      </c>
      <c r="F27">
        <v>1.321E-2</v>
      </c>
      <c r="G27">
        <v>2.0879999999999999E-2</v>
      </c>
      <c r="H27">
        <f t="shared" si="3"/>
        <v>1.4744E-2</v>
      </c>
      <c r="I27">
        <f t="shared" si="20"/>
        <v>3.2286349135090861E-2</v>
      </c>
      <c r="J27">
        <f t="shared" si="21"/>
        <v>0.23244094220210154</v>
      </c>
      <c r="K27">
        <f t="shared" si="22"/>
        <v>0.30960113800944067</v>
      </c>
      <c r="L27">
        <f t="shared" si="23"/>
        <v>0.11770857292535608</v>
      </c>
      <c r="M27">
        <f t="shared" si="24"/>
        <v>0.16086824257317855</v>
      </c>
      <c r="N27">
        <f t="shared" si="25"/>
        <v>0.49526249195748195</v>
      </c>
      <c r="O27">
        <f t="shared" si="26"/>
        <v>0.61942964717393934</v>
      </c>
      <c r="P27">
        <f t="shared" si="27"/>
        <v>0.28560089186715276</v>
      </c>
      <c r="Q27">
        <f t="shared" si="28"/>
        <v>0.37824381383629968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1.8993452499942703E-2</v>
      </c>
      <c r="U27">
        <f t="shared" si="29"/>
        <v>0.4377002902432704</v>
      </c>
      <c r="V27">
        <f t="shared" si="30"/>
        <v>0.55348902268322964</v>
      </c>
      <c r="W27">
        <f t="shared" si="31"/>
        <v>0.23856107649111047</v>
      </c>
      <c r="X27">
        <f t="shared" si="32"/>
        <v>0.31729836998049787</v>
      </c>
      <c r="Y27">
        <f t="shared" si="33"/>
        <v>0.6875930272323274</v>
      </c>
      <c r="Z27">
        <f t="shared" si="34"/>
        <v>0.80678271611201535</v>
      </c>
      <c r="AA27">
        <f t="shared" si="35"/>
        <v>0.43576745421028606</v>
      </c>
      <c r="AB27">
        <f t="shared" si="36"/>
        <v>0.55453550430415799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3.3593582767348799E-2</v>
      </c>
      <c r="AD27">
        <f t="shared" si="37"/>
        <v>0.26728247553940693</v>
      </c>
      <c r="AE27">
        <f t="shared" si="6"/>
        <v>4.2264230489806827E-2</v>
      </c>
      <c r="AF27">
        <f t="shared" si="7"/>
        <v>2.830716518445615E-3</v>
      </c>
      <c r="AG27">
        <f t="shared" si="8"/>
        <v>1.2095872501251499E-2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1.4993467121878525E-3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8.299612234876538E-3</v>
      </c>
      <c r="AJ27">
        <f t="shared" si="11"/>
        <v>8.1338377438858216E-5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6.663895202603294E-5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2.8430453661563792E-4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6.231226428883717E-4</v>
      </c>
      <c r="AN27">
        <f t="shared" si="15"/>
        <v>6.5204037241646971E-3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2.698497256729271E-5</v>
      </c>
      <c r="AP27">
        <f>AM26*T26*p_Stroke*p_Stroke_rec*(1-I26) + AN26*T26*p_Stroke*p_Stroke_rec*(1-I26) + AO26*(p_recur_Stroke*p_Stroke_rec)*(1-I26) + AP26*(p_recur_Stroke*p_Stroke_rec)*(1-I26) + AQ26*(p_recur_Stroke*p_Stroke_rec)*(1-I26)</f>
        <v>5.5273623245910959E-5</v>
      </c>
      <c r="AQ27">
        <f>AO26*(1-p_recur_Stroke-H26*rr_Stroke*rr_HF)*(1-I26) + AP26*(1-p_recur_Stroke-H26*rr_Stroke*rr_HF)*(1-I26) + AQ26*(1-p_recur_Stroke-H26*rr_Stroke*rr_HF)*(1-I26)</f>
        <v>2.1272872857911333E-4</v>
      </c>
      <c r="AR27">
        <f>AR26*(1-AC26-H26*rr_DM) + AD26*(1-T26-H26)*I26</f>
        <v>0.28310360222863123</v>
      </c>
      <c r="AS27">
        <f>AR26*AC26*p_Other + AD26*T26*p_Other*I26 + AE26*(1-T26*p_Stroke-T26*p_MI-H26*rr_Other)*I26 + AS26*(1-AC26*p_Stroke-AC26*p_MI-H26*rr_Other*rr_DM)</f>
        <v>7.1329089048149108E-2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5.354394680457019E-3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2.1376522715845898E-2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2.9366674797443818E-3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1.5111378918993215E-2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2.4729141094004102E-4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2.0379290253339313E-4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8.0734042555343237E-4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1.1836212371657761E-3</v>
      </c>
      <c r="BB27">
        <f>AM26*(1-T26*p_Stroke - H26*rr_HF)*I26 + AN26*(1-T26*p_Stroke - H26*rr_HF)*I26 + BA26*(1-AC26*p_Stroke - H26*rr_HF*rr_DM) + BB26*(1-AC26*p_Stroke - H26*rr_HF*rr_DM)</f>
        <v>1.1180389935416363E-2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8.0305684131068213E-5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1.585817361837612E-4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5.694539872155833E-4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0.18621451805553849</v>
      </c>
      <c r="BG27">
        <f t="shared" si="17"/>
        <v>0.94199999999999984</v>
      </c>
      <c r="BH27">
        <f>(0.9442 - 0.0007*$B27 - dis_BMI*($C27-21.75))*AD27</f>
        <v>0.22680120820658606</v>
      </c>
      <c r="BI27">
        <f>0.959*(0.9442 - 0.0007*$B27 - dis_BMI*($C27-21.75))*AE27</f>
        <v>3.4392714301073234E-2</v>
      </c>
      <c r="BJ27">
        <f>(0.943*(0.9442 - 0.0007*$B27 - dis_BMI*($C27-21.75)) - 0.19*0.5)*AF27</f>
        <v>1.9961588290478682E-3</v>
      </c>
      <c r="BK27">
        <f>(0.943*(0.9442 - 0.0007*$B27 - dis_BMI*($C27-21.75)))*AG27</f>
        <v>9.6788502800747075E-3</v>
      </c>
      <c r="BL27">
        <f>(0.955*(0.9442 - 0.0007*$B27 - dis_BMI*($C27-21.75)) - 0.15*0.5)*AH27</f>
        <v>1.1025603104641475E-3</v>
      </c>
      <c r="BM27">
        <f>(0.955*(0.9442 - 0.0007*$B27 - dis_BMI*($C27-21.75)))*AI27</f>
        <v>6.7256777129703627E-3</v>
      </c>
      <c r="BN27">
        <f>(0.955*0.943*(0.9442 - 0.0007*$B27 - dis_BMI*($C27-21.75)) - 0.19*0.5)*AJ27</f>
        <v>5.4429196168297193E-5</v>
      </c>
      <c r="BO27">
        <f>(0.955*0.943*(0.9442 - 0.0007*$B27 - dis_BMI*($C27-21.75)) - 0.15*0.5)*AK27</f>
        <v>4.5925561764778655E-5</v>
      </c>
      <c r="BP27">
        <f>(0.955*0.943*(0.9442 - 0.0007*$B27 - dis_BMI*($C27-21.75)))*AL27</f>
        <v>2.1725697725432253E-4</v>
      </c>
      <c r="BQ27">
        <f>(0.93*(0.9442 - 0.0007*$B27 - dis_BMI*($C27-21.75)))*AM27</f>
        <v>4.9173527079903346E-4</v>
      </c>
      <c r="BR27">
        <f>(0.93*(0.9442 - 0.0007*$B27 - dis_BMI*($C27-21.75)))*AN27</f>
        <v>5.1455560596528399E-3</v>
      </c>
      <c r="BS27">
        <f>(0.93*0.943*(0.9442 - 0.0007*$B27 - dis_BMI*($C27-21.75)))*AO27</f>
        <v>2.0081285051182975E-5</v>
      </c>
      <c r="BT27">
        <f>(0.93*0.943*(0.9442 - 0.0007*$B27 - dis_BMI*($C27-21.75))-0.19*0.5)*AP27</f>
        <v>3.5881728140897814E-5</v>
      </c>
      <c r="BU27">
        <f>(0.93*0.943*(0.9442 - 0.0007*$B27 - dis_BMI*($C27-21.75)))*AQ27</f>
        <v>1.5830537631713766E-4</v>
      </c>
      <c r="BV27">
        <f>0.962*(0.9442 - 0.0007*$B27 - dis_BMI*($C27-21.75))*AR27</f>
        <v>0.23109755259927631</v>
      </c>
      <c r="BW27">
        <f>0.962*0.959*(0.9442 - 0.0007*$B27 - dis_BMI*($C27-21.75))*AS27</f>
        <v>5.5838691876346901E-2</v>
      </c>
      <c r="BX27">
        <f>0.962*(0.943*(0.9442 - 0.0007*$B27 - dis_BMI*($C27-21.75)) - 0.19*0.5)*AT27</f>
        <v>3.6323205465499577E-3</v>
      </c>
      <c r="BY27">
        <f>0.962*(0.943*(0.9442 - 0.0007*$B27 - dis_BMI*($C27-21.75)))*AU27</f>
        <v>1.6455030975684806E-2</v>
      </c>
      <c r="BZ27">
        <f>0.962*(0.955*(0.9442 - 0.0007*$B27 - dis_BMI*($C27-21.75)) - 0.15*0.5)*AV27</f>
        <v>2.0774478434946496E-3</v>
      </c>
      <c r="CA27">
        <f>0.962*(0.955*(0.9442 - 0.0007*$B27 - dis_BMI*($C27-21.75)))*AW27</f>
        <v>1.1780328959149716E-2</v>
      </c>
      <c r="CB27">
        <f>0.962*(0.955*0.943*(0.9442 - 0.0007*$B27 - dis_BMI*($C27-21.75)) - 0.19*0.5)*AX27</f>
        <v>1.5919173656108045E-4</v>
      </c>
      <c r="CC27">
        <f>0.962*(0.955*0.943*(0.9442 - 0.0007*$B27 - dis_BMI*($C27-21.75)) - 0.15*0.5)*AY27</f>
        <v>1.3511091823244361E-4</v>
      </c>
      <c r="CD27">
        <f>0.962*(0.955*0.943*(0.9442 - 0.0007*$B27 - dis_BMI*($C27-21.75)))*AZ27</f>
        <v>5.935013543634731E-4</v>
      </c>
      <c r="CE27">
        <f>0.962*(0.93*(0.9442 - 0.0007*$B27 - dis_BMI*($C27-21.75)))*BA27</f>
        <v>8.9855703400818117E-4</v>
      </c>
      <c r="CF27">
        <f>0.962*(0.93*(0.9442 - 0.0007*$B27 - dis_BMI*($C27-21.75)))*BB27</f>
        <v>8.4876966583319162E-3</v>
      </c>
      <c r="CG27">
        <f>0.962*(0.93*0.943*(0.9442 - 0.0007*$B27 - dis_BMI*($C27-21.75)))*BC27</f>
        <v>5.7489810660191689E-5</v>
      </c>
      <c r="CH27">
        <f>0.962*(0.93*0.943*(0.9442 - 0.0007*$B27 - dis_BMI*($C27-21.75))-0.19*0.5)*BD27</f>
        <v>9.9033848842534022E-5</v>
      </c>
      <c r="CI27">
        <f>0.962*(0.93*0.943*(0.9442 - 0.0007*$B27 - dis_BMI*($C27-21.75)))*BE27</f>
        <v>4.0766481549778222E-4</v>
      </c>
      <c r="CJ27">
        <f t="shared" si="18"/>
        <v>0</v>
      </c>
      <c r="CK27">
        <f t="shared" si="19"/>
        <v>0.61858596007236488</v>
      </c>
      <c r="CL27">
        <f>CK27/(1+r_)^A27</f>
        <v>0.30430330258556104</v>
      </c>
      <c r="CM27">
        <f>AD27*c_LIR_2</f>
        <v>3143.2419123434256</v>
      </c>
      <c r="CN27">
        <f>AE27*(c_Other+c_LIR_2)</f>
        <v>1100.51829772408</v>
      </c>
      <c r="CO27">
        <f>AF27*(c_Stroke1+c_Stroke2+c_LIR_2)</f>
        <v>100.7055708602212</v>
      </c>
      <c r="CP27">
        <f>AG27*(c_Stroke2 + c_LIR_2)</f>
        <v>220.87063187285239</v>
      </c>
      <c r="CQ27">
        <f>AH27*(c_MI1+c_MI2 + c_LIR_2)</f>
        <v>61.33977334231723</v>
      </c>
      <c r="CR27">
        <f>AI27*(c_MI2+c_LIR_2)</f>
        <v>123.47333121825825</v>
      </c>
      <c r="CS27">
        <f>AJ27*(c_Stroke1+c_Stroke2+c_MI2+c_LIR_2)</f>
        <v>3.1472258382417411</v>
      </c>
      <c r="CT27">
        <f>AK27*(c_Stroke2+c_MI1+c_MI2+c_LIR_2)</f>
        <v>3.1594193545062477</v>
      </c>
      <c r="CU27">
        <f>AL27*(c_Stroke2+c_MI2+c_LIR_2)</f>
        <v>6.0775780792324916</v>
      </c>
      <c r="CV27">
        <f>AM27*(c_HF1+c_LIR_2)</f>
        <v>24.17092731763994</v>
      </c>
      <c r="CW27">
        <f>AN27*(c_HF2+c_LIR_2)</f>
        <v>178.43084791176693</v>
      </c>
      <c r="CX27">
        <f>AO27*(c_Stroke2+c_HF1+c_LIR_2)</f>
        <v>1.2221494075726869</v>
      </c>
      <c r="CY27">
        <f>AP27*(c_Stroke1+c_Stroke2+c_HF2+c_LIR_2)</f>
        <v>2.8289593113489686</v>
      </c>
      <c r="CZ27">
        <f>AQ27*(c_Stroke2+c_HF2+c_LIR_2)</f>
        <v>7.2040583933316729</v>
      </c>
      <c r="DA27">
        <f>AR27*(c_DM+c_LIR_2)</f>
        <v>6563.757017670815</v>
      </c>
      <c r="DB27">
        <f>AS27*(c_Other+c_DM+c_LIR_2)</f>
        <v>2672.2729920998581</v>
      </c>
      <c r="DC27">
        <f>AT27*(c_Stroke1+c_Stroke2+c_DM+c_LIR_2)</f>
        <v>251.66190437616035</v>
      </c>
      <c r="DD27">
        <f>AU27*(c_Stroke2+c_DM+c_LIR_2)</f>
        <v>634.56207681988553</v>
      </c>
      <c r="DE27">
        <f>AV27*(c_MI1+c_MI2+c_DM+c_LIR_2)</f>
        <v>153.69342921990196</v>
      </c>
      <c r="DF27">
        <f>AW27*(c_MI2+c_DM+c_LIR_2)</f>
        <v>397.45948832735951</v>
      </c>
      <c r="DG27">
        <f>AX27*(c_Stroke1+c_Stroke2+c_MI2+c_DM+c_LIR_2)</f>
        <v>12.393750933492976</v>
      </c>
      <c r="DH27">
        <f>AY27*(c_Stroke2+c_MI1+c_MI2+c_DM+c_LIR_2)</f>
        <v>11.990359213454719</v>
      </c>
      <c r="DI27">
        <f>AZ27*(c_Stroke2+c_MI2+c_DM+c_LIR_2)</f>
        <v>26.48238063900369</v>
      </c>
      <c r="DJ27">
        <f>BA27*(c_HF1+c_DM+c_LIR_2)</f>
        <v>59.435540424279445</v>
      </c>
      <c r="DK27">
        <f>BB27*(c_HF2+c_DM+c_LIR_2)</f>
        <v>433.68732559480071</v>
      </c>
      <c r="DL27">
        <f>BC27*(c_Stroke2+c_HF1+c_DM+c_LIR_2)</f>
        <v>4.5545368754935334</v>
      </c>
      <c r="DM27">
        <f>BD27*(c_Stroke1+c_Stroke2+c_HF2+c_DM+c_LIR_2)</f>
        <v>9.928168175520554</v>
      </c>
      <c r="DN27">
        <f>BE27*(c_Stroke2+c_HF2+c_DM+c_LIR_2)</f>
        <v>25.790571080993768</v>
      </c>
      <c r="DO27">
        <f t="shared" si="5"/>
        <v>0</v>
      </c>
      <c r="DP27">
        <f t="shared" si="38"/>
        <v>16234.060224425817</v>
      </c>
      <c r="DQ27">
        <f>DP27/(1+r_)^A27</f>
        <v>7986.0819021624075</v>
      </c>
    </row>
    <row r="28" spans="1:121" x14ac:dyDescent="0.3">
      <c r="A28">
        <v>25</v>
      </c>
      <c r="B28">
        <v>70</v>
      </c>
      <c r="C28">
        <f t="shared" si="39"/>
        <v>36.1</v>
      </c>
      <c r="D28">
        <f t="shared" si="1"/>
        <v>125</v>
      </c>
      <c r="E28">
        <f t="shared" si="40"/>
        <v>5.5</v>
      </c>
      <c r="F28">
        <v>1.455E-2</v>
      </c>
      <c r="G28">
        <v>2.213E-2</v>
      </c>
      <c r="H28">
        <f t="shared" si="3"/>
        <v>1.6066E-2</v>
      </c>
      <c r="I28">
        <f t="shared" si="20"/>
        <v>3.2286349135090861E-2</v>
      </c>
      <c r="J28">
        <f t="shared" si="21"/>
        <v>0.24050592194876741</v>
      </c>
      <c r="K28">
        <f t="shared" si="22"/>
        <v>0.3197392088478529</v>
      </c>
      <c r="L28">
        <f t="shared" si="23"/>
        <v>0.12210942766660904</v>
      </c>
      <c r="M28">
        <f t="shared" si="24"/>
        <v>0.16672424356140392</v>
      </c>
      <c r="N28">
        <f t="shared" si="25"/>
        <v>0.51082654913005343</v>
      </c>
      <c r="O28">
        <f t="shared" si="26"/>
        <v>0.63590519089948527</v>
      </c>
      <c r="P28">
        <f t="shared" si="27"/>
        <v>0.29652305311161076</v>
      </c>
      <c r="Q28">
        <f t="shared" si="28"/>
        <v>0.39163284557205025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1.966684840923023E-2</v>
      </c>
      <c r="U28">
        <f t="shared" si="29"/>
        <v>0.45047906447213548</v>
      </c>
      <c r="V28">
        <f t="shared" si="30"/>
        <v>0.56763535766087225</v>
      </c>
      <c r="W28">
        <f t="shared" si="31"/>
        <v>0.24680255020030406</v>
      </c>
      <c r="X28">
        <f t="shared" si="32"/>
        <v>0.32762448216349505</v>
      </c>
      <c r="Y28">
        <f t="shared" si="33"/>
        <v>0.7038077813567778</v>
      </c>
      <c r="Z28">
        <f t="shared" si="34"/>
        <v>0.82079941870615469</v>
      </c>
      <c r="AA28">
        <f t="shared" si="35"/>
        <v>0.45036761070686682</v>
      </c>
      <c r="AB28">
        <f t="shared" si="36"/>
        <v>0.5707354111252303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3.4631212807746788E-2</v>
      </c>
      <c r="AD28">
        <f t="shared" si="37"/>
        <v>0.24992661028142538</v>
      </c>
      <c r="AE28">
        <f t="shared" si="6"/>
        <v>4.2106345383928087E-2</v>
      </c>
      <c r="AF28">
        <f t="shared" si="7"/>
        <v>2.798597049748104E-3</v>
      </c>
      <c r="AG28">
        <f t="shared" si="8"/>
        <v>1.1984343639706282E-2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1.4759310953304933E-3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8.2236401113812869E-3</v>
      </c>
      <c r="AJ28">
        <f t="shared" si="11"/>
        <v>8.4293739387953574E-5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6.8991881787436164E-5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2.9365792859943314E-4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6.1603836039615634E-4</v>
      </c>
      <c r="AN28">
        <f t="shared" si="15"/>
        <v>6.6971880814204552E-3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2.8023508778384914E-5</v>
      </c>
      <c r="AP28">
        <f>AM27*T27*p_Stroke*p_Stroke_rec*(1-I27) + AN27*T27*p_Stroke*p_Stroke_rec*(1-I27) + AO27*(p_recur_Stroke*p_Stroke_rec)*(1-I27) + AP27*(p_recur_Stroke*p_Stroke_rec)*(1-I27) + AQ27*(p_recur_Stroke*p_Stroke_rec)*(1-I27)</f>
        <v>5.9298141345379845E-5</v>
      </c>
      <c r="AQ28">
        <f>AO27*(1-p_recur_Stroke-H27*rr_Stroke*rr_HF)*(1-I27) + AP27*(1-p_recur_Stroke-H27*rr_Stroke*rr_HF)*(1-I27) + AQ27*(1-p_recur_Stroke-H27*rr_Stroke*rr_HF)*(1-I27)</f>
        <v>2.2723141873269855E-4</v>
      </c>
      <c r="AR28">
        <f>AR27*(1-AC27-H27*rr_DM) + AD27*(1-T27-H27)*I27</f>
        <v>0.27713138193288511</v>
      </c>
      <c r="AS28">
        <f>AR27*AC27*p_Other + AD27*T27*p_Other*I27 + AE27*(1-T27*p_Stroke-T27*p_MI-H27*rr_Other)*I27 + AS27*(1-AC27*p_Stroke-AC27*p_MI-H27*rr_Other*rr_DM)</f>
        <v>7.458845887559927E-2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5.5639144654915096E-3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2.2306852919526828E-2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3.0374375072242435E-3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1.5802613350314437E-2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2.7003519955570352E-4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2.2191886386209767E-4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8.7942908371009543E-4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1.2321276317286585E-3</v>
      </c>
      <c r="BB28">
        <f>AM27*(1-T27*p_Stroke - H27*rr_HF)*I27 + AN27*(1-T27*p_Stroke - H27*rr_HF)*I27 + BA27*(1-AC27*p_Stroke - H27*rr_HF*rr_DM) + BB27*(1-AC27*p_Stroke - H27*rr_HF*rr_DM)</f>
        <v>1.2110378823412911E-2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8.7871037509397714E-5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1.7910765021055271E-4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6.4084457498394772E-4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0.20335743746201768</v>
      </c>
      <c r="BG28">
        <f t="shared" si="17"/>
        <v>0.94199999999999995</v>
      </c>
      <c r="BH28">
        <f>(0.9442 - 0.0007*$B28 - dis_BMI*($C28-21.75))*AD28</f>
        <v>0.2118990268940551</v>
      </c>
      <c r="BI28">
        <f>0.959*(0.9442 - 0.0007*$B28 - dis_BMI*($C28-21.75))*AE28</f>
        <v>3.4235968571553012E-2</v>
      </c>
      <c r="BJ28">
        <f>(0.943*(0.9442 - 0.0007*$B28 - dis_BMI*($C28-21.75)) - 0.19*0.5)*AF28</f>
        <v>1.9716615345259213E-3</v>
      </c>
      <c r="BK28">
        <f>(0.943*(0.9442 - 0.0007*$B28 - dis_BMI*($C28-21.75)))*AG28</f>
        <v>9.5816964807139866E-3</v>
      </c>
      <c r="BL28">
        <f>(0.955*(0.9442 - 0.0007*$B28 - dis_BMI*($C28-21.75)) - 0.15*0.5)*AH28</f>
        <v>1.0843547313922734E-3</v>
      </c>
      <c r="BM28">
        <f>(0.955*(0.9442 - 0.0007*$B28 - dis_BMI*($C28-21.75)))*AI28</f>
        <v>6.6586154034735338E-3</v>
      </c>
      <c r="BN28">
        <f>(0.955*0.943*(0.9442 - 0.0007*$B28 - dis_BMI*($C28-21.75)) - 0.19*0.5)*AJ28</f>
        <v>5.6353697116777289E-5</v>
      </c>
      <c r="BO28">
        <f>(0.955*0.943*(0.9442 - 0.0007*$B28 - dis_BMI*($C28-21.75)) - 0.15*0.5)*AK28</f>
        <v>4.7503638027042172E-5</v>
      </c>
      <c r="BP28">
        <f>(0.955*0.943*(0.9442 - 0.0007*$B28 - dis_BMI*($C28-21.75)))*AL28</f>
        <v>2.2421943749570519E-4</v>
      </c>
      <c r="BQ28">
        <f>(0.93*(0.9442 - 0.0007*$B28 - dis_BMI*($C28-21.75)))*AM28</f>
        <v>4.8574369061317365E-4</v>
      </c>
      <c r="BR28">
        <f>(0.93*(0.9442 - 0.0007*$B28 - dis_BMI*($C28-21.75)))*AN28</f>
        <v>5.2807050088694912E-3</v>
      </c>
      <c r="BS28">
        <f>(0.93*0.943*(0.9442 - 0.0007*$B28 - dis_BMI*($C28-21.75)))*AO28</f>
        <v>2.0836924412865955E-5</v>
      </c>
      <c r="BT28">
        <f>(0.93*0.943*(0.9442 - 0.0007*$B28 - dis_BMI*($C28-21.75))-0.19*0.5)*AP28</f>
        <v>3.8457903649012248E-5</v>
      </c>
      <c r="BU28">
        <f>(0.93*0.943*(0.9442 - 0.0007*$B28 - dis_BMI*($C28-21.75)))*AQ28</f>
        <v>1.689582819127054E-4</v>
      </c>
      <c r="BV28">
        <f>0.962*(0.9442 - 0.0007*$B28 - dis_BMI*($C28-21.75))*AR28</f>
        <v>0.22603580716732125</v>
      </c>
      <c r="BW28">
        <f>0.962*0.959*(0.9442 - 0.0007*$B28 - dis_BMI*($C28-21.75))*AS28</f>
        <v>5.8342062280151409E-2</v>
      </c>
      <c r="BX28">
        <f>0.962*(0.943*(0.9442 - 0.0007*$B28 - dis_BMI*($C28-21.75)) - 0.19*0.5)*AT28</f>
        <v>3.7709216483658367E-3</v>
      </c>
      <c r="BY28">
        <f>0.962*(0.943*(0.9442 - 0.0007*$B28 - dis_BMI*($C28-21.75)))*AU28</f>
        <v>1.7157007135311944E-2</v>
      </c>
      <c r="BZ28">
        <f>0.962*(0.955*(0.9442 - 0.0007*$B28 - dis_BMI*($C28-21.75)) - 0.15*0.5)*AV28</f>
        <v>2.1467808845990334E-3</v>
      </c>
      <c r="CA28">
        <f>0.962*(0.955*(0.9442 - 0.0007*$B28 - dis_BMI*($C28-21.75)))*AW28</f>
        <v>1.2309029743653919E-2</v>
      </c>
      <c r="CB28">
        <f>0.962*(0.955*0.943*(0.9442 - 0.0007*$B28 - dis_BMI*($C28-21.75)) - 0.19*0.5)*AX28</f>
        <v>1.7366909621938963E-4</v>
      </c>
      <c r="CC28">
        <f>0.962*(0.955*0.943*(0.9442 - 0.0007*$B28 - dis_BMI*($C28-21.75)) - 0.15*0.5)*AY28</f>
        <v>1.469935141510199E-4</v>
      </c>
      <c r="CD28">
        <f>0.962*(0.955*0.943*(0.9442 - 0.0007*$B28 - dis_BMI*($C28-21.75)))*AZ28</f>
        <v>6.4596267426462811E-4</v>
      </c>
      <c r="CE28">
        <f>0.962*(0.93*(0.9442 - 0.0007*$B28 - dis_BMI*($C28-21.75)))*BA28</f>
        <v>9.3460947836541725E-4</v>
      </c>
      <c r="CF28">
        <f>0.962*(0.93*(0.9442 - 0.0007*$B28 - dis_BMI*($C28-21.75)))*BB28</f>
        <v>9.1861220733097815E-3</v>
      </c>
      <c r="CG28">
        <f>0.962*(0.93*0.943*(0.9442 - 0.0007*$B28 - dis_BMI*($C28-21.75)))*BC28</f>
        <v>6.2853856676534754E-5</v>
      </c>
      <c r="CH28">
        <f>0.962*(0.93*0.943*(0.9442 - 0.0007*$B28 - dis_BMI*($C28-21.75))-0.19*0.5)*BD28</f>
        <v>1.1174644978041912E-4</v>
      </c>
      <c r="CI28">
        <f>0.962*(0.93*0.943*(0.9442 - 0.0007*$B28 - dis_BMI*($C28-21.75)))*BE28</f>
        <v>4.5839396244374625E-4</v>
      </c>
      <c r="CJ28">
        <f t="shared" si="18"/>
        <v>0</v>
      </c>
      <c r="CK28">
        <f t="shared" si="19"/>
        <v>0.60323606216242498</v>
      </c>
      <c r="CL28">
        <f>CK28/(1+r_)^A28</f>
        <v>0.28810890286824692</v>
      </c>
      <c r="CM28">
        <f>AD28*c_LIR_2</f>
        <v>2939.1369369095623</v>
      </c>
      <c r="CN28">
        <f>AE28*(c_Other+c_LIR_2)</f>
        <v>1096.4071274521034</v>
      </c>
      <c r="CO28">
        <f>AF28*(c_Stroke1+c_Stroke2+c_LIR_2)</f>
        <v>99.562888641838541</v>
      </c>
      <c r="CP28">
        <f>AG28*(c_Stroke2 + c_LIR_2)</f>
        <v>218.83411486103671</v>
      </c>
      <c r="CQ28">
        <f>AH28*(c_MI1+c_MI2 + c_LIR_2)</f>
        <v>60.381817041065808</v>
      </c>
      <c r="CR28">
        <f>AI28*(c_MI2+c_LIR_2)</f>
        <v>122.3430939370194</v>
      </c>
      <c r="CS28">
        <f>AJ28*(c_Stroke1+c_Stroke2+c_MI2+c_LIR_2)</f>
        <v>3.2615776581380875</v>
      </c>
      <c r="CT28">
        <f>AK28*(c_Stroke2+c_MI1+c_MI2+c_LIR_2)</f>
        <v>3.2709741074241361</v>
      </c>
      <c r="CU28">
        <f>AL28*(c_Stroke2+c_MI2+c_LIR_2)</f>
        <v>6.2775255396700826</v>
      </c>
      <c r="CV28">
        <f>AM28*(c_HF1+c_LIR_2)</f>
        <v>23.896127999766904</v>
      </c>
      <c r="CW28">
        <f>AN28*(c_HF2+c_LIR_2)</f>
        <v>183.26855184807076</v>
      </c>
      <c r="CX28">
        <f>AO28*(c_Stroke2+c_HF1+c_LIR_2)</f>
        <v>1.2691847125730527</v>
      </c>
      <c r="CY28">
        <f>AP28*(c_Stroke1+c_Stroke2+c_HF2+c_LIR_2)</f>
        <v>3.0349381721978861</v>
      </c>
      <c r="CZ28">
        <f>AQ28*(c_Stroke2+c_HF2+c_LIR_2)</f>
        <v>7.695191995382836</v>
      </c>
      <c r="DA28">
        <f>AR28*(c_DM+c_LIR_2)</f>
        <v>6425.2910901139412</v>
      </c>
      <c r="DB28">
        <f>AS28*(c_Other+c_DM+c_LIR_2)</f>
        <v>2794.3820233154511</v>
      </c>
      <c r="DC28">
        <f>AT28*(c_Stroke1+c_Stroke2+c_DM+c_LIR_2)</f>
        <v>261.50954379256643</v>
      </c>
      <c r="DD28">
        <f>AU28*(c_Stroke2+c_DM+c_LIR_2)</f>
        <v>662.17892891615395</v>
      </c>
      <c r="DE28">
        <f>AV28*(c_MI1+c_MI2+c_DM+c_LIR_2)</f>
        <v>158.96732937808801</v>
      </c>
      <c r="DF28">
        <f>AW28*(c_MI2+c_DM+c_LIR_2)</f>
        <v>415.6403363399703</v>
      </c>
      <c r="DG28">
        <f>AX28*(c_Stroke1+c_Stroke2+c_MI2+c_DM+c_LIR_2)</f>
        <v>13.533624131332749</v>
      </c>
      <c r="DH28">
        <f>AY28*(c_Stroke2+c_MI1+c_MI2+c_DM+c_LIR_2)</f>
        <v>13.056818274190379</v>
      </c>
      <c r="DI28">
        <f>AZ28*(c_Stroke2+c_MI2+c_DM+c_LIR_2)</f>
        <v>28.84703280385855</v>
      </c>
      <c r="DJ28">
        <f>BA28*(c_HF1+c_DM+c_LIR_2)</f>
        <v>61.871289027254583</v>
      </c>
      <c r="DK28">
        <f>BB28*(c_HF2+c_DM+c_LIR_2)</f>
        <v>469.76159456018678</v>
      </c>
      <c r="DL28">
        <f>BC28*(c_Stroke2+c_HF1+c_DM+c_LIR_2)</f>
        <v>4.9836058923454916</v>
      </c>
      <c r="DM28">
        <f>BD28*(c_Stroke1+c_Stroke2+c_HF2+c_DM+c_LIR_2)</f>
        <v>11.213213549081862</v>
      </c>
      <c r="DN28">
        <f>BE28*(c_Stroke2+c_HF2+c_DM+c_LIR_2)</f>
        <v>29.023850801022991</v>
      </c>
      <c r="DO28">
        <f t="shared" si="5"/>
        <v>0</v>
      </c>
      <c r="DP28">
        <f t="shared" si="38"/>
        <v>16118.900331771292</v>
      </c>
      <c r="DQ28">
        <f>DP28/(1+r_)^A28</f>
        <v>7698.4765688275829</v>
      </c>
    </row>
    <row r="29" spans="1:121" x14ac:dyDescent="0.3">
      <c r="A29">
        <v>26</v>
      </c>
      <c r="B29">
        <v>71</v>
      </c>
      <c r="C29">
        <f t="shared" si="39"/>
        <v>36.1</v>
      </c>
      <c r="D29">
        <f t="shared" si="1"/>
        <v>125</v>
      </c>
      <c r="E29">
        <f t="shared" si="40"/>
        <v>5.5</v>
      </c>
      <c r="F29">
        <v>1.703E-2</v>
      </c>
      <c r="G29">
        <v>2.5520000000000001E-2</v>
      </c>
      <c r="H29">
        <f t="shared" si="3"/>
        <v>1.8728000000000002E-2</v>
      </c>
      <c r="I29">
        <f t="shared" si="20"/>
        <v>3.2286349135090861E-2</v>
      </c>
      <c r="J29">
        <f t="shared" si="21"/>
        <v>0.24868372796911353</v>
      </c>
      <c r="K29">
        <f t="shared" si="22"/>
        <v>0.32997517543311805</v>
      </c>
      <c r="L29">
        <f t="shared" si="23"/>
        <v>0.12659704978067388</v>
      </c>
      <c r="M29">
        <f t="shared" si="24"/>
        <v>0.17268360665850346</v>
      </c>
      <c r="N29">
        <f t="shared" si="25"/>
        <v>0.52636551998085535</v>
      </c>
      <c r="O29">
        <f t="shared" si="26"/>
        <v>0.65213959851533843</v>
      </c>
      <c r="P29">
        <f t="shared" si="27"/>
        <v>0.30760522176387239</v>
      </c>
      <c r="Q29">
        <f t="shared" si="28"/>
        <v>0.40513055093134098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2.0349239637580497E-2</v>
      </c>
      <c r="U29">
        <f t="shared" si="29"/>
        <v>0.4632746373176243</v>
      </c>
      <c r="V29">
        <f t="shared" si="30"/>
        <v>0.58166888426617702</v>
      </c>
      <c r="W29">
        <f t="shared" si="31"/>
        <v>0.25515661532045353</v>
      </c>
      <c r="X29">
        <f t="shared" si="32"/>
        <v>0.33804558180610578</v>
      </c>
      <c r="Y29">
        <f t="shared" si="33"/>
        <v>0.71963925256860239</v>
      </c>
      <c r="Z29">
        <f t="shared" si="34"/>
        <v>0.83418243447293117</v>
      </c>
      <c r="AA29">
        <f t="shared" si="35"/>
        <v>0.46501996693990322</v>
      </c>
      <c r="AB29">
        <f t="shared" si="36"/>
        <v>0.58681551974949608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3.5672966737108153E-2</v>
      </c>
      <c r="AD29">
        <f t="shared" si="37"/>
        <v>0.23321513894145665</v>
      </c>
      <c r="AE29">
        <f t="shared" si="6"/>
        <v>4.1758571950519963E-2</v>
      </c>
      <c r="AF29">
        <f t="shared" si="7"/>
        <v>2.7554032965047747E-3</v>
      </c>
      <c r="AG29">
        <f t="shared" si="8"/>
        <v>1.1807696328907304E-2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1.44868399928888E-3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8.1191706023865228E-3</v>
      </c>
      <c r="AJ29">
        <f t="shared" si="11"/>
        <v>8.6811059273676062E-5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7.0947722548361227E-5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3.0079021666479326E-4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6.0711094479654862E-4</v>
      </c>
      <c r="AN29">
        <f t="shared" si="15"/>
        <v>6.8381611223142704E-3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2.8890150667355426E-5</v>
      </c>
      <c r="AP29">
        <f>AM28*T28*p_Stroke*p_Stroke_rec*(1-I28) + AN28*T28*p_Stroke*p_Stroke_rec*(1-I28) + AO28*(p_recur_Stroke*p_Stroke_rec)*(1-I28) + AP28*(p_recur_Stroke*p_Stroke_rec)*(1-I28) + AQ28*(p_recur_Stroke*p_Stroke_rec)*(1-I28)</f>
        <v>6.3056887381772719E-5</v>
      </c>
      <c r="AQ29">
        <f>AO28*(1-p_recur_Stroke-H28*rr_Stroke*rr_HF)*(1-I28) + AP28*(1-p_recur_Stroke-H28*rr_Stroke*rr_HF)*(1-I28) + AQ28*(1-p_recur_Stroke-H28*rr_Stroke*rr_HF)*(1-I28)</f>
        <v>2.4001070243420333E-4</v>
      </c>
      <c r="AR29">
        <f>AR28*(1-AC28-H28*rr_DM) + AD28*(1-T28-H28)*I28</f>
        <v>0.27019461603135836</v>
      </c>
      <c r="AS29">
        <f>AR28*AC28*p_Other + AD28*T28*p_Other*I28 + AE28*(1-T28*p_Stroke-T28*p_MI-H28*rr_Other)*I28 + AS28*(1-AC28*p_Stroke-AC28*p_MI-H28*rr_Other*rr_DM)</f>
        <v>7.7479481334547753E-2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5.746253269273755E-3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2.3096123724578119E-2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3.1263429380716393E-3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1.6430804080774783E-2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2.9235624964952243E-4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2.3947204231169371E-4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9.4741596603115628E-4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1.275981268322617E-3</v>
      </c>
      <c r="BB29">
        <f>AM28*(1-T28*p_Stroke - H28*rr_HF)*I28 + AN28*(1-T28*p_Stroke - H28*rr_HF)*I28 + BA28*(1-AC28*p_Stroke - H28*rr_HF*rr_DM) + BB28*(1-AC28*p_Stroke - H28*rr_HF*rr_DM)</f>
        <v>1.3015719274433964E-2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9.5217883251429007E-5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2.0010090430905983E-4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7.1134384919301346E-4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0.22180832725874797</v>
      </c>
      <c r="BG29">
        <f t="shared" si="17"/>
        <v>0.94200000000000017</v>
      </c>
      <c r="BH29">
        <f>(0.9442 - 0.0007*$B29 - dis_BMI*($C29-21.75))*AD29</f>
        <v>0.19756703887856031</v>
      </c>
      <c r="BI29">
        <f>0.959*(0.9442 - 0.0007*$B29 - dis_BMI*($C29-21.75))*AE29</f>
        <v>3.3925167252187284E-2</v>
      </c>
      <c r="BJ29">
        <f>(0.943*(0.9442 - 0.0007*$B29 - dis_BMI*($C29-21.75)) - 0.19*0.5)*AF29</f>
        <v>1.9394119232893842E-3</v>
      </c>
      <c r="BK29">
        <f>(0.943*(0.9442 - 0.0007*$B29 - dis_BMI*($C29-21.75)))*AG29</f>
        <v>9.4326695448787041E-3</v>
      </c>
      <c r="BL29">
        <f>(0.955*(0.9442 - 0.0007*$B29 - dis_BMI*($C29-21.75)) - 0.15*0.5)*AH29</f>
        <v>1.0633680633349214E-3</v>
      </c>
      <c r="BM29">
        <f>(0.955*(0.9442 - 0.0007*$B29 - dis_BMI*($C29-21.75)))*AI29</f>
        <v>6.5685996148605883E-3</v>
      </c>
      <c r="BN29">
        <f>(0.955*0.943*(0.9442 - 0.0007*$B29 - dis_BMI*($C29-21.75)) - 0.19*0.5)*AJ29</f>
        <v>5.7981899675025992E-5</v>
      </c>
      <c r="BO29">
        <f>(0.955*0.943*(0.9442 - 0.0007*$B29 - dis_BMI*($C29-21.75)) - 0.15*0.5)*AK29</f>
        <v>4.8805586585037533E-5</v>
      </c>
      <c r="BP29">
        <f>(0.955*0.943*(0.9442 - 0.0007*$B29 - dis_BMI*($C29-21.75)))*AL29</f>
        <v>2.2947560459122117E-4</v>
      </c>
      <c r="BQ29">
        <f>(0.93*(0.9442 - 0.0007*$B29 - dis_BMI*($C29-21.75)))*AM29</f>
        <v>4.7830923123659514E-4</v>
      </c>
      <c r="BR29">
        <f>(0.93*(0.9442 - 0.0007*$B29 - dis_BMI*($C29-21.75)))*AN29</f>
        <v>5.3874100236855184E-3</v>
      </c>
      <c r="BS29">
        <f>(0.93*0.943*(0.9442 - 0.0007*$B29 - dis_BMI*($C29-21.75)))*AO29</f>
        <v>2.1463581903117035E-5</v>
      </c>
      <c r="BT29">
        <f>(0.93*0.943*(0.9442 - 0.0007*$B29 - dis_BMI*($C29-21.75))-0.19*0.5)*AP29</f>
        <v>4.0856934172587921E-5</v>
      </c>
      <c r="BU29">
        <f>(0.93*0.943*(0.9442 - 0.0007*$B29 - dis_BMI*($C29-21.75)))*AQ29</f>
        <v>1.783129976937824E-4</v>
      </c>
      <c r="BV29">
        <f>0.962*(0.9442 - 0.0007*$B29 - dis_BMI*($C29-21.75))*AR29</f>
        <v>0.22019604531396547</v>
      </c>
      <c r="BW29">
        <f>0.962*0.959*(0.9442 - 0.0007*$B29 - dis_BMI*($C29-21.75))*AS29</f>
        <v>6.0553344594583378E-2</v>
      </c>
      <c r="BX29">
        <f>0.962*(0.943*(0.9442 - 0.0007*$B29 - dis_BMI*($C29-21.75)) - 0.19*0.5)*AT29</f>
        <v>3.8908521080351704E-3</v>
      </c>
      <c r="BY29">
        <f>0.962*(0.943*(0.9442 - 0.0007*$B29 - dis_BMI*($C29-21.75)))*AU29</f>
        <v>1.7749397436632182E-2</v>
      </c>
      <c r="BZ29">
        <f>0.962*(0.955*(0.9442 - 0.0007*$B29 - dis_BMI*($C29-21.75)) - 0.15*0.5)*AV29</f>
        <v>2.2076063613621429E-3</v>
      </c>
      <c r="CA29">
        <f>0.962*(0.955*(0.9442 - 0.0007*$B29 - dis_BMI*($C29-21.75)))*AW29</f>
        <v>1.2787775778322637E-2</v>
      </c>
      <c r="CB29">
        <f>0.962*(0.955*0.943*(0.9442 - 0.0007*$B29 - dis_BMI*($C29-21.75)) - 0.19*0.5)*AX29</f>
        <v>1.8784724878367676E-4</v>
      </c>
      <c r="CC29">
        <f>0.962*(0.955*0.943*(0.9442 - 0.0007*$B29 - dis_BMI*($C29-21.75)) - 0.15*0.5)*AY29</f>
        <v>1.5847507571842073E-4</v>
      </c>
      <c r="CD29">
        <f>0.962*(0.955*0.943*(0.9442 - 0.0007*$B29 - dis_BMI*($C29-21.75)))*AZ29</f>
        <v>6.9532618966955037E-4</v>
      </c>
      <c r="CE29">
        <f>0.962*(0.93*(0.9442 - 0.0007*$B29 - dis_BMI*($C29-21.75)))*BA29</f>
        <v>9.6707481064855323E-4</v>
      </c>
      <c r="CF29">
        <f>0.962*(0.93*(0.9442 - 0.0007*$B29 - dis_BMI*($C29-21.75)))*BB29</f>
        <v>9.8647014382310105E-3</v>
      </c>
      <c r="CG29">
        <f>0.962*(0.93*0.943*(0.9442 - 0.0007*$B29 - dis_BMI*($C29-21.75)))*BC29</f>
        <v>6.8052798293963707E-5</v>
      </c>
      <c r="CH29">
        <f>0.962*(0.93*0.943*(0.9442 - 0.0007*$B29 - dis_BMI*($C29-21.75))-0.19*0.5)*BD29</f>
        <v>1.2472610751550081E-4</v>
      </c>
      <c r="CI29">
        <f>0.962*(0.93*0.943*(0.9442 - 0.0007*$B29 - dis_BMI*($C29-21.75)))*BE29</f>
        <v>5.084017606120999E-4</v>
      </c>
      <c r="CJ29">
        <f t="shared" si="18"/>
        <v>0</v>
      </c>
      <c r="CK29">
        <f t="shared" si="19"/>
        <v>0.58689849815902784</v>
      </c>
      <c r="CL29">
        <f>CK29/(1+r_)^A29</f>
        <v>0.272141739137918</v>
      </c>
      <c r="CM29">
        <f>AD29*c_LIR_2</f>
        <v>2742.6100339515301</v>
      </c>
      <c r="CN29">
        <f>AE29*(c_Other+c_LIR_2)</f>
        <v>1087.3514550195894</v>
      </c>
      <c r="CO29">
        <f>AF29*(c_Stroke1+c_Stroke2+c_LIR_2)</f>
        <v>98.026227676453871</v>
      </c>
      <c r="CP29">
        <f>AG29*(c_Stroke2 + c_LIR_2)</f>
        <v>215.60853496584735</v>
      </c>
      <c r="CQ29">
        <f>AH29*(c_MI1+c_MI2 + c_LIR_2)</f>
        <v>59.267111094907371</v>
      </c>
      <c r="CR29">
        <f>AI29*(c_MI2+c_LIR_2)</f>
        <v>120.7889010517043</v>
      </c>
      <c r="CS29">
        <f>AJ29*(c_Stroke1+c_Stroke2+c_MI2+c_LIR_2)</f>
        <v>3.3589803164763476</v>
      </c>
      <c r="CT29">
        <f>AK29*(c_Stroke2+c_MI1+c_MI2+c_LIR_2)</f>
        <v>3.363702473740354</v>
      </c>
      <c r="CU29">
        <f>AL29*(c_Stroke2+c_MI2+c_LIR_2)</f>
        <v>6.4299924616432858</v>
      </c>
      <c r="CV29">
        <f>AM29*(c_HF1+c_LIR_2)</f>
        <v>23.549833548658121</v>
      </c>
      <c r="CW29">
        <f>AN29*(c_HF2+c_LIR_2)</f>
        <v>187.12627911213002</v>
      </c>
      <c r="CX29">
        <f>AO29*(c_Stroke2+c_HF1+c_LIR_2)</f>
        <v>1.3084349237245272</v>
      </c>
      <c r="CY29">
        <f>AP29*(c_Stroke1+c_Stroke2+c_HF2+c_LIR_2)</f>
        <v>3.2273145530865097</v>
      </c>
      <c r="CZ29">
        <f>AQ29*(c_Stroke2+c_HF2+c_LIR_2)</f>
        <v>8.1279624379342952</v>
      </c>
      <c r="DA29">
        <f>AR29*(c_DM+c_LIR_2)</f>
        <v>6264.4621726870437</v>
      </c>
      <c r="DB29">
        <f>AS29*(c_Other+c_DM+c_LIR_2)</f>
        <v>2902.6912887174972</v>
      </c>
      <c r="DC29">
        <f>AT29*(c_Stroke1+c_Stroke2+c_DM+c_LIR_2)</f>
        <v>270.07964990913575</v>
      </c>
      <c r="DD29">
        <f>AU29*(c_Stroke2+c_DM+c_LIR_2)</f>
        <v>685.60843276410151</v>
      </c>
      <c r="DE29">
        <f>AV29*(c_MI1+c_MI2+c_DM+c_LIR_2)</f>
        <v>163.6202840069173</v>
      </c>
      <c r="DF29">
        <f>AW29*(c_MI2+c_DM+c_LIR_2)</f>
        <v>432.16300893253833</v>
      </c>
      <c r="DG29">
        <f>AX29*(c_Stroke1+c_Stroke2+c_MI2+c_DM+c_LIR_2)</f>
        <v>14.652310519934765</v>
      </c>
      <c r="DH29">
        <f>AY29*(c_Stroke2+c_MI1+c_MI2+c_DM+c_LIR_2)</f>
        <v>14.089577081450811</v>
      </c>
      <c r="DI29">
        <f>AZ29*(c_Stroke2+c_MI2+c_DM+c_LIR_2)</f>
        <v>31.077138517753987</v>
      </c>
      <c r="DJ29">
        <f>BA29*(c_HF1+c_DM+c_LIR_2)</f>
        <v>64.073399388820206</v>
      </c>
      <c r="DK29">
        <f>BB29*(c_HF2+c_DM+c_LIR_2)</f>
        <v>504.87975065529344</v>
      </c>
      <c r="DL29">
        <f>BC29*(c_Stroke2+c_HF1+c_DM+c_LIR_2)</f>
        <v>5.4002822486047961</v>
      </c>
      <c r="DM29">
        <f>BD29*(c_Stroke1+c_Stroke2+c_HF2+c_DM+c_LIR_2)</f>
        <v>12.527517215172999</v>
      </c>
      <c r="DN29">
        <f>BE29*(c_Stroke2+c_HF2+c_DM+c_LIR_2)</f>
        <v>32.216762929951578</v>
      </c>
      <c r="DO29">
        <f t="shared" si="5"/>
        <v>0</v>
      </c>
      <c r="DP29">
        <f t="shared" si="38"/>
        <v>15957.686339161641</v>
      </c>
      <c r="DQ29">
        <f>DP29/(1+r_)^A29</f>
        <v>7399.4950175867034</v>
      </c>
    </row>
    <row r="30" spans="1:121" x14ac:dyDescent="0.3">
      <c r="A30">
        <v>27</v>
      </c>
      <c r="B30">
        <v>72</v>
      </c>
      <c r="C30">
        <f t="shared" si="39"/>
        <v>36.1</v>
      </c>
      <c r="D30">
        <f t="shared" si="1"/>
        <v>125</v>
      </c>
      <c r="E30">
        <f t="shared" si="40"/>
        <v>5.5</v>
      </c>
      <c r="F30">
        <v>1.686E-2</v>
      </c>
      <c r="G30">
        <v>2.496E-2</v>
      </c>
      <c r="H30">
        <f t="shared" si="3"/>
        <v>1.848E-2</v>
      </c>
      <c r="I30">
        <f t="shared" si="20"/>
        <v>3.2286349135090861E-2</v>
      </c>
      <c r="J30">
        <f t="shared" si="21"/>
        <v>0.25697087725749967</v>
      </c>
      <c r="K30">
        <f t="shared" si="22"/>
        <v>0.34030258186013851</v>
      </c>
      <c r="L30">
        <f t="shared" si="23"/>
        <v>0.13117099329172344</v>
      </c>
      <c r="M30">
        <f t="shared" si="24"/>
        <v>0.17874499438761815</v>
      </c>
      <c r="N30">
        <f t="shared" si="25"/>
        <v>0.54185785626413152</v>
      </c>
      <c r="O30">
        <f t="shared" si="26"/>
        <v>0.66810775887967055</v>
      </c>
      <c r="P30">
        <f t="shared" si="27"/>
        <v>0.31883961484527856</v>
      </c>
      <c r="Q30">
        <f t="shared" si="28"/>
        <v>0.4187228856166364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2.1040273573171599E-2</v>
      </c>
      <c r="U30">
        <f t="shared" si="29"/>
        <v>0.47607523083696079</v>
      </c>
      <c r="V30">
        <f t="shared" si="30"/>
        <v>0.59557447756327964</v>
      </c>
      <c r="W30">
        <f t="shared" si="31"/>
        <v>0.26361957352379584</v>
      </c>
      <c r="X30">
        <f t="shared" si="32"/>
        <v>0.34855489331670253</v>
      </c>
      <c r="Y30">
        <f t="shared" si="33"/>
        <v>0.73506451948284424</v>
      </c>
      <c r="Z30">
        <f t="shared" si="34"/>
        <v>0.84692531127685933</v>
      </c>
      <c r="AA30">
        <f t="shared" si="35"/>
        <v>0.4797065619441927</v>
      </c>
      <c r="AB30">
        <f t="shared" si="36"/>
        <v>0.60275168843460858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3.671799257921092E-2</v>
      </c>
      <c r="AD30">
        <f t="shared" si="37"/>
        <v>0.21686630820968233</v>
      </c>
      <c r="AE30">
        <f t="shared" si="6"/>
        <v>4.1128257321095305E-2</v>
      </c>
      <c r="AF30">
        <f t="shared" si="7"/>
        <v>2.7016390243228159E-3</v>
      </c>
      <c r="AG30">
        <f t="shared" si="8"/>
        <v>1.1512562231859176E-2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1.4177778610456951E-3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7.9685193185041227E-3</v>
      </c>
      <c r="AJ30">
        <f t="shared" si="11"/>
        <v>8.8857428030779948E-5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7.2478841074955321E-5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3.0275887291077267E-4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5.9641521417354596E-4</v>
      </c>
      <c r="AN30">
        <f t="shared" si="15"/>
        <v>6.9255917438580056E-3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2.9572425156685717E-5</v>
      </c>
      <c r="AP30">
        <f>AM29*T29*p_Stroke*p_Stroke_rec*(1-I29) + AN29*T29*p_Stroke*p_Stroke_rec*(1-I29) + AO29*(p_recur_Stroke*p_Stroke_rec)*(1-I29) + AP29*(p_recur_Stroke*p_Stroke_rec)*(1-I29) + AQ29*(p_recur_Stroke*p_Stroke_rec)*(1-I29)</f>
        <v>6.6488435588879871E-5</v>
      </c>
      <c r="AQ30">
        <f>AO29*(1-p_recur_Stroke-H29*rr_Stroke*rr_HF)*(1-I29) + AP29*(1-p_recur_Stroke-H29*rr_Stroke*rr_HF)*(1-I29) + AQ29*(1-p_recur_Stroke-H29*rr_Stroke*rr_HF)*(1-I29)</f>
        <v>2.484194421113021E-4</v>
      </c>
      <c r="AR30">
        <f>AR29*(1-AC29-H29*rr_DM) + AD29*(1-T29-H29)*I29</f>
        <v>0.2619721638569828</v>
      </c>
      <c r="AS30">
        <f>AR29*AC29*p_Other + AD29*T29*p_Other*I29 + AE29*(1-T29*p_Stroke-T29*p_MI-H29*rr_Other)*I29 + AS29*(1-AC29*p_Stroke-AC29*p_MI-H29*rr_Other*rr_DM)</f>
        <v>7.9738640982500691E-2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5.8987177243695586E-3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2.3594728993019877E-2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3.2023382983838592E-3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1.694158093777668E-2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3.1389832796686006E-4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2.5614155681626756E-4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9.988130742356867E-4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1.3146631505144191E-3</v>
      </c>
      <c r="BB30">
        <f>AM29*(1-T29*p_Stroke - H29*rr_HF)*I29 + AN29*(1-T29*p_Stroke - H29*rr_HF)*I29 + BA29*(1-AC29*p_Stroke - H29*rr_HF*rr_DM) + BB29*(1-AC29*p_Stroke - H29*rr_HF*rr_DM)</f>
        <v>1.3845300631667203E-2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1.0221082041873729E-4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2.2123331337493769E-4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7.7064502680092707E-4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0.242903276935757</v>
      </c>
      <c r="BG30">
        <f t="shared" si="17"/>
        <v>0.94199999999999995</v>
      </c>
      <c r="BH30">
        <f>(0.9442 - 0.0007*$B30 - dis_BMI*($C30-21.75))*AD30</f>
        <v>0.18356540225254456</v>
      </c>
      <c r="BI30">
        <f>0.959*(0.9442 - 0.0007*$B30 - dis_BMI*($C30-21.75))*AE30</f>
        <v>3.3385482649660181E-2</v>
      </c>
      <c r="BJ30">
        <f>(0.943*(0.9442 - 0.0007*$B30 - dis_BMI*($C30-21.75)) - 0.19*0.5)*AF30</f>
        <v>1.8997861725275117E-3</v>
      </c>
      <c r="BK30">
        <f>(0.943*(0.9442 - 0.0007*$B30 - dis_BMI*($C30-21.75)))*AG30</f>
        <v>9.1892999462603164E-3</v>
      </c>
      <c r="BL30">
        <f>(0.955*(0.9442 - 0.0007*$B30 - dis_BMI*($C30-21.75)) - 0.15*0.5)*AH30</f>
        <v>1.0397344478427191E-3</v>
      </c>
      <c r="BM30">
        <f>(0.955*(0.9442 - 0.0007*$B30 - dis_BMI*($C30-21.75)))*AI30</f>
        <v>6.4413922344964169E-3</v>
      </c>
      <c r="BN30">
        <f>(0.955*0.943*(0.9442 - 0.0007*$B30 - dis_BMI*($C30-21.75)) - 0.19*0.5)*AJ30</f>
        <v>5.929267274264136E-5</v>
      </c>
      <c r="BO30">
        <f>(0.955*0.943*(0.9442 - 0.0007*$B30 - dis_BMI*($C30-21.75)) - 0.15*0.5)*AK30</f>
        <v>4.9813166673937888E-5</v>
      </c>
      <c r="BP30">
        <f>(0.955*0.943*(0.9442 - 0.0007*$B30 - dis_BMI*($C30-21.75)))*AL30</f>
        <v>2.307866525976753E-4</v>
      </c>
      <c r="BQ30">
        <f>(0.93*(0.9442 - 0.0007*$B30 - dis_BMI*($C30-21.75)))*AM30</f>
        <v>4.6949438864384827E-4</v>
      </c>
      <c r="BR30">
        <f>(0.93*(0.9442 - 0.0007*$B30 - dis_BMI*($C30-21.75)))*AN30</f>
        <v>5.4517832283757983E-3</v>
      </c>
      <c r="BS30">
        <f>(0.93*0.943*(0.9442 - 0.0007*$B30 - dis_BMI*($C30-21.75)))*AO30</f>
        <v>2.1952315033791371E-5</v>
      </c>
      <c r="BT30">
        <f>(0.93*0.943*(0.9442 - 0.0007*$B30 - dis_BMI*($C30-21.75))-0.19*0.5)*AP30</f>
        <v>4.3039546818017596E-5</v>
      </c>
      <c r="BU30">
        <f>(0.93*0.943*(0.9442 - 0.0007*$B30 - dis_BMI*($C30-21.75)))*AQ30</f>
        <v>1.8440766439857249E-4</v>
      </c>
      <c r="BV30">
        <f>0.962*(0.9442 - 0.0007*$B30 - dis_BMI*($C30-21.75))*AR30</f>
        <v>0.21331871716295869</v>
      </c>
      <c r="BW30">
        <f>0.962*0.959*(0.9442 - 0.0007*$B30 - dis_BMI*($C30-21.75))*AS30</f>
        <v>6.2267474657724295E-2</v>
      </c>
      <c r="BX30">
        <f>0.962*(0.943*(0.9442 - 0.0007*$B30 - dis_BMI*($C30-21.75)) - 0.19*0.5)*AT30</f>
        <v>3.9903417078835032E-3</v>
      </c>
      <c r="BY30">
        <f>0.962*(0.943*(0.9442 - 0.0007*$B30 - dis_BMI*($C30-21.75)))*AU30</f>
        <v>1.8117593119228007E-2</v>
      </c>
      <c r="BZ30">
        <f>0.962*(0.955*(0.9442 - 0.0007*$B30 - dis_BMI*($C30-21.75)) - 0.15*0.5)*AV30</f>
        <v>2.2592095952882296E-3</v>
      </c>
      <c r="CA30">
        <f>0.962*(0.955*(0.9442 - 0.0007*$B30 - dis_BMI*($C30-21.75)))*AW30</f>
        <v>1.3174408408471099E-2</v>
      </c>
      <c r="CB30">
        <f>0.962*(0.955*0.943*(0.9442 - 0.0007*$B30 - dis_BMI*($C30-21.75)) - 0.19*0.5)*AX30</f>
        <v>2.01498289334735E-4</v>
      </c>
      <c r="CC30">
        <f>0.962*(0.955*0.943*(0.9442 - 0.0007*$B30 - dis_BMI*($C30-21.75)) - 0.15*0.5)*AY30</f>
        <v>1.6935110221710214E-4</v>
      </c>
      <c r="CD30">
        <f>0.962*(0.955*0.943*(0.9442 - 0.0007*$B30 - dis_BMI*($C30-21.75)))*AZ30</f>
        <v>7.3244176216762016E-4</v>
      </c>
      <c r="CE30">
        <f>0.962*(0.93*(0.9442 - 0.0007*$B30 - dis_BMI*($C30-21.75)))*BA30</f>
        <v>9.9556874652412513E-4</v>
      </c>
      <c r="CF30">
        <f>0.962*(0.93*(0.9442 - 0.0007*$B30 - dis_BMI*($C30-21.75)))*BB30</f>
        <v>1.0484775959320855E-2</v>
      </c>
      <c r="CG30">
        <f>0.962*(0.93*0.943*(0.9442 - 0.0007*$B30 - dis_BMI*($C30-21.75)))*BC30</f>
        <v>7.2990330733088923E-5</v>
      </c>
      <c r="CH30">
        <f>0.962*(0.93*0.943*(0.9442 - 0.0007*$B30 - dis_BMI*($C30-21.75))-0.19*0.5)*BD30</f>
        <v>1.3776762483169272E-4</v>
      </c>
      <c r="CI30">
        <f>0.962*(0.93*0.943*(0.9442 - 0.0007*$B30 - dis_BMI*($C30-21.75)))*BE30</f>
        <v>5.5032955565336762E-4</v>
      </c>
      <c r="CJ30">
        <f t="shared" si="18"/>
        <v>0</v>
      </c>
      <c r="CK30">
        <f t="shared" si="19"/>
        <v>0.56850413536095212</v>
      </c>
      <c r="CL30">
        <f>CK30/(1+r_)^A30</f>
        <v>0.25593433989695086</v>
      </c>
      <c r="CM30">
        <f>AD30*c_LIR_2</f>
        <v>2550.3477845458642</v>
      </c>
      <c r="CN30">
        <f>AE30*(c_Other+c_LIR_2)</f>
        <v>1070.9386923840007</v>
      </c>
      <c r="CO30">
        <f>AF30*(c_Stroke1+c_Stroke2+c_LIR_2)</f>
        <v>96.113509929308506</v>
      </c>
      <c r="CP30">
        <f>AG30*(c_Stroke2 + c_LIR_2)</f>
        <v>210.21938635374858</v>
      </c>
      <c r="CQ30">
        <f>AH30*(c_MI1+c_MI2 + c_LIR_2)</f>
        <v>58.002710073240429</v>
      </c>
      <c r="CR30">
        <f>AI30*(c_MI2+c_LIR_2)</f>
        <v>118.54766190138584</v>
      </c>
      <c r="CS30">
        <f>AJ30*(c_Stroke1+c_Stroke2+c_MI2+c_LIR_2)</f>
        <v>3.4381604627949685</v>
      </c>
      <c r="CT30">
        <f>AK30*(c_Stroke2+c_MI1+c_MI2+c_LIR_2)</f>
        <v>3.4362943342047068</v>
      </c>
      <c r="CU30">
        <f>AL30*(c_Stroke2+c_MI2+c_LIR_2)</f>
        <v>6.4720764262135875</v>
      </c>
      <c r="CV30">
        <f>AM30*(c_HF1+c_LIR_2)</f>
        <v>23.134946157791848</v>
      </c>
      <c r="CW30">
        <f>AN30*(c_HF2+c_LIR_2)</f>
        <v>189.51881807067431</v>
      </c>
      <c r="CX30">
        <f>AO30*(c_Stroke2+c_HF1+c_LIR_2)</f>
        <v>1.3393351353462961</v>
      </c>
      <c r="CY30">
        <f>AP30*(c_Stroke1+c_Stroke2+c_HF2+c_LIR_2)</f>
        <v>3.4029446218744606</v>
      </c>
      <c r="CZ30">
        <f>AQ30*(c_Stroke2+c_HF2+c_LIR_2)</f>
        <v>8.4127244070992457</v>
      </c>
      <c r="DA30">
        <f>AR30*(c_DM+c_LIR_2)</f>
        <v>6073.8246190241462</v>
      </c>
      <c r="DB30">
        <f>AS30*(c_Other+c_DM+c_LIR_2)</f>
        <v>2987.3284457684058</v>
      </c>
      <c r="DC30">
        <f>AT30*(c_Stroke1+c_Stroke2+c_DM+c_LIR_2)</f>
        <v>277.24563176309363</v>
      </c>
      <c r="DD30">
        <f>AU30*(c_Stroke2+c_DM+c_LIR_2)</f>
        <v>700.40953015779507</v>
      </c>
      <c r="DE30">
        <f>AV30*(c_MI1+c_MI2+c_DM+c_LIR_2)</f>
        <v>167.59757718421764</v>
      </c>
      <c r="DF30">
        <f>AW30*(c_MI2+c_DM+c_LIR_2)</f>
        <v>445.59746182540226</v>
      </c>
      <c r="DG30">
        <f>AX30*(c_Stroke1+c_Stroke2+c_MI2+c_DM+c_LIR_2)</f>
        <v>15.731956401043092</v>
      </c>
      <c r="DH30">
        <f>AY30*(c_Stroke2+c_MI1+c_MI2+c_DM+c_LIR_2)</f>
        <v>15.070344636841918</v>
      </c>
      <c r="DI30">
        <f>AZ30*(c_Stroke2+c_MI2+c_DM+c_LIR_2)</f>
        <v>32.763066461078992</v>
      </c>
      <c r="DJ30">
        <f>BA30*(c_HF1+c_DM+c_LIR_2)</f>
        <v>66.015810103081549</v>
      </c>
      <c r="DK30">
        <f>BB30*(c_HF2+c_DM+c_LIR_2)</f>
        <v>537.05921150237077</v>
      </c>
      <c r="DL30">
        <f>BC30*(c_Stroke2+c_HF1+c_DM+c_LIR_2)</f>
        <v>5.7968866800486856</v>
      </c>
      <c r="DM30">
        <f>BD30*(c_Stroke1+c_Stroke2+c_HF2+c_DM+c_LIR_2)</f>
        <v>13.850532817151349</v>
      </c>
      <c r="DN30">
        <f>BE30*(c_Stroke2+c_HF2+c_DM+c_LIR_2)</f>
        <v>34.902513263813987</v>
      </c>
      <c r="DO30">
        <f t="shared" si="5"/>
        <v>0</v>
      </c>
      <c r="DP30">
        <f t="shared" si="38"/>
        <v>15716.518632392037</v>
      </c>
      <c r="DQ30">
        <f>DP30/(1+r_)^A30</f>
        <v>7075.4046830380612</v>
      </c>
    </row>
    <row r="31" spans="1:121" x14ac:dyDescent="0.3">
      <c r="A31">
        <v>28</v>
      </c>
      <c r="B31">
        <v>73</v>
      </c>
      <c r="C31">
        <f t="shared" si="39"/>
        <v>36.1</v>
      </c>
      <c r="D31">
        <f t="shared" si="1"/>
        <v>125</v>
      </c>
      <c r="E31">
        <f t="shared" si="40"/>
        <v>5.5</v>
      </c>
      <c r="F31">
        <v>1.9539999999999998E-2</v>
      </c>
      <c r="G31">
        <v>2.8670000000000001E-2</v>
      </c>
      <c r="H31">
        <f t="shared" si="3"/>
        <v>2.1366E-2</v>
      </c>
      <c r="I31">
        <f t="shared" si="20"/>
        <v>3.2286349135090861E-2</v>
      </c>
      <c r="J31">
        <f t="shared" si="21"/>
        <v>0.2653637639578168</v>
      </c>
      <c r="K31">
        <f t="shared" si="22"/>
        <v>0.35071484382291784</v>
      </c>
      <c r="L31">
        <f t="shared" si="23"/>
        <v>0.13583076037096553</v>
      </c>
      <c r="M31">
        <f t="shared" si="24"/>
        <v>0.18490698733217847</v>
      </c>
      <c r="N31">
        <f t="shared" si="25"/>
        <v>0.5572821504316654</v>
      </c>
      <c r="O31">
        <f t="shared" si="26"/>
        <v>0.6837857648634238</v>
      </c>
      <c r="P31">
        <f t="shared" si="27"/>
        <v>0.33021811522303579</v>
      </c>
      <c r="Q31">
        <f t="shared" si="28"/>
        <v>0.43239551476406113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2.1739589267716398E-2</v>
      </c>
      <c r="U31">
        <f t="shared" si="29"/>
        <v>0.48886910118154436</v>
      </c>
      <c r="V31">
        <f t="shared" si="30"/>
        <v>0.60933746292021618</v>
      </c>
      <c r="W31">
        <f t="shared" si="31"/>
        <v>0.27218760133224873</v>
      </c>
      <c r="X31">
        <f t="shared" si="32"/>
        <v>0.3591455155430745</v>
      </c>
      <c r="Y31">
        <f t="shared" si="33"/>
        <v>0.7500626953126619</v>
      </c>
      <c r="Z31">
        <f t="shared" si="34"/>
        <v>0.85902503681222342</v>
      </c>
      <c r="AA31">
        <f t="shared" si="35"/>
        <v>0.49440929372586151</v>
      </c>
      <c r="AB31">
        <f t="shared" si="36"/>
        <v>0.61852034214499396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3.7765444417777863E-2</v>
      </c>
      <c r="AD31">
        <f t="shared" si="37"/>
        <v>0.20157058493290181</v>
      </c>
      <c r="AE31">
        <f t="shared" si="6"/>
        <v>4.0454653801378547E-2</v>
      </c>
      <c r="AF31">
        <f t="shared" si="7"/>
        <v>2.6301209365896883E-3</v>
      </c>
      <c r="AG31">
        <f t="shared" si="8"/>
        <v>1.1245333937843782E-2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1.3810587191017459E-3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7.819426025548127E-3</v>
      </c>
      <c r="AJ31">
        <f t="shared" si="11"/>
        <v>9.0021603789609521E-5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7.3216936338750619E-5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3.0697155368456593E-4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5.8295578710136078E-4</v>
      </c>
      <c r="AN31">
        <f t="shared" si="15"/>
        <v>6.9990991206336384E-3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2.9899871998255984E-5</v>
      </c>
      <c r="AP31">
        <f>AM30*T30*p_Stroke*p_Stroke_rec*(1-I30) + AN30*T30*p_Stroke*p_Stroke_rec*(1-I30) + AO30*(p_recur_Stroke*p_Stroke_rec)*(1-I30) + AP30*(p_recur_Stroke*p_Stroke_rec)*(1-I30) + AQ30*(p_recur_Stroke*p_Stroke_rec)*(1-I30)</f>
        <v>6.9210413151477626E-5</v>
      </c>
      <c r="AQ31">
        <f>AO30*(1-p_recur_Stroke-H30*rr_Stroke*rr_HF)*(1-I30) + AP30*(1-p_recur_Stroke-H30*rr_Stroke*rr_HF)*(1-I30) + AQ30*(1-p_recur_Stroke-H30*rr_Stroke*rr_HF)*(1-I30)</f>
        <v>2.5826161311693816E-4</v>
      </c>
      <c r="AR31">
        <f>AR30*(1-AC30-H30*rr_DM) + AD30*(1-T30-H30)*I30</f>
        <v>0.25351074690976377</v>
      </c>
      <c r="AS31">
        <f>AR30*AC30*p_Other + AD30*T30*p_Other*I30 + AE30*(1-T30*p_Stroke-T30*p_MI-H30*rr_Other)*I30 + AS30*(1-AC30*p_Stroke-AC30*p_MI-H30*rr_Other*rr_DM)</f>
        <v>8.1841571950679787E-2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5.9987580548025894E-3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2.4129302875424776E-2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3.2579351034713513E-3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1.744116309853376E-2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3.3271353470527295E-4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2.7016029906558287E-4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1.0610599319355414E-3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1.3448037262878405E-3</v>
      </c>
      <c r="BB31">
        <f>AM30*(1-T30*p_Stroke - H30*rr_HF)*I30 + AN30*(1-T30*p_Stroke - H30*rr_HF)*I30 + BA30*(1-AC30*p_Stroke - H30*rr_HF*rr_DM) + BB30*(1-AC30*p_Stroke - H30*rr_HF*rr_DM)</f>
        <v>1.4679083704781392E-2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1.0805341584283553E-4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2.4088229884158151E-4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8.389600151132206E-4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0.26343398982757227</v>
      </c>
      <c r="BG31">
        <f t="shared" si="17"/>
        <v>0.94199999999999995</v>
      </c>
      <c r="BH31">
        <f>(0.9442 - 0.0007*$B31 - dis_BMI*($C31-21.75))*AD31</f>
        <v>0.17047731435407704</v>
      </c>
      <c r="BI31">
        <f>0.959*(0.9442 - 0.0007*$B31 - dis_BMI*($C31-21.75))*AE31</f>
        <v>3.2811534010897772E-2</v>
      </c>
      <c r="BJ31">
        <f>(0.943*(0.9442 - 0.0007*$B31 - dis_BMI*($C31-21.75)) - 0.19*0.5)*AF31</f>
        <v>1.8477586795436107E-3</v>
      </c>
      <c r="BK31">
        <f>(0.943*(0.9442 - 0.0007*$B31 - dis_BMI*($C31-21.75)))*AG31</f>
        <v>8.9685759090397717E-3</v>
      </c>
      <c r="BL31">
        <f>(0.955*(0.9442 - 0.0007*$B31 - dis_BMI*($C31-21.75)) - 0.15*0.5)*AH31</f>
        <v>1.0118830446666732E-3</v>
      </c>
      <c r="BM31">
        <f>(0.955*(0.9442 - 0.0007*$B31 - dis_BMI*($C31-21.75)))*AI31</f>
        <v>6.3156446430982262E-3</v>
      </c>
      <c r="BN31">
        <f>(0.955*0.943*(0.9442 - 0.0007*$B31 - dis_BMI*($C31-21.75)) - 0.19*0.5)*AJ31</f>
        <v>6.0012753263858902E-5</v>
      </c>
      <c r="BO31">
        <f>(0.955*0.943*(0.9442 - 0.0007*$B31 - dis_BMI*($C31-21.75)) - 0.15*0.5)*AK31</f>
        <v>5.0274288230699142E-5</v>
      </c>
      <c r="BP31">
        <f>(0.955*0.943*(0.9442 - 0.0007*$B31 - dis_BMI*($C31-21.75)))*AL31</f>
        <v>2.3380437610987697E-4</v>
      </c>
      <c r="BQ31">
        <f>(0.93*(0.9442 - 0.0007*$B31 - dis_BMI*($C31-21.75)))*AM31</f>
        <v>4.5851970621069757E-4</v>
      </c>
      <c r="BR31">
        <f>(0.93*(0.9442 - 0.0007*$B31 - dis_BMI*($C31-21.75)))*AN31</f>
        <v>5.5050913697756755E-3</v>
      </c>
      <c r="BS31">
        <f>(0.93*0.943*(0.9442 - 0.0007*$B31 - dis_BMI*($C31-21.75)))*AO31</f>
        <v>2.217703129558328E-5</v>
      </c>
      <c r="BT31">
        <f>(0.93*0.943*(0.9442 - 0.0007*$B31 - dis_BMI*($C31-21.75))-0.19*0.5)*AP31</f>
        <v>4.4759059890689402E-5</v>
      </c>
      <c r="BU31">
        <f>(0.93*0.943*(0.9442 - 0.0007*$B31 - dis_BMI*($C31-21.75)))*AQ31</f>
        <v>1.9155519718867806E-4</v>
      </c>
      <c r="BV31">
        <f>0.962*(0.9442 - 0.0007*$B31 - dis_BMI*($C31-21.75))*AR31</f>
        <v>0.20625803967268061</v>
      </c>
      <c r="BW31">
        <f>0.962*0.959*(0.9442 - 0.0007*$B31 - dis_BMI*($C31-21.75))*AS31</f>
        <v>6.3856789590362645E-2</v>
      </c>
      <c r="BX31">
        <f>0.962*(0.943*(0.9442 - 0.0007*$B31 - dis_BMI*($C31-21.75)) - 0.19*0.5)*AT31</f>
        <v>4.0542072944008741E-3</v>
      </c>
      <c r="BY31">
        <f>0.962*(0.943*(0.9442 - 0.0007*$B31 - dis_BMI*($C31-21.75)))*AU31</f>
        <v>1.8512751796546368E-2</v>
      </c>
      <c r="BZ31">
        <f>0.962*(0.955*(0.9442 - 0.0007*$B31 - dis_BMI*($C31-21.75)) - 0.15*0.5)*AV31</f>
        <v>2.2963372772450193E-3</v>
      </c>
      <c r="CA31">
        <f>0.962*(0.955*(0.9442 - 0.0007*$B31 - dis_BMI*($C31-21.75)))*AW31</f>
        <v>1.3551685864322524E-2</v>
      </c>
      <c r="CB31">
        <f>0.962*(0.955*0.943*(0.9442 - 0.0007*$B31 - dis_BMI*($C31-21.75)) - 0.19*0.5)*AX31</f>
        <v>2.1337441633016135E-4</v>
      </c>
      <c r="CC31">
        <f>0.962*(0.955*0.943*(0.9442 - 0.0007*$B31 - dis_BMI*($C31-21.75)) - 0.15*0.5)*AY31</f>
        <v>1.7845592783344234E-4</v>
      </c>
      <c r="CD31">
        <f>0.962*(0.955*0.943*(0.9442 - 0.0007*$B31 - dis_BMI*($C31-21.75)))*AZ31</f>
        <v>7.7744466948673023E-4</v>
      </c>
      <c r="CE31">
        <f>0.962*(0.93*(0.9442 - 0.0007*$B31 - dis_BMI*($C31-21.75)))*BA31</f>
        <v>1.0175514168535857E-3</v>
      </c>
      <c r="CF31">
        <f>0.962*(0.93*(0.9442 - 0.0007*$B31 - dis_BMI*($C31-21.75)))*BB31</f>
        <v>1.1106990655910516E-2</v>
      </c>
      <c r="CG31">
        <f>0.962*(0.93*0.943*(0.9442 - 0.0007*$B31 - dis_BMI*($C31-21.75)))*BC31</f>
        <v>7.7098806090391701E-5</v>
      </c>
      <c r="CH31">
        <f>0.962*(0.93*0.943*(0.9442 - 0.0007*$B31 - dis_BMI*($C31-21.75))-0.19*0.5)*BD31</f>
        <v>1.4986129238412838E-4</v>
      </c>
      <c r="CI31">
        <f>0.962*(0.93*0.943*(0.9442 - 0.0007*$B31 - dis_BMI*($C31-21.75)))*BE31</f>
        <v>5.9861888694835805E-4</v>
      </c>
      <c r="CJ31">
        <f t="shared" si="18"/>
        <v>0</v>
      </c>
      <c r="CK31">
        <f t="shared" si="19"/>
        <v>0.55064811199068397</v>
      </c>
      <c r="CL31">
        <f>CK31/(1+r_)^A31</f>
        <v>0.24067548892831306</v>
      </c>
      <c r="CM31">
        <f>AD31*c_LIR_2</f>
        <v>2370.4700788109253</v>
      </c>
      <c r="CN31">
        <f>AE31*(c_Other+c_LIR_2)</f>
        <v>1053.3987303340959</v>
      </c>
      <c r="CO31">
        <f>AF31*(c_Stroke1+c_Stroke2+c_LIR_2)</f>
        <v>93.569182440114744</v>
      </c>
      <c r="CP31">
        <f>AG31*(c_Stroke2 + c_LIR_2)</f>
        <v>205.33979770502745</v>
      </c>
      <c r="CQ31">
        <f>AH31*(c_MI1+c_MI2 + c_LIR_2)</f>
        <v>56.500493257171527</v>
      </c>
      <c r="CR31">
        <f>AI31*(c_MI2+c_LIR_2)</f>
        <v>116.32960098207948</v>
      </c>
      <c r="CS31">
        <f>AJ31*(c_Stroke1+c_Stroke2+c_MI2+c_LIR_2)</f>
        <v>3.4832059154313613</v>
      </c>
      <c r="CT31">
        <f>AK31*(c_Stroke2+c_MI1+c_MI2+c_LIR_2)</f>
        <v>3.4712881687565056</v>
      </c>
      <c r="CU31">
        <f>AL31*(c_Stroke2+c_MI2+c_LIR_2)</f>
        <v>6.5621309031149657</v>
      </c>
      <c r="CV31">
        <f>AM31*(c_HF1+c_LIR_2)</f>
        <v>22.612854981661783</v>
      </c>
      <c r="CW31">
        <f>AN31*(c_HF2+c_LIR_2)</f>
        <v>191.53034743613952</v>
      </c>
      <c r="CX31">
        <f>AO31*(c_Stroke2+c_HF1+c_LIR_2)</f>
        <v>1.3541652028010136</v>
      </c>
      <c r="CY31">
        <f>AP31*(c_Stroke1+c_Stroke2+c_HF2+c_LIR_2)</f>
        <v>3.5422581555057762</v>
      </c>
      <c r="CZ31">
        <f>AQ31*(c_Stroke2+c_HF2+c_LIR_2)</f>
        <v>8.7460295282051099</v>
      </c>
      <c r="DA31">
        <f>AR31*(c_DM+c_LIR_2)</f>
        <v>5877.6466671028729</v>
      </c>
      <c r="DB31">
        <f>AS31*(c_Other+c_DM+c_LIR_2)</f>
        <v>3066.1126515602678</v>
      </c>
      <c r="DC31">
        <f>AT31*(c_Stroke1+c_Stroke2+c_DM+c_LIR_2)</f>
        <v>281.9476273337765</v>
      </c>
      <c r="DD31">
        <f>AU31*(c_Stroke2+c_DM+c_LIR_2)</f>
        <v>716.27835585698449</v>
      </c>
      <c r="DE31">
        <f>AV31*(c_MI1+c_MI2+c_DM+c_LIR_2)</f>
        <v>170.50729157527664</v>
      </c>
      <c r="DF31">
        <f>AW31*(c_MI2+c_DM+c_LIR_2)</f>
        <v>458.73747181763497</v>
      </c>
      <c r="DG31">
        <f>AX31*(c_Stroke1+c_Stroke2+c_MI2+c_DM+c_LIR_2)</f>
        <v>16.674936932358868</v>
      </c>
      <c r="DH31">
        <f>AY31*(c_Stroke2+c_MI1+c_MI2+c_DM+c_LIR_2)</f>
        <v>15.895151355822634</v>
      </c>
      <c r="DI31">
        <f>AZ31*(c_Stroke2+c_MI2+c_DM+c_LIR_2)</f>
        <v>34.804887887349629</v>
      </c>
      <c r="DJ31">
        <f>BA31*(c_HF1+c_DM+c_LIR_2)</f>
        <v>67.529319115543913</v>
      </c>
      <c r="DK31">
        <f>BB31*(c_HF2+c_DM+c_LIR_2)</f>
        <v>569.40165690847016</v>
      </c>
      <c r="DL31">
        <f>BC31*(c_Stroke2+c_HF1+c_DM+c_LIR_2)</f>
        <v>6.1282494795264171</v>
      </c>
      <c r="DM31">
        <f>BD31*(c_Stroke1+c_Stroke2+c_HF2+c_DM+c_LIR_2)</f>
        <v>15.080677201276051</v>
      </c>
      <c r="DN31">
        <f>BE31*(c_Stroke2+c_HF2+c_DM+c_LIR_2)</f>
        <v>37.996499084477762</v>
      </c>
      <c r="DO31">
        <f t="shared" si="5"/>
        <v>0</v>
      </c>
      <c r="DP31">
        <f t="shared" si="38"/>
        <v>15471.651607032669</v>
      </c>
      <c r="DQ31">
        <f>DP31/(1+r_)^A31</f>
        <v>6762.2992505858365</v>
      </c>
    </row>
    <row r="32" spans="1:121" x14ac:dyDescent="0.3">
      <c r="A32">
        <v>29</v>
      </c>
      <c r="B32">
        <v>74</v>
      </c>
      <c r="C32">
        <f t="shared" si="39"/>
        <v>36.1</v>
      </c>
      <c r="D32">
        <f t="shared" si="1"/>
        <v>125</v>
      </c>
      <c r="E32">
        <f t="shared" si="40"/>
        <v>5.5</v>
      </c>
      <c r="F32">
        <v>2.171E-2</v>
      </c>
      <c r="G32">
        <v>3.1399999999999997E-2</v>
      </c>
      <c r="H32">
        <f t="shared" si="3"/>
        <v>2.3647999999999999E-2</v>
      </c>
      <c r="I32">
        <f t="shared" si="20"/>
        <v>3.2286349135090861E-2</v>
      </c>
      <c r="J32">
        <f t="shared" si="21"/>
        <v>0.27385866330613218</v>
      </c>
      <c r="K32">
        <f t="shared" si="22"/>
        <v>0.36120525916099733</v>
      </c>
      <c r="L32">
        <f t="shared" si="23"/>
        <v>0.14057580137083814</v>
      </c>
      <c r="M32">
        <f t="shared" si="24"/>
        <v>0.19116808492710469</v>
      </c>
      <c r="N32">
        <f t="shared" si="25"/>
        <v>0.57261721731271897</v>
      </c>
      <c r="O32">
        <f t="shared" si="26"/>
        <v>0.69915102061320011</v>
      </c>
      <c r="P32">
        <f t="shared" si="27"/>
        <v>0.34173228533616307</v>
      </c>
      <c r="Q32">
        <f t="shared" si="28"/>
        <v>0.44613385175132514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2.2446818213008448E-2</v>
      </c>
      <c r="U32">
        <f t="shared" si="29"/>
        <v>0.50164456613917119</v>
      </c>
      <c r="V32">
        <f t="shared" si="30"/>
        <v>0.62294365650361305</v>
      </c>
      <c r="W32">
        <f t="shared" si="31"/>
        <v>0.28085675445838243</v>
      </c>
      <c r="X32">
        <f t="shared" si="32"/>
        <v>0.3698104331615073</v>
      </c>
      <c r="Y32">
        <f t="shared" si="33"/>
        <v>0.76461501218634054</v>
      </c>
      <c r="Z32">
        <f t="shared" si="34"/>
        <v>0.87048193447224931</v>
      </c>
      <c r="AA32">
        <f t="shared" si="35"/>
        <v>0.50910997863930696</v>
      </c>
      <c r="AB32">
        <f t="shared" si="36"/>
        <v>0.63409857272538495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3.8814484421397462E-2</v>
      </c>
      <c r="AD32">
        <f t="shared" si="37"/>
        <v>0.18665431804854546</v>
      </c>
      <c r="AE32">
        <f t="shared" si="6"/>
        <v>3.950860764650025E-2</v>
      </c>
      <c r="AF32">
        <f t="shared" si="7"/>
        <v>2.5597862924417849E-3</v>
      </c>
      <c r="AG32">
        <f t="shared" si="8"/>
        <v>1.0853981716540409E-2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1.3441867680800527E-3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7.6226009429377021E-3</v>
      </c>
      <c r="AJ32">
        <f t="shared" si="11"/>
        <v>9.1191835374994671E-5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7.396225268623471E-5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3.0452187040102467E-4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5.6933536732809364E-4</v>
      </c>
      <c r="AN32">
        <f t="shared" si="15"/>
        <v>7.0152534748789738E-3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3.0245958376414584E-5</v>
      </c>
      <c r="AP32">
        <f>AM31*T31*p_Stroke*p_Stroke_rec*(1-I31) + AN31*T31*p_Stroke*p_Stroke_rec*(1-I31) + AO31*(p_recur_Stroke*p_Stroke_rec)*(1-I31) + AP31*(p_recur_Stroke*p_Stroke_rec)*(1-I31) + AQ31*(p_recur_Stroke*p_Stroke_rec)*(1-I31)</f>
        <v>7.1932135880639926E-5</v>
      </c>
      <c r="AQ32">
        <f>AO31*(1-p_recur_Stroke-H31*rr_Stroke*rr_HF)*(1-I31) + AP31*(1-p_recur_Stroke-H31*rr_Stroke*rr_HF)*(1-I31) + AQ31*(1-p_recur_Stroke-H31*rr_Stroke*rr_HF)*(1-I31)</f>
        <v>2.6224097972272364E-4</v>
      </c>
      <c r="AR32">
        <f>AR31*(1-AC31-H31*rr_DM) + AD31*(1-T31-H31)*I31</f>
        <v>0.24393526171857399</v>
      </c>
      <c r="AS32">
        <f>AR31*AC31*p_Other + AD31*T31*p_Other*I31 + AE31*(1-T31*p_Stroke-T31*p_MI-H31*rr_Other)*I31 + AS31*(1-AC31*p_Stroke-AC31*p_MI-H31*rr_Other*rr_DM)</f>
        <v>8.3213786558432076E-2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6.0913981807863187E-3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2.4307448631660879E-2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3.3073437770985872E-3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1.7794565607626357E-2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3.5215074179152325E-4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2.8462048674365994E-4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1.0973527361024275E-3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1.3726102763771089E-3</v>
      </c>
      <c r="BB32">
        <f>AM31*(1-T31*p_Stroke - H31*rr_HF)*I31 + AN31*(1-T31*p_Stroke - H31*rr_HF)*I31 + BA31*(1-AC31*p_Stroke - H31*rr_HF*rr_DM) + BB31*(1-AC31*p_Stroke - H31*rr_HF*rr_DM)</f>
        <v>1.5402183938382911E-2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1.1416254822054704E-4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2.6159317606425797E-4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8.8782706366522424E-4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0.28661552926877926</v>
      </c>
      <c r="BG32">
        <f t="shared" si="17"/>
        <v>0.94199999999999973</v>
      </c>
      <c r="BH32">
        <f>(0.9442 - 0.0007*$B32 - dis_BMI*($C32-21.75))*AD32</f>
        <v>0.1577312981953331</v>
      </c>
      <c r="BI32">
        <f>0.959*(0.9442 - 0.0007*$B32 - dis_BMI*($C32-21.75))*AE32</f>
        <v>3.2017702743342695E-2</v>
      </c>
      <c r="BJ32">
        <f>(0.943*(0.9442 - 0.0007*$B32 - dis_BMI*($C32-21.75)) - 0.19*0.5)*AF32</f>
        <v>1.7966562370871999E-3</v>
      </c>
      <c r="BK32">
        <f>(0.943*(0.9442 - 0.0007*$B32 - dis_BMI*($C32-21.75)))*AG32</f>
        <v>8.6492931098136171E-3</v>
      </c>
      <c r="BL32">
        <f>(0.955*(0.9442 - 0.0007*$B32 - dis_BMI*($C32-21.75)) - 0.15*0.5)*AH32</f>
        <v>9.8396887599175504E-4</v>
      </c>
      <c r="BM32">
        <f>(0.955*(0.9442 - 0.0007*$B32 - dis_BMI*($C32-21.75)))*AI32</f>
        <v>6.151575977202675E-3</v>
      </c>
      <c r="BN32">
        <f>(0.955*0.943*(0.9442 - 0.0007*$B32 - dis_BMI*($C32-21.75)) - 0.19*0.5)*AJ32</f>
        <v>6.0735399291947963E-5</v>
      </c>
      <c r="BO32">
        <f>(0.955*0.943*(0.9442 - 0.0007*$B32 - dis_BMI*($C32-21.75)) - 0.15*0.5)*AK32</f>
        <v>5.0739432996626689E-5</v>
      </c>
      <c r="BP32">
        <f>(0.955*0.943*(0.9442 - 0.0007*$B32 - dis_BMI*($C32-21.75)))*AL32</f>
        <v>2.3174660967217525E-4</v>
      </c>
      <c r="BQ32">
        <f>(0.93*(0.9442 - 0.0007*$B32 - dis_BMI*($C32-21.75)))*AM32</f>
        <v>4.4743602509990512E-4</v>
      </c>
      <c r="BR32">
        <f>(0.93*(0.9442 - 0.0007*$B32 - dis_BMI*($C32-21.75)))*AN32</f>
        <v>5.5132305315915659E-3</v>
      </c>
      <c r="BS32">
        <f>(0.93*0.943*(0.9442 - 0.0007*$B32 - dis_BMI*($C32-21.75)))*AO32</f>
        <v>2.241515920900604E-5</v>
      </c>
      <c r="BT32">
        <f>(0.93*0.943*(0.9442 - 0.0007*$B32 - dis_BMI*($C32-21.75))-0.19*0.5)*AP32</f>
        <v>4.6475066310550521E-5</v>
      </c>
      <c r="BU32">
        <f>(0.93*0.943*(0.9442 - 0.0007*$B32 - dis_BMI*($C32-21.75)))*AQ32</f>
        <v>1.9434574492419788E-4</v>
      </c>
      <c r="BV32">
        <f>0.962*(0.9442 - 0.0007*$B32 - dis_BMI*($C32-21.75))*AR32</f>
        <v>0.19830309485589143</v>
      </c>
      <c r="BW32">
        <f>0.962*0.959*(0.9442 - 0.0007*$B32 - dis_BMI*($C32-21.75))*AS32</f>
        <v>6.4873719731811497E-2</v>
      </c>
      <c r="BX32">
        <f>0.962*(0.943*(0.9442 - 0.0007*$B32 - dis_BMI*($C32-21.75)) - 0.19*0.5)*AT32</f>
        <v>4.1129491633275965E-3</v>
      </c>
      <c r="BY32">
        <f>0.962*(0.943*(0.9442 - 0.0007*$B32 - dis_BMI*($C32-21.75)))*AU32</f>
        <v>1.8633995138946476E-2</v>
      </c>
      <c r="BZ32">
        <f>0.962*(0.955*(0.9442 - 0.0007*$B32 - dis_BMI*($C32-21.75)) - 0.15*0.5)*AV32</f>
        <v>2.3290357607556179E-3</v>
      </c>
      <c r="CA32">
        <f>0.962*(0.955*(0.9442 - 0.0007*$B32 - dis_BMI*($C32-21.75)))*AW32</f>
        <v>1.3814833999169761E-2</v>
      </c>
      <c r="CB32">
        <f>0.962*(0.955*0.943*(0.9442 - 0.0007*$B32 - dis_BMI*($C32-21.75)) - 0.19*0.5)*AX32</f>
        <v>2.2562624410766562E-4</v>
      </c>
      <c r="CC32">
        <f>0.962*(0.955*0.943*(0.9442 - 0.0007*$B32 - dis_BMI*($C32-21.75)) - 0.15*0.5)*AY32</f>
        <v>1.8783508197218711E-4</v>
      </c>
      <c r="CD32">
        <f>0.962*(0.955*0.943*(0.9442 - 0.0007*$B32 - dis_BMI*($C32-21.75)))*AZ32</f>
        <v>8.0337113517730174E-4</v>
      </c>
      <c r="CE32">
        <f>0.962*(0.93*(0.9442 - 0.0007*$B32 - dis_BMI*($C32-21.75)))*BA32</f>
        <v>1.0377317467126388E-3</v>
      </c>
      <c r="CF32">
        <f>0.962*(0.93*(0.9442 - 0.0007*$B32 - dis_BMI*($C32-21.75)))*BB32</f>
        <v>1.1644481697859744E-2</v>
      </c>
      <c r="CG32">
        <f>0.962*(0.93*0.943*(0.9442 - 0.0007*$B32 - dis_BMI*($C32-21.75)))*BC32</f>
        <v>8.1390403936229061E-5</v>
      </c>
      <c r="CH32">
        <f>0.962*(0.93*0.943*(0.9442 - 0.0007*$B32 - dis_BMI*($C32-21.75))-0.19*0.5)*BD32</f>
        <v>1.62591764766027E-4</v>
      </c>
      <c r="CI32">
        <f>0.962*(0.93*0.943*(0.9442 - 0.0007*$B32 - dis_BMI*($C32-21.75)))*BE32</f>
        <v>6.3296242474923366E-4</v>
      </c>
      <c r="CJ32">
        <f t="shared" si="18"/>
        <v>0</v>
      </c>
      <c r="CK32">
        <f t="shared" si="19"/>
        <v>0.53074123825705033</v>
      </c>
      <c r="CL32">
        <f>CK32/(1+r_)^A32</f>
        <v>0.2252181137777115</v>
      </c>
      <c r="CM32">
        <f>AD32*c_LIR_2</f>
        <v>2195.0547802508945</v>
      </c>
      <c r="CN32">
        <f>AE32*(c_Other+c_LIR_2)</f>
        <v>1028.7646345072201</v>
      </c>
      <c r="CO32">
        <f>AF32*(c_Stroke1+c_Stroke2+c_LIR_2)</f>
        <v>91.066957139908936</v>
      </c>
      <c r="CP32">
        <f>AG32*(c_Stroke2 + c_LIR_2)</f>
        <v>198.19370614402786</v>
      </c>
      <c r="CQ32">
        <f>AH32*(c_MI1+c_MI2 + c_LIR_2)</f>
        <v>54.992024868923039</v>
      </c>
      <c r="CR32">
        <f>AI32*(c_MI2+c_LIR_2)</f>
        <v>113.4014342280842</v>
      </c>
      <c r="CS32">
        <f>AJ32*(c_Stroke1+c_Stroke2+c_MI2+c_LIR_2)</f>
        <v>3.528485686164669</v>
      </c>
      <c r="CT32">
        <f>AK32*(c_Stroke2+c_MI1+c_MI2+c_LIR_2)</f>
        <v>3.5066243621070736</v>
      </c>
      <c r="CU32">
        <f>AL32*(c_Stroke2+c_MI2+c_LIR_2)</f>
        <v>6.5097640235627043</v>
      </c>
      <c r="CV32">
        <f>AM32*(c_HF1+c_LIR_2)</f>
        <v>22.084518898656754</v>
      </c>
      <c r="CW32">
        <f>AN32*(c_HF2+c_LIR_2)</f>
        <v>191.9724113400631</v>
      </c>
      <c r="CX32">
        <f>AO32*(c_Stroke2+c_HF1+c_LIR_2)</f>
        <v>1.3698394548678166</v>
      </c>
      <c r="CY32">
        <f>AP32*(c_Stroke1+c_Stroke2+c_HF2+c_LIR_2)</f>
        <v>3.6815586465070322</v>
      </c>
      <c r="CZ32">
        <f>AQ32*(c_Stroke2+c_HF2+c_LIR_2)</f>
        <v>8.8807907783100362</v>
      </c>
      <c r="DA32">
        <f>AR32*(c_DM+c_LIR_2)</f>
        <v>5655.6390429451376</v>
      </c>
      <c r="DB32">
        <f>AS32*(c_Other+c_DM+c_LIR_2)</f>
        <v>3117.5212996250993</v>
      </c>
      <c r="DC32">
        <f>AT32*(c_Stroke1+c_Stroke2+c_DM+c_LIR_2)</f>
        <v>286.30180589513776</v>
      </c>
      <c r="DD32">
        <f>AU32*(c_Stroke2+c_DM+c_LIR_2)</f>
        <v>721.56661263085323</v>
      </c>
      <c r="DE32">
        <f>AV32*(c_MI1+c_MI2+c_DM+c_LIR_2)</f>
        <v>173.09314391823165</v>
      </c>
      <c r="DF32">
        <f>AW32*(c_MI2+c_DM+c_LIR_2)</f>
        <v>468.03266461178845</v>
      </c>
      <c r="DG32">
        <f>AX32*(c_Stroke1+c_Stroke2+c_MI2+c_DM+c_LIR_2)</f>
        <v>17.649090877107561</v>
      </c>
      <c r="DH32">
        <f>AY32*(c_Stroke2+c_MI1+c_MI2+c_DM+c_LIR_2)</f>
        <v>16.745930958049975</v>
      </c>
      <c r="DI32">
        <f>AZ32*(c_Stroke2+c_MI2+c_DM+c_LIR_2)</f>
        <v>35.995364449631829</v>
      </c>
      <c r="DJ32">
        <f>BA32*(c_HF1+c_DM+c_LIR_2)</f>
        <v>68.925625028276528</v>
      </c>
      <c r="DK32">
        <f>BB32*(c_HF2+c_DM+c_LIR_2)</f>
        <v>597.45071496987316</v>
      </c>
      <c r="DL32">
        <f>BC32*(c_Stroke2+c_HF1+c_DM+c_LIR_2)</f>
        <v>6.4747289223283255</v>
      </c>
      <c r="DM32">
        <f>BD32*(c_Stroke1+c_Stroke2+c_HF2+c_DM+c_LIR_2)</f>
        <v>16.377302380678934</v>
      </c>
      <c r="DN32">
        <f>BE32*(c_Stroke2+c_HF2+c_DM+c_LIR_2)</f>
        <v>40.209687713398004</v>
      </c>
      <c r="DO32">
        <f t="shared" si="5"/>
        <v>0</v>
      </c>
      <c r="DP32">
        <f t="shared" si="38"/>
        <v>15144.990545254892</v>
      </c>
      <c r="DQ32">
        <f>DP32/(1+r_)^A32</f>
        <v>6426.721644967769</v>
      </c>
    </row>
    <row r="33" spans="1:121" x14ac:dyDescent="0.3">
      <c r="A33">
        <v>30</v>
      </c>
      <c r="B33">
        <v>75</v>
      </c>
      <c r="C33">
        <f t="shared" si="39"/>
        <v>36.1</v>
      </c>
      <c r="D33">
        <f t="shared" si="1"/>
        <v>125</v>
      </c>
      <c r="E33">
        <f t="shared" si="40"/>
        <v>5.5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0"/>
        <v>3.2286349135090861E-2</v>
      </c>
      <c r="J33">
        <f t="shared" si="21"/>
        <v>0.28245173578476601</v>
      </c>
      <c r="K33">
        <f t="shared" si="22"/>
        <v>0.37176701870250273</v>
      </c>
      <c r="L33">
        <f t="shared" si="23"/>
        <v>0.14540551489828513</v>
      </c>
      <c r="M33">
        <f t="shared" si="24"/>
        <v>0.19752670634195424</v>
      </c>
      <c r="N33">
        <f t="shared" si="25"/>
        <v>0.58784217524430304</v>
      </c>
      <c r="O33">
        <f t="shared" si="26"/>
        <v>0.71418233990296121</v>
      </c>
      <c r="P33">
        <f t="shared" si="27"/>
        <v>0.35337338208084368</v>
      </c>
      <c r="Q33">
        <f t="shared" si="28"/>
        <v>0.45992309848471791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2.3161585128944864E-2</v>
      </c>
      <c r="U33">
        <f t="shared" si="29"/>
        <v>0.51439003247643456</v>
      </c>
      <c r="V33">
        <f t="shared" si="30"/>
        <v>0.63637940351050215</v>
      </c>
      <c r="W33">
        <f t="shared" si="31"/>
        <v>0.28962297236802792</v>
      </c>
      <c r="X33">
        <f t="shared" si="32"/>
        <v>0.38054252836217195</v>
      </c>
      <c r="Y33">
        <f t="shared" si="33"/>
        <v>0.7787048886479504</v>
      </c>
      <c r="Z33">
        <f t="shared" si="34"/>
        <v>0.8812995301321882</v>
      </c>
      <c r="AA33">
        <f t="shared" si="35"/>
        <v>0.52379041175113272</v>
      </c>
      <c r="AB33">
        <f t="shared" si="36"/>
        <v>0.64946423552469845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3.9864284788783053E-2</v>
      </c>
      <c r="AD33">
        <f t="shared" si="37"/>
        <v>0.17230191989861804</v>
      </c>
      <c r="AE33">
        <f t="shared" si="6"/>
        <v>3.8358956482860362E-2</v>
      </c>
      <c r="AF33">
        <f t="shared" si="7"/>
        <v>2.4726018647448804E-3</v>
      </c>
      <c r="AG33">
        <f t="shared" si="8"/>
        <v>1.0398093956415878E-2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1.1239095766641016E-3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6.9710981728710927E-3</v>
      </c>
      <c r="AJ33">
        <f t="shared" si="11"/>
        <v>9.1393002730041478E-5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6.3753766773944371E-5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2.7677551951632503E-4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1.1561577318531528E-3</v>
      </c>
      <c r="AN33">
        <f t="shared" si="15"/>
        <v>6.9859205088568608E-3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6.256648295487444E-5</v>
      </c>
      <c r="AP33">
        <f>AM32*T32*p_Stroke*p_Stroke_rec*(1-I32) + AN32*T32*p_Stroke*p_Stroke_rec*(1-I32) + AO32*(p_recur_Stroke*p_Stroke_rec)*(1-I32) + AP32*(p_recur_Stroke*p_Stroke_rec)*(1-I32) + AQ32*(p_recur_Stroke*p_Stroke_rec)*(1-I32)</f>
        <v>7.3794690057184833E-5</v>
      </c>
      <c r="AQ33">
        <f>AO32*(1-p_recur_Stroke-H32*rr_Stroke*rr_HF)*(1-I32) + AP32*(1-p_recur_Stroke-H32*rr_Stroke*rr_HF)*(1-I32) + AQ32*(1-p_recur_Stroke-H32*rr_Stroke*rr_HF)*(1-I32)</f>
        <v>2.6282785993022949E-4</v>
      </c>
      <c r="AR33">
        <f>AR32*(1-AC32-H32*rr_DM) + AD32*(1-T32-H32)*I32</f>
        <v>0.23358177336408659</v>
      </c>
      <c r="AS33">
        <f>AR32*AC32*p_Other + AD32*T32*p_Other*I32 + AE32*(1-T32*p_Stroke-T32*p_MI-H32*rr_Other)*I32 + AS32*(1-AC32*p_Stroke-AC32*p_MI-H32*rr_Other*rr_DM)</f>
        <v>8.394791407945329E-2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6.1254499677473543E-3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2.4250741441521385E-2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2.8784169337289015E-3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1.6987586273272889E-2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3.6780951894262019E-4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2.5515521780645464E-4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1.0348104834006682E-3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2.8944661106303808E-3</v>
      </c>
      <c r="BB33">
        <f>AM32*(1-T32*p_Stroke - H32*rr_HF)*I32 + AN32*(1-T32*p_Stroke - H32*rr_HF)*I32 + BA32*(1-AC32*p_Stroke - H32*rr_HF*rr_DM) + BB32*(1-AC32*p_Stroke - H32*rr_HF*rr_DM)</f>
        <v>1.6027842208866324E-2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2.448227990335242E-4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2.7973540719425859E-4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9.2496725183315379E-4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0.31159873942763511</v>
      </c>
      <c r="BG33">
        <f t="shared" si="17"/>
        <v>0.94199999999999995</v>
      </c>
      <c r="BH33">
        <f>(0.9442 - 0.0007*$B33 - dis_BMI*($C33-21.75))*AD33</f>
        <v>0.14548226455679866</v>
      </c>
      <c r="BI33">
        <f>0.959*(0.9442 - 0.0007*$B33 - dis_BMI*($C33-21.75))*AE33</f>
        <v>3.1060277193948382E-2</v>
      </c>
      <c r="BJ33">
        <f>(0.943*(0.9442 - 0.0007*$B33 - dis_BMI*($C33-21.75)) - 0.19*0.5)*AF33</f>
        <v>1.7338312901124353E-3</v>
      </c>
      <c r="BK33">
        <f>(0.943*(0.9442 - 0.0007*$B33 - dis_BMI*($C33-21.75)))*AG33</f>
        <v>8.2791426590570552E-3</v>
      </c>
      <c r="BL33">
        <f>(0.955*(0.9442 - 0.0007*$B33 - dis_BMI*($C33-21.75)) - 0.15*0.5)*AH33</f>
        <v>8.21970678840763E-4</v>
      </c>
      <c r="BM33">
        <f>(0.955*(0.9442 - 0.0007*$B33 - dis_BMI*($C33-21.75)))*AI33</f>
        <v>5.6211413518680647E-3</v>
      </c>
      <c r="BN33">
        <f>(0.955*0.943*(0.9442 - 0.0007*$B33 - dis_BMI*($C33-21.75)) - 0.19*0.5)*AJ33</f>
        <v>6.0811766623796147E-5</v>
      </c>
      <c r="BO33">
        <f>(0.955*0.943*(0.9442 - 0.0007*$B33 - dis_BMI*($C33-21.75)) - 0.15*0.5)*AK33</f>
        <v>4.3696038326452441E-5</v>
      </c>
      <c r="BP33">
        <f>(0.955*0.943*(0.9442 - 0.0007*$B33 - dis_BMI*($C33-21.75)))*AL33</f>
        <v>2.1045666054811499E-4</v>
      </c>
      <c r="BQ33">
        <f>(0.93*(0.9442 - 0.0007*$B33 - dis_BMI*($C33-21.75)))*AM33</f>
        <v>9.0786228009444195E-4</v>
      </c>
      <c r="BR33">
        <f>(0.93*(0.9442 - 0.0007*$B33 - dis_BMI*($C33-21.75)))*AN33</f>
        <v>5.4856301584071945E-3</v>
      </c>
      <c r="BS33">
        <f>(0.93*0.943*(0.9442 - 0.0007*$B33 - dis_BMI*($C33-21.75)))*AO33</f>
        <v>4.6329362036347343E-5</v>
      </c>
      <c r="BT33">
        <f>(0.93*0.943*(0.9442 - 0.0007*$B33 - dis_BMI*($C33-21.75))-0.19*0.5)*AP33</f>
        <v>4.7633153097236362E-5</v>
      </c>
      <c r="BU33">
        <f>(0.93*0.943*(0.9442 - 0.0007*$B33 - dis_BMI*($C33-21.75)))*AQ33</f>
        <v>1.9461933132358257E-4</v>
      </c>
      <c r="BV33">
        <f>0.962*(0.9442 - 0.0007*$B33 - dis_BMI*($C33-21.75))*AR33</f>
        <v>0.18972910553871788</v>
      </c>
      <c r="BW33">
        <f>0.962*0.959*(0.9442 - 0.0007*$B33 - dis_BMI*($C33-21.75))*AS33</f>
        <v>6.5391834994214013E-2</v>
      </c>
      <c r="BX33">
        <f>0.962*(0.943*(0.9442 - 0.0007*$B33 - dis_BMI*($C33-21.75)) - 0.19*0.5)*AT33</f>
        <v>4.1320513773813686E-3</v>
      </c>
      <c r="BY33">
        <f>0.962*(0.943*(0.9442 - 0.0007*$B33 - dis_BMI*($C33-21.75)))*AU33</f>
        <v>1.8575124014893207E-2</v>
      </c>
      <c r="BZ33">
        <f>0.962*(0.955*(0.9442 - 0.0007*$B33 - dis_BMI*($C33-21.75)) - 0.15*0.5)*AV33</f>
        <v>2.0251338222078198E-3</v>
      </c>
      <c r="CA33">
        <f>0.962*(0.955*(0.9442 - 0.0007*$B33 - dis_BMI*($C33-21.75)))*AW33</f>
        <v>1.317740988459791E-2</v>
      </c>
      <c r="CB33">
        <f>0.962*(0.955*0.943*(0.9442 - 0.0007*$B33 - dis_BMI*($C33-21.75)) - 0.19*0.5)*AX33</f>
        <v>2.3543591318085045E-4</v>
      </c>
      <c r="CC33">
        <f>0.962*(0.955*0.943*(0.9442 - 0.0007*$B33 - dis_BMI*($C33-21.75)) - 0.15*0.5)*AY33</f>
        <v>1.6823476284609035E-4</v>
      </c>
      <c r="CD33">
        <f>0.962*(0.955*0.943*(0.9442 - 0.0007*$B33 - dis_BMI*($C33-21.75)))*AZ33</f>
        <v>7.5695644677900727E-4</v>
      </c>
      <c r="CE33">
        <f>0.962*(0.93*(0.9442 - 0.0007*$B33 - dis_BMI*($C33-21.75)))*BA33</f>
        <v>2.1864846139053058E-3</v>
      </c>
      <c r="CF33">
        <f>0.962*(0.93*(0.9442 - 0.0007*$B33 - dis_BMI*($C33-21.75)))*BB33</f>
        <v>1.210745921504534E-2</v>
      </c>
      <c r="CG33">
        <f>0.962*(0.93*0.943*(0.9442 - 0.0007*$B33 - dis_BMI*($C33-21.75)))*BC33</f>
        <v>1.7439800321813147E-4</v>
      </c>
      <c r="CH33">
        <f>0.962*(0.93*0.943*(0.9442 - 0.0007*$B33 - dis_BMI*($C33-21.75))-0.19*0.5)*BD33</f>
        <v>1.7370276435228388E-4</v>
      </c>
      <c r="CI33">
        <f>0.962*(0.93*0.943*(0.9442 - 0.0007*$B33 - dis_BMI*($C33-21.75)))*BE33</f>
        <v>6.5889468790762283E-4</v>
      </c>
      <c r="CJ33">
        <f t="shared" si="18"/>
        <v>0</v>
      </c>
      <c r="CK33">
        <f t="shared" si="19"/>
        <v>0.50948789252032933</v>
      </c>
      <c r="CL33">
        <f>CK33/(1+r_)^A33</f>
        <v>0.20990226585203914</v>
      </c>
      <c r="CM33">
        <f>AD33*c_LIR_2</f>
        <v>2026.2705780077481</v>
      </c>
      <c r="CN33">
        <f>AE33*(c_Other+c_LIR_2)</f>
        <v>998.82886785720098</v>
      </c>
      <c r="CO33">
        <f>AF33*(c_Stroke1+c_Stroke2+c_LIR_2)</f>
        <v>87.965283940163857</v>
      </c>
      <c r="CP33">
        <f>AG33*(c_Stroke2 + c_LIR_2)</f>
        <v>189.86919564415393</v>
      </c>
      <c r="CQ33">
        <f>AH33*(c_MI1+c_MI2 + c_LIR_2)</f>
        <v>45.980264690905059</v>
      </c>
      <c r="CR33">
        <f>AI33*(c_MI2+c_LIR_2)</f>
        <v>103.70902751780325</v>
      </c>
      <c r="CS33">
        <f>AJ33*(c_Stroke1+c_Stroke2+c_MI2+c_LIR_2)</f>
        <v>3.5362694546334947</v>
      </c>
      <c r="CT33">
        <f>AK33*(c_Stroke2+c_MI1+c_MI2+c_LIR_2)</f>
        <v>3.0226298365194766</v>
      </c>
      <c r="CU33">
        <f>AL33*(c_Stroke2+c_MI2+c_LIR_2)</f>
        <v>5.9166302807004802</v>
      </c>
      <c r="CV33">
        <f>AM33*(c_HF1+c_LIR_2)</f>
        <v>44.847358418583802</v>
      </c>
      <c r="CW33">
        <f>AN33*(c_HF2+c_LIR_2)</f>
        <v>191.16971472486799</v>
      </c>
      <c r="CX33">
        <f>AO33*(c_Stroke2+c_HF1+c_LIR_2)</f>
        <v>2.8336360130262634</v>
      </c>
      <c r="CY33">
        <f>AP33*(c_Stroke1+c_Stroke2+c_HF2+c_LIR_2)</f>
        <v>3.776886031816777</v>
      </c>
      <c r="CZ33">
        <f>AQ33*(c_Stroke2+c_HF2+c_LIR_2)</f>
        <v>8.9006654765372222</v>
      </c>
      <c r="DA33">
        <f>AR33*(c_DM+c_LIR_2)</f>
        <v>5415.5934154463475</v>
      </c>
      <c r="DB33">
        <f>AS33*(c_Other+c_DM+c_LIR_2)</f>
        <v>3145.0246530726381</v>
      </c>
      <c r="DC33">
        <f>AT33*(c_Stroke1+c_Stroke2+c_DM+c_LIR_2)</f>
        <v>287.90227393409339</v>
      </c>
      <c r="DD33">
        <f>AU33*(c_Stroke2+c_DM+c_LIR_2)</f>
        <v>719.88325969156233</v>
      </c>
      <c r="DE33">
        <f>AV33*(c_MI1+c_MI2+c_DM+c_LIR_2)</f>
        <v>150.64482864363578</v>
      </c>
      <c r="DF33">
        <f>AW33*(c_MI2+c_DM+c_LIR_2)</f>
        <v>446.80749415962356</v>
      </c>
      <c r="DG33">
        <f>AX33*(c_Stroke1+c_Stroke2+c_MI2+c_DM+c_LIR_2)</f>
        <v>18.433877470366237</v>
      </c>
      <c r="DH33">
        <f>AY33*(c_Stroke2+c_MI1+c_MI2+c_DM+c_LIR_2)</f>
        <v>15.012312394860565</v>
      </c>
      <c r="DI33">
        <f>AZ33*(c_Stroke2+c_MI2+c_DM+c_LIR_2)</f>
        <v>33.943853476508714</v>
      </c>
      <c r="DJ33">
        <f>BA33*(c_HF1+c_DM+c_LIR_2)</f>
        <v>145.34561574530457</v>
      </c>
      <c r="DK33">
        <f>BB33*(c_HF2+c_DM+c_LIR_2)</f>
        <v>621.71999928192474</v>
      </c>
      <c r="DL33">
        <f>BC33*(c_Stroke2+c_HF1+c_DM+c_LIR_2)</f>
        <v>13.885125047186325</v>
      </c>
      <c r="DM33">
        <f>BD33*(c_Stroke1+c_Stroke2+c_HF2+c_DM+c_LIR_2)</f>
        <v>17.513114902803753</v>
      </c>
      <c r="DN33">
        <f>BE33*(c_Stroke2+c_HF2+c_DM+c_LIR_2)</f>
        <v>41.891766835523534</v>
      </c>
      <c r="DO33">
        <f t="shared" si="5"/>
        <v>0</v>
      </c>
      <c r="DP33">
        <f t="shared" si="38"/>
        <v>14790.228597997038</v>
      </c>
      <c r="DQ33">
        <f>DP33/(1+r_)^A33</f>
        <v>6093.3783525882945</v>
      </c>
    </row>
    <row r="34" spans="1:121" x14ac:dyDescent="0.3">
      <c r="A34">
        <v>31</v>
      </c>
      <c r="B34">
        <v>76</v>
      </c>
      <c r="C34">
        <f t="shared" si="39"/>
        <v>36.1</v>
      </c>
      <c r="D34">
        <f t="shared" si="1"/>
        <v>125</v>
      </c>
      <c r="E34">
        <f t="shared" si="40"/>
        <v>5.5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0"/>
        <v>3.2286349135090861E-2</v>
      </c>
      <c r="J34">
        <f t="shared" si="21"/>
        <v>0.29113903148283926</v>
      </c>
      <c r="K34">
        <f t="shared" si="22"/>
        <v>0.38239321737953946</v>
      </c>
      <c r="L34">
        <f t="shared" si="23"/>
        <v>0.15031924792785367</v>
      </c>
      <c r="M34">
        <f t="shared" si="24"/>
        <v>0.20398119145642657</v>
      </c>
      <c r="N34">
        <f t="shared" si="25"/>
        <v>0.60293652614254856</v>
      </c>
      <c r="O34">
        <f t="shared" si="26"/>
        <v>0.72886003476583039</v>
      </c>
      <c r="P34">
        <f t="shared" si="27"/>
        <v>0.36513237282931599</v>
      </c>
      <c r="Q34">
        <f t="shared" si="28"/>
        <v>0.47374828700574767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2.3883508759876396E-2</v>
      </c>
      <c r="U34">
        <f t="shared" si="29"/>
        <v>0.52709402298078056</v>
      </c>
      <c r="V34">
        <f t="shared" si="30"/>
        <v>0.64963161396194025</v>
      </c>
      <c r="W34">
        <f t="shared" si="31"/>
        <v>0.2984820830586512</v>
      </c>
      <c r="X34">
        <f t="shared" si="32"/>
        <v>0.39133459280358096</v>
      </c>
      <c r="Y34">
        <f t="shared" si="33"/>
        <v>0.79231797982128738</v>
      </c>
      <c r="Z34">
        <f t="shared" si="34"/>
        <v>0.89148439224590303</v>
      </c>
      <c r="AA34">
        <f t="shared" si="35"/>
        <v>0.53843242788136325</v>
      </c>
      <c r="AB34">
        <f t="shared" si="36"/>
        <v>0.66459604176187448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4.0914029607269919E-2</v>
      </c>
      <c r="AD34">
        <f t="shared" si="37"/>
        <v>0.15837569838411714</v>
      </c>
      <c r="AE34">
        <f t="shared" si="6"/>
        <v>3.6953656561760181E-2</v>
      </c>
      <c r="AF34">
        <f t="shared" si="7"/>
        <v>2.3741615410992623E-3</v>
      </c>
      <c r="AG34">
        <f t="shared" si="8"/>
        <v>9.8446358408282222E-3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1.0557503245631357E-3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6.2506189953585234E-3</v>
      </c>
      <c r="AJ34">
        <f t="shared" si="11"/>
        <v>8.4537320259123427E-5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6.1573521572711237E-5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2.4760711564181134E-4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1.0606506826130371E-3</v>
      </c>
      <c r="AN34">
        <f t="shared" si="15"/>
        <v>7.4500999232086007E-3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5.8747529243868835E-5</v>
      </c>
      <c r="AP34">
        <f>AM33*T33*p_Stroke*p_Stroke_rec*(1-I33) + AN33*T33*p_Stroke*p_Stroke_rec*(1-I33) + AO33*(p_recur_Stroke*p_Stroke_rec)*(1-I33) + AP33*(p_recur_Stroke*p_Stroke_rec)*(1-I33) + AQ33*(p_recur_Stroke*p_Stroke_rec)*(1-I33)</f>
        <v>8.1263487498043531E-5</v>
      </c>
      <c r="AQ34">
        <f>AO33*(1-p_recur_Stroke-H33*rr_Stroke*rr_HF)*(1-I33) + AP33*(1-p_recur_Stroke-H33*rr_Stroke*rr_HF)*(1-I33) + AQ33*(1-p_recur_Stroke-H33*rr_Stroke*rr_HF)*(1-I33)</f>
        <v>2.805371859769473E-4</v>
      </c>
      <c r="AR34">
        <f>AR33*(1-AC33-H33*rr_DM) + AD33*(1-T33-H33)*I33</f>
        <v>0.22230253674173958</v>
      </c>
      <c r="AS34">
        <f>AR33*AC33*p_Other + AD33*T33*p_Other*I33 + AE33*(1-T33*p_Stroke-T33*p_MI-H33*rr_Other)*I33 + AS33*(1-AC33*p_Stroke-AC33*p_MI-H33*rr_Other*rr_DM)</f>
        <v>8.3844473325315499E-2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6.1111946223433786E-3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2.3841378399567122E-2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2.8106907374579855E-3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1.5856585876678028E-2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3.5341420062567734E-4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2.5584183898239233E-4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9.5711866679838329E-4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2.7655035138817938E-3</v>
      </c>
      <c r="BB34">
        <f>AM33*(1-T33*p_Stroke - H33*rr_HF)*I33 + AN33*(1-T33*p_Stroke - H33*rr_HF)*I33 + BA33*(1-AC33*p_Stroke - H33*rr_HF*rr_DM) + BB33*(1-AC33*p_Stroke - H33*rr_HF*rr_DM)</f>
        <v>1.7928215261719484E-2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2.3889961601238541E-4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3.2235386713207095E-4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1.0285888626649017E-3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0.33920366605534058</v>
      </c>
      <c r="BG34">
        <f t="shared" si="17"/>
        <v>0.94199999999999995</v>
      </c>
      <c r="BH34">
        <f>(0.9442 - 0.0007*$B34 - dis_BMI*($C34-21.75))*AD34</f>
        <v>0.1336128660632685</v>
      </c>
      <c r="BI34">
        <f>0.959*(0.9442 - 0.0007*$B34 - dis_BMI*($C34-21.75))*AE34</f>
        <v>2.9897561118854273E-2</v>
      </c>
      <c r="BJ34">
        <f>(0.943*(0.9442 - 0.0007*$B34 - dis_BMI*($C34-21.75)) - 0.19*0.5)*AF34</f>
        <v>1.6632360446758381E-3</v>
      </c>
      <c r="BK34">
        <f>(0.943*(0.9442 - 0.0007*$B34 - dis_BMI*($C34-21.75)))*AG34</f>
        <v>7.8319712691112004E-3</v>
      </c>
      <c r="BL34">
        <f>(0.955*(0.9442 - 0.0007*$B34 - dis_BMI*($C34-21.75)) - 0.15*0.5)*AH34</f>
        <v>7.7141667650835848E-4</v>
      </c>
      <c r="BM34">
        <f>(0.955*(0.9442 - 0.0007*$B34 - dis_BMI*($C34-21.75)))*AI34</f>
        <v>5.0360048065339752E-3</v>
      </c>
      <c r="BN34">
        <f>(0.955*0.943*(0.9442 - 0.0007*$B34 - dis_BMI*($C34-21.75)) - 0.19*0.5)*AJ34</f>
        <v>5.6196788880856387E-5</v>
      </c>
      <c r="BO34">
        <f>(0.955*0.943*(0.9442 - 0.0007*$B34 - dis_BMI*($C34-21.75)) - 0.15*0.5)*AK34</f>
        <v>4.2162909727923703E-5</v>
      </c>
      <c r="BP34">
        <f>(0.955*0.943*(0.9442 - 0.0007*$B34 - dis_BMI*($C34-21.75)))*AL34</f>
        <v>1.8812127883344003E-4</v>
      </c>
      <c r="BQ34">
        <f>(0.93*(0.9442 - 0.0007*$B34 - dis_BMI*($C34-21.75)))*AM34</f>
        <v>8.3217575997376035E-4</v>
      </c>
      <c r="BR34">
        <f>(0.93*(0.9442 - 0.0007*$B34 - dis_BMI*($C34-21.75)))*AN34</f>
        <v>5.8452727812352478E-3</v>
      </c>
      <c r="BS34">
        <f>(0.93*0.943*(0.9442 - 0.0007*$B34 - dis_BMI*($C34-21.75)))*AO34</f>
        <v>4.3465430393350555E-5</v>
      </c>
      <c r="BT34">
        <f>(0.93*0.943*(0.9442 - 0.0007*$B34 - dis_BMI*($C34-21.75))-0.19*0.5)*AP34</f>
        <v>5.2404241228658409E-5</v>
      </c>
      <c r="BU34">
        <f>(0.93*0.943*(0.9442 - 0.0007*$B34 - dis_BMI*($C34-21.75)))*AQ34</f>
        <v>2.0756055083116592E-4</v>
      </c>
      <c r="BV34">
        <f>0.962*(0.9442 - 0.0007*$B34 - dis_BMI*($C34-21.75))*AR34</f>
        <v>0.18041773551232446</v>
      </c>
      <c r="BW34">
        <f>0.962*0.959*(0.9442 - 0.0007*$B34 - dis_BMI*($C34-21.75))*AS34</f>
        <v>6.525711309769977E-2</v>
      </c>
      <c r="BX34">
        <f>0.962*(0.943*(0.9442 - 0.0007*$B34 - dis_BMI*($C34-21.75)) - 0.19*0.5)*AT34</f>
        <v>4.1185544261030677E-3</v>
      </c>
      <c r="BY34">
        <f>0.962*(0.943*(0.9442 - 0.0007*$B34 - dis_BMI*($C34-21.75)))*AU34</f>
        <v>1.8246428197178706E-2</v>
      </c>
      <c r="BZ34">
        <f>0.962*(0.955*(0.9442 - 0.0007*$B34 - dis_BMI*($C34-21.75)) - 0.15*0.5)*AV34</f>
        <v>1.9756769550274373E-3</v>
      </c>
      <c r="CA34">
        <f>0.962*(0.955*(0.9442 - 0.0007*$B34 - dis_BMI*($C34-21.75)))*AW34</f>
        <v>1.2289886285660041E-2</v>
      </c>
      <c r="CB34">
        <f>0.962*(0.955*0.943*(0.9442 - 0.0007*$B34 - dis_BMI*($C34-21.75)) - 0.19*0.5)*AX34</f>
        <v>2.2600710454426376E-4</v>
      </c>
      <c r="CC34">
        <f>0.962*(0.955*0.943*(0.9442 - 0.0007*$B34 - dis_BMI*($C34-21.75)) - 0.15*0.5)*AY34</f>
        <v>1.6853232874855243E-4</v>
      </c>
      <c r="CD34">
        <f>0.962*(0.955*0.943*(0.9442 - 0.0007*$B34 - dis_BMI*($C34-21.75)))*AZ34</f>
        <v>6.9954500465764611E-4</v>
      </c>
      <c r="CE34">
        <f>0.962*(0.93*(0.9442 - 0.0007*$B34 - dis_BMI*($C34-21.75)))*BA34</f>
        <v>2.087334119620012E-3</v>
      </c>
      <c r="CF34">
        <f>0.962*(0.93*(0.9442 - 0.0007*$B34 - dis_BMI*($C34-21.75)))*BB34</f>
        <v>1.3531776485487713E-2</v>
      </c>
      <c r="CG34">
        <f>0.962*(0.93*0.943*(0.9442 - 0.0007*$B34 - dis_BMI*($C34-21.75)))*BC34</f>
        <v>1.7003757474374516E-4</v>
      </c>
      <c r="CH34">
        <f>0.962*(0.93*0.943*(0.9442 - 0.0007*$B34 - dis_BMI*($C34-21.75))-0.19*0.5)*BD34</f>
        <v>1.9997648810768005E-4</v>
      </c>
      <c r="CI34">
        <f>0.962*(0.93*0.943*(0.9442 - 0.0007*$B34 - dis_BMI*($C34-21.75)))*BE34</f>
        <v>7.3210145137654668E-4</v>
      </c>
      <c r="CJ34">
        <f t="shared" si="18"/>
        <v>0</v>
      </c>
      <c r="CK34">
        <f t="shared" si="19"/>
        <v>0.48620112075133615</v>
      </c>
      <c r="CL34">
        <f>CK34/(1+r_)^A34</f>
        <v>0.19447419826344184</v>
      </c>
      <c r="CM34">
        <f>AD34*c_LIR_2</f>
        <v>1862.4982129972175</v>
      </c>
      <c r="CN34">
        <f>AE34*(c_Other+c_LIR_2)</f>
        <v>962.23626321167342</v>
      </c>
      <c r="CO34">
        <f>AF34*(c_Stroke1+c_Stroke2+c_LIR_2)</f>
        <v>84.463170986147361</v>
      </c>
      <c r="CP34">
        <f>AG34*(c_Stroke2 + c_LIR_2)</f>
        <v>179.76305045352333</v>
      </c>
      <c r="CQ34">
        <f>AH34*(c_MI1+c_MI2 + c_LIR_2)</f>
        <v>43.191801528202447</v>
      </c>
      <c r="CR34">
        <f>AI34*(c_MI2+c_LIR_2)</f>
        <v>92.990458793948747</v>
      </c>
      <c r="CS34">
        <f>AJ34*(c_Stroke1+c_Stroke2+c_MI2+c_LIR_2)</f>
        <v>3.2710025327862629</v>
      </c>
      <c r="CT34">
        <f>AK34*(c_Stroke2+c_MI1+c_MI2+c_LIR_2)</f>
        <v>2.9192622312838123</v>
      </c>
      <c r="CU34">
        <f>AL34*(c_Stroke2+c_MI2+c_LIR_2)</f>
        <v>5.2930973110750008</v>
      </c>
      <c r="CV34">
        <f>AM34*(c_HF1+c_LIR_2)</f>
        <v>41.142639978559707</v>
      </c>
      <c r="CW34">
        <f>AN34*(c_HF2+c_LIR_2)</f>
        <v>203.87198439860336</v>
      </c>
      <c r="CX34">
        <f>AO34*(c_Stroke2+c_HF1+c_LIR_2)</f>
        <v>2.6606755994548195</v>
      </c>
      <c r="CY34">
        <f>AP34*(c_Stroke1+c_Stroke2+c_HF2+c_LIR_2)</f>
        <v>4.159146553637366</v>
      </c>
      <c r="CZ34">
        <f>AQ34*(c_Stroke2+c_HF2+c_LIR_2)</f>
        <v>9.50039180310932</v>
      </c>
      <c r="DA34">
        <f>AR34*(c_DM+c_LIR_2)</f>
        <v>5154.084314357232</v>
      </c>
      <c r="DB34">
        <f>AS34*(c_Other+c_DM+c_LIR_2)</f>
        <v>3141.14934865962</v>
      </c>
      <c r="DC34">
        <f>AT34*(c_Stroke1+c_Stroke2+c_DM+c_LIR_2)</f>
        <v>287.23225844476116</v>
      </c>
      <c r="DD34">
        <f>AU34*(c_Stroke2+c_DM+c_LIR_2)</f>
        <v>707.73131779114999</v>
      </c>
      <c r="DE34">
        <f>AV34*(c_MI1+c_MI2+c_DM+c_LIR_2)</f>
        <v>147.10031043560113</v>
      </c>
      <c r="DF34">
        <f>AW34*(c_MI2+c_DM+c_LIR_2)</f>
        <v>417.05992172838552</v>
      </c>
      <c r="DG34">
        <f>AX34*(c_Stroke1+c_Stroke2+c_MI2+c_DM+c_LIR_2)</f>
        <v>17.712412906957695</v>
      </c>
      <c r="DH34">
        <f>AY34*(c_Stroke2+c_MI1+c_MI2+c_DM+c_LIR_2)</f>
        <v>15.052710438368035</v>
      </c>
      <c r="DI34">
        <f>AZ34*(c_Stroke2+c_MI2+c_DM+c_LIR_2)</f>
        <v>31.395406508320569</v>
      </c>
      <c r="DJ34">
        <f>BA34*(c_HF1+c_DM+c_LIR_2)</f>
        <v>138.86975894957428</v>
      </c>
      <c r="DK34">
        <f>BB34*(c_HF2+c_DM+c_LIR_2)</f>
        <v>695.43547000209878</v>
      </c>
      <c r="DL34">
        <f>BC34*(c_Stroke2+c_HF1+c_DM+c_LIR_2)</f>
        <v>13.549191722142439</v>
      </c>
      <c r="DM34">
        <f>BD34*(c_Stroke1+c_Stroke2+c_HF2+c_DM+c_LIR_2)</f>
        <v>20.181286205670435</v>
      </c>
      <c r="DN34">
        <f>BE34*(c_Stroke2+c_HF2+c_DM+c_LIR_2)</f>
        <v>46.584789590093401</v>
      </c>
      <c r="DO34">
        <f t="shared" si="5"/>
        <v>0</v>
      </c>
      <c r="DP34">
        <f t="shared" si="38"/>
        <v>14331.099656119197</v>
      </c>
      <c r="DQ34">
        <f>DP34/(1+r_)^A34</f>
        <v>5732.2556384699756</v>
      </c>
    </row>
    <row r="35" spans="1:121" x14ac:dyDescent="0.3">
      <c r="A35">
        <v>32</v>
      </c>
      <c r="B35">
        <v>77</v>
      </c>
      <c r="C35">
        <f t="shared" si="39"/>
        <v>36.1</v>
      </c>
      <c r="D35">
        <f t="shared" si="1"/>
        <v>125</v>
      </c>
      <c r="E35">
        <f t="shared" si="40"/>
        <v>5.5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0"/>
        <v>3.2286349135090861E-2</v>
      </c>
      <c r="J35">
        <f t="shared" si="21"/>
        <v>0.29991649465771031</v>
      </c>
      <c r="K35">
        <f t="shared" si="22"/>
        <v>0.39307686559044819</v>
      </c>
      <c r="L35">
        <f t="shared" si="23"/>
        <v>0.15531629595528429</v>
      </c>
      <c r="M35">
        <f t="shared" si="24"/>
        <v>0.21052980192844595</v>
      </c>
      <c r="N35">
        <f t="shared" si="25"/>
        <v>0.61788023400476022</v>
      </c>
      <c r="O35">
        <f t="shared" si="26"/>
        <v>0.74316599368700897</v>
      </c>
      <c r="P35">
        <f t="shared" si="27"/>
        <v>0.37699995255061791</v>
      </c>
      <c r="Q35">
        <f t="shared" si="28"/>
        <v>0.48759432224636101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2.461220267612909E-2</v>
      </c>
      <c r="U35">
        <f t="shared" si="29"/>
        <v>0.53974520310224072</v>
      </c>
      <c r="V35">
        <f t="shared" si="30"/>
        <v>0.66268779589742621</v>
      </c>
      <c r="W35">
        <f t="shared" si="31"/>
        <v>0.30742980804694109</v>
      </c>
      <c r="X35">
        <f t="shared" si="32"/>
        <v>0.40217933980760379</v>
      </c>
      <c r="Y35">
        <f t="shared" si="33"/>
        <v>0.80544220991356696</v>
      </c>
      <c r="Z35">
        <f t="shared" si="34"/>
        <v>0.90104594799805549</v>
      </c>
      <c r="AA35">
        <f t="shared" si="35"/>
        <v>0.55301796300092276</v>
      </c>
      <c r="AB35">
        <f t="shared" si="36"/>
        <v>0.67947364595236326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4.196291661823176E-2</v>
      </c>
      <c r="AD35">
        <f t="shared" si="37"/>
        <v>0.14526149415065598</v>
      </c>
      <c r="AE35">
        <f t="shared" si="6"/>
        <v>3.5465257534160292E-2</v>
      </c>
      <c r="AF35">
        <f t="shared" si="7"/>
        <v>2.2606768730997033E-3</v>
      </c>
      <c r="AG35">
        <f t="shared" si="8"/>
        <v>9.2951275194158058E-3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9.8916133029504556E-4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5.6257012440407358E-3</v>
      </c>
      <c r="AJ35">
        <f t="shared" si="11"/>
        <v>7.779549691526425E-5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5.8915904602235479E-5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2.2321108650663173E-4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9.7222565240409685E-4</v>
      </c>
      <c r="AN35">
        <f t="shared" si="15"/>
        <v>7.7662260182707705E-3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5.4697466285423028E-5</v>
      </c>
      <c r="AP35">
        <f>AM34*T34*p_Stroke*p_Stroke_rec*(1-I34) + AN34*T34*p_Stroke*p_Stroke_rec*(1-I34) + AO34*(p_recur_Stroke*p_Stroke_rec)*(1-I34) + AP34*(p_recur_Stroke*p_Stroke_rec)*(1-I34) + AQ34*(p_recur_Stroke*p_Stroke_rec)*(1-I34)</f>
        <v>8.6552048922947393E-5</v>
      </c>
      <c r="AQ35">
        <f>AO34*(1-p_recur_Stroke-H34*rr_Stroke*rr_HF)*(1-I34) + AP34*(1-p_recur_Stroke-H34*rr_Stroke*rr_HF)*(1-I34) + AQ34*(1-p_recur_Stroke-H34*rr_Stroke*rr_HF)*(1-I34)</f>
        <v>2.9247823109797516E-4</v>
      </c>
      <c r="AR35">
        <f>AR34*(1-AC34-H34*rr_DM) + AD34*(1-T34-H34)*I34</f>
        <v>0.21081373223062622</v>
      </c>
      <c r="AS35">
        <f>AR34*AC34*p_Other + AD34*T34*p_Other*I34 + AE34*(1-T34*p_Stroke-T34*p_MI-H34*rr_Other)*I34 + AS34*(1-AC34*p_Stroke-AC34*p_MI-H34*rr_Other*rr_DM)</f>
        <v>8.3298214829292491E-2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6.0326280133283835E-3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2.33454762826334E-2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2.7315653197895447E-3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1.4842109000143242E-2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3.371335427510225E-4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2.5342513446502721E-4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8.9219540084050416E-4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2.6350444613123425E-3</v>
      </c>
      <c r="BB35">
        <f>AM34*(1-T34*p_Stroke - H34*rr_HF)*I34 + AN34*(1-T34*p_Stroke - H34*rr_HF)*I34 + BA34*(1-AC34*p_Stroke - H34*rr_HF*rr_DM) + BB34*(1-AC34*p_Stroke - H34*rr_HF*rr_DM)</f>
        <v>1.953150042877131E-2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2.304955273004855E-4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3.5756025760598845E-4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1.1138608999728538E-3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0.36715553811449414</v>
      </c>
      <c r="BG35">
        <f t="shared" si="17"/>
        <v>0.94199999999999995</v>
      </c>
      <c r="BH35">
        <f>(0.9442 - 0.0007*$B35 - dis_BMI*($C35-21.75))*AD35</f>
        <v>0.12244745018682471</v>
      </c>
      <c r="BI35">
        <f>0.959*(0.9442 - 0.0007*$B35 - dis_BMI*($C35-21.75))*AE35</f>
        <v>2.8669555790135304E-2</v>
      </c>
      <c r="BJ35">
        <f>(0.943*(0.9442 - 0.0007*$B35 - dis_BMI*($C35-21.75)) - 0.19*0.5)*AF35</f>
        <v>1.582241266643241E-3</v>
      </c>
      <c r="BK35">
        <f>(0.943*(0.9442 - 0.0007*$B35 - dis_BMI*($C35-21.75)))*AG35</f>
        <v>7.3886702346432813E-3</v>
      </c>
      <c r="BL35">
        <f>(0.955*(0.9442 - 0.0007*$B35 - dis_BMI*($C35-21.75)) - 0.15*0.5)*AH35</f>
        <v>7.2210011090297879E-4</v>
      </c>
      <c r="BM35">
        <f>(0.955*(0.9442 - 0.0007*$B35 - dis_BMI*($C35-21.75)))*AI35</f>
        <v>4.5287596820758119E-3</v>
      </c>
      <c r="BN35">
        <f>(0.955*0.943*(0.9442 - 0.0007*$B35 - dis_BMI*($C35-21.75)) - 0.19*0.5)*AJ35</f>
        <v>5.1666071614271767E-5</v>
      </c>
      <c r="BO35">
        <f>(0.955*0.943*(0.9442 - 0.0007*$B35 - dis_BMI*($C35-21.75)) - 0.15*0.5)*AK35</f>
        <v>4.0305947159241372E-5</v>
      </c>
      <c r="BP35">
        <f>(0.955*0.943*(0.9442 - 0.0007*$B35 - dis_BMI*($C35-21.75)))*AL35</f>
        <v>1.6944550977196257E-4</v>
      </c>
      <c r="BQ35">
        <f>(0.93*(0.9442 - 0.0007*$B35 - dis_BMI*($C35-21.75)))*AM35</f>
        <v>7.6216545988616754E-4</v>
      </c>
      <c r="BR35">
        <f>(0.93*(0.9442 - 0.0007*$B35 - dis_BMI*($C35-21.75)))*AN35</f>
        <v>6.0882462936032678E-3</v>
      </c>
      <c r="BS35">
        <f>(0.93*0.943*(0.9442 - 0.0007*$B35 - dis_BMI*($C35-21.75)))*AO35</f>
        <v>4.0435339095098932E-5</v>
      </c>
      <c r="BT35">
        <f>(0.93*0.943*(0.9442 - 0.0007*$B35 - dis_BMI*($C35-21.75))-0.19*0.5)*AP35</f>
        <v>5.5761532769344575E-5</v>
      </c>
      <c r="BU35">
        <f>(0.93*0.943*(0.9442 - 0.0007*$B35 - dis_BMI*($C35-21.75)))*AQ35</f>
        <v>2.1621580039317301E-4</v>
      </c>
      <c r="BV35">
        <f>0.962*(0.9442 - 0.0007*$B35 - dis_BMI*($C35-21.75))*AR35</f>
        <v>0.1709516150175697</v>
      </c>
      <c r="BW35">
        <f>0.962*0.959*(0.9442 - 0.0007*$B35 - dis_BMI*($C35-21.75))*AS35</f>
        <v>6.4778160654778469E-2</v>
      </c>
      <c r="BX35">
        <f>0.962*(0.943*(0.9442 - 0.0007*$B35 - dis_BMI*($C35-21.75)) - 0.19*0.5)*AT35</f>
        <v>4.0617747386534047E-3</v>
      </c>
      <c r="BY35">
        <f>0.962*(0.943*(0.9442 - 0.0007*$B35 - dis_BMI*($C35-21.75)))*AU35</f>
        <v>1.785207662820926E-2</v>
      </c>
      <c r="BZ35">
        <f>0.962*(0.955*(0.9442 - 0.0007*$B35 - dis_BMI*($C35-21.75)) - 0.15*0.5)*AV35</f>
        <v>1.9183018428542305E-3</v>
      </c>
      <c r="CA35">
        <f>0.962*(0.955*(0.9442 - 0.0007*$B35 - dis_BMI*($C35-21.75)))*AW35</f>
        <v>1.1494055750208934E-2</v>
      </c>
      <c r="CB35">
        <f>0.962*(0.955*0.943*(0.9442 - 0.0007*$B35 - dis_BMI*($C35-21.75)) - 0.19*0.5)*AX35</f>
        <v>2.1539123122501055E-4</v>
      </c>
      <c r="CC35">
        <f>0.962*(0.955*0.943*(0.9442 - 0.0007*$B35 - dis_BMI*($C35-21.75)) - 0.15*0.5)*AY35</f>
        <v>1.6678667028754201E-4</v>
      </c>
      <c r="CD35">
        <f>0.962*(0.955*0.943*(0.9442 - 0.0007*$B35 - dis_BMI*($C35-21.75)))*AZ35</f>
        <v>6.5155240994652498E-4</v>
      </c>
      <c r="CE35">
        <f>0.962*(0.93*(0.9442 - 0.0007*$B35 - dis_BMI*($C35-21.75)))*BA35</f>
        <v>1.9872166031614648E-3</v>
      </c>
      <c r="CF35">
        <f>0.962*(0.93*(0.9442 - 0.0007*$B35 - dis_BMI*($C35-21.75)))*BB35</f>
        <v>1.4729664909479079E-2</v>
      </c>
      <c r="CG35">
        <f>0.962*(0.93*0.943*(0.9442 - 0.0007*$B35 - dis_BMI*($C35-21.75)))*BC35</f>
        <v>1.6391981480226014E-4</v>
      </c>
      <c r="CH35">
        <f>0.962*(0.93*0.943*(0.9442 - 0.0007*$B35 - dis_BMI*($C35-21.75))-0.19*0.5)*BD35</f>
        <v>2.2160607582807768E-4</v>
      </c>
      <c r="CI35">
        <f>0.962*(0.93*0.943*(0.9442 - 0.0007*$B35 - dis_BMI*($C35-21.75)))*BE35</f>
        <v>7.9213629252338391E-4</v>
      </c>
      <c r="CJ35">
        <f t="shared" si="18"/>
        <v>0</v>
      </c>
      <c r="CK35">
        <f t="shared" si="19"/>
        <v>0.46274727786504516</v>
      </c>
      <c r="CL35">
        <f>CK35/(1+r_)^A35</f>
        <v>0.17970190544106601</v>
      </c>
      <c r="CM35">
        <f>AD35*c_LIR_2</f>
        <v>1708.2751712117142</v>
      </c>
      <c r="CN35">
        <f>AE35*(c_Other+c_LIR_2)</f>
        <v>923.47984093199989</v>
      </c>
      <c r="CO35">
        <f>AF35*(c_Stroke1+c_Stroke2+c_LIR_2)</f>
        <v>80.425840437395038</v>
      </c>
      <c r="CP35">
        <f>AG35*(c_Stroke2 + c_LIR_2)</f>
        <v>169.72902850453261</v>
      </c>
      <c r="CQ35">
        <f>AH35*(c_MI1+c_MI2 + c_LIR_2)</f>
        <v>40.467579183700607</v>
      </c>
      <c r="CR35">
        <f>AI35*(c_MI2+c_LIR_2)</f>
        <v>83.693557407594028</v>
      </c>
      <c r="CS35">
        <f>AJ35*(c_Stroke1+c_Stroke2+c_MI2+c_LIR_2)</f>
        <v>3.0101411621423195</v>
      </c>
      <c r="CT35">
        <f>AK35*(c_Stroke2+c_MI1+c_MI2+c_LIR_2)</f>
        <v>2.7932619530965863</v>
      </c>
      <c r="CU35">
        <f>AL35*(c_Stroke2+c_MI2+c_LIR_2)</f>
        <v>4.7715833962522662</v>
      </c>
      <c r="CV35">
        <f>AM35*(c_HF1+c_LIR_2)</f>
        <v>37.712633056754918</v>
      </c>
      <c r="CW35">
        <f>AN35*(c_HF2+c_LIR_2)</f>
        <v>212.52277498997964</v>
      </c>
      <c r="CX35">
        <f>AO35*(c_Stroke2+c_HF1+c_LIR_2)</f>
        <v>2.4772482480668088</v>
      </c>
      <c r="CY35">
        <f>AP35*(c_Stroke1+c_Stroke2+c_HF2+c_LIR_2)</f>
        <v>4.4298204159253709</v>
      </c>
      <c r="CZ35">
        <f>AQ35*(c_Stroke2+c_HF2+c_LIR_2)</f>
        <v>9.9047752961329287</v>
      </c>
      <c r="DA35">
        <f>AR35*(c_DM+c_LIR_2)</f>
        <v>4887.7163817670689</v>
      </c>
      <c r="DB35">
        <f>AS35*(c_Other+c_DM+c_LIR_2)</f>
        <v>3120.684320364614</v>
      </c>
      <c r="DC35">
        <f>AT35*(c_Stroke1+c_Stroke2+c_DM+c_LIR_2)</f>
        <v>283.53954925444737</v>
      </c>
      <c r="DD35">
        <f>AU35*(c_Stroke2+c_DM+c_LIR_2)</f>
        <v>693.01046344997246</v>
      </c>
      <c r="DE35">
        <f>AV35*(c_MI1+c_MI2+c_DM+c_LIR_2)</f>
        <v>142.95920257650562</v>
      </c>
      <c r="DF35">
        <f>AW35*(c_MI2+c_DM+c_LIR_2)</f>
        <v>390.37715092176757</v>
      </c>
      <c r="DG35">
        <f>AX35*(c_Stroke1+c_Stroke2+c_MI2+c_DM+c_LIR_2)</f>
        <v>16.896458895595746</v>
      </c>
      <c r="DH35">
        <f>AY35*(c_Stroke2+c_MI1+c_MI2+c_DM+c_LIR_2)</f>
        <v>14.91052121138434</v>
      </c>
      <c r="DI35">
        <f>AZ35*(c_Stroke2+c_MI2+c_DM+c_LIR_2)</f>
        <v>29.265793538370218</v>
      </c>
      <c r="DJ35">
        <f>BA35*(c_HF1+c_DM+c_LIR_2)</f>
        <v>132.31875762479928</v>
      </c>
      <c r="DK35">
        <f>BB35*(c_HF2+c_DM+c_LIR_2)</f>
        <v>757.62690163203911</v>
      </c>
      <c r="DL35">
        <f>BC35*(c_Stroke2+c_HF1+c_DM+c_LIR_2)</f>
        <v>13.072553830847035</v>
      </c>
      <c r="DM35">
        <f>BD35*(c_Stroke1+c_Stroke2+c_HF2+c_DM+c_LIR_2)</f>
        <v>22.385417487680513</v>
      </c>
      <c r="DN35">
        <f>BE35*(c_Stroke2+c_HF2+c_DM+c_LIR_2)</f>
        <v>50.446760159770548</v>
      </c>
      <c r="DO35">
        <f t="shared" si="5"/>
        <v>0</v>
      </c>
      <c r="DP35">
        <f t="shared" si="38"/>
        <v>13838.903488910149</v>
      </c>
      <c r="DQ35">
        <f>DP35/(1+r_)^A35</f>
        <v>5374.1587365910746</v>
      </c>
    </row>
    <row r="36" spans="1:121" x14ac:dyDescent="0.3">
      <c r="A36">
        <v>33</v>
      </c>
      <c r="B36">
        <v>78</v>
      </c>
      <c r="C36">
        <f t="shared" si="39"/>
        <v>36.1</v>
      </c>
      <c r="D36">
        <f t="shared" si="1"/>
        <v>125</v>
      </c>
      <c r="E36">
        <f t="shared" si="40"/>
        <v>5.5</v>
      </c>
      <c r="F36">
        <v>3.175E-2</v>
      </c>
      <c r="G36">
        <v>4.4229999999999998E-2</v>
      </c>
      <c r="H36">
        <f t="shared" si="3"/>
        <v>3.4245999999999999E-2</v>
      </c>
      <c r="I36">
        <f t="shared" si="20"/>
        <v>3.2286349135090861E-2</v>
      </c>
      <c r="J36">
        <f t="shared" si="21"/>
        <v>0.30877996849115097</v>
      </c>
      <c r="K36">
        <f t="shared" si="22"/>
        <v>0.40381090078234527</v>
      </c>
      <c r="L36">
        <f t="shared" si="23"/>
        <v>0.16039590319223007</v>
      </c>
      <c r="M36">
        <f t="shared" si="24"/>
        <v>0.21717072235489066</v>
      </c>
      <c r="N36">
        <f t="shared" si="25"/>
        <v>0.63265380133521121</v>
      </c>
      <c r="O36">
        <f t="shared" si="26"/>
        <v>0.75708374873815398</v>
      </c>
      <c r="P36">
        <f t="shared" si="27"/>
        <v>0.38896656199572854</v>
      </c>
      <c r="Q36">
        <f t="shared" si="28"/>
        <v>0.50144602575100672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2.5347276077563603E-2</v>
      </c>
      <c r="U36">
        <f t="shared" si="29"/>
        <v>0.55233240709602638</v>
      </c>
      <c r="V36">
        <f t="shared" si="30"/>
        <v>0.67553608582464419</v>
      </c>
      <c r="W36">
        <f t="shared" si="31"/>
        <v>0.31646176755846012</v>
      </c>
      <c r="X36">
        <f t="shared" si="32"/>
        <v>0.41306941676540254</v>
      </c>
      <c r="Y36">
        <f t="shared" si="33"/>
        <v>0.81806778693746141</v>
      </c>
      <c r="Z36">
        <f t="shared" si="34"/>
        <v>0.90999627854323717</v>
      </c>
      <c r="AA36">
        <f t="shared" si="35"/>
        <v>0.5675291156554072</v>
      </c>
      <c r="AB36">
        <f t="shared" si="36"/>
        <v>0.69407772774859444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4.3010158883905164E-2</v>
      </c>
      <c r="AD36">
        <f t="shared" si="37"/>
        <v>0.13271074233985711</v>
      </c>
      <c r="AE36">
        <f t="shared" si="6"/>
        <v>3.3801432089974333E-2</v>
      </c>
      <c r="AF36">
        <f t="shared" si="7"/>
        <v>2.1453972238424635E-3</v>
      </c>
      <c r="AG36">
        <f t="shared" si="8"/>
        <v>8.6843947553644271E-3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9.2670026965170735E-4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5.0619666617331572E-3</v>
      </c>
      <c r="AJ36">
        <f t="shared" si="11"/>
        <v>7.1790092543529631E-5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5.6306730951193351E-5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1.9890456570968915E-4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8.9301703271335759E-4</v>
      </c>
      <c r="AN36">
        <f t="shared" si="15"/>
        <v>7.9266035923720446E-3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5.1008636894547867E-5</v>
      </c>
      <c r="AP36">
        <f>AM35*T35*p_Stroke*p_Stroke_rec*(1-I35) + AN35*T35*p_Stroke*p_Stroke_rec*(1-I35) + AO35*(p_recur_Stroke*p_Stroke_rec)*(1-I35) + AP35*(p_recur_Stroke*p_Stroke_rec)*(1-I35) + AQ35*(p_recur_Stroke*p_Stroke_rec)*(1-I35)</f>
        <v>9.0377577853165429E-5</v>
      </c>
      <c r="AQ36">
        <f>AO35*(1-p_recur_Stroke-H35*rr_Stroke*rr_HF)*(1-I35) + AP35*(1-p_recur_Stroke-H35*rr_Stroke*rr_HF)*(1-I35) + AQ35*(1-p_recur_Stroke-H35*rr_Stroke*rr_HF)*(1-I35)</f>
        <v>2.9449988322247794E-4</v>
      </c>
      <c r="AR36">
        <f>AR35*(1-AC35-H35*rr_DM) + AD35*(1-T35-H35)*I35</f>
        <v>0.19880489300193313</v>
      </c>
      <c r="AS36">
        <f>AR35*AC35*p_Other + AD35*T35*p_Other*I35 + AE35*(1-T35*p_Stroke-T35*p_MI-H35*rr_Other)*I35 + AS35*(1-AC35*p_Stroke-AC35*p_MI-H35*rr_Other*rr_DM)</f>
        <v>8.2020238776009918E-2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5.926444597046142E-3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2.2560548893026361E-2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2.6502655305798931E-3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1.3865137194534874E-2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3.2213408209010085E-4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2.5034671853685976E-4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8.1895531443588348E-4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2.5123524747515465E-3</v>
      </c>
      <c r="BB36">
        <f>AM35*(1-T35*p_Stroke - H35*rr_HF)*I35 + AN35*(1-T35*p_Stroke - H35*rr_HF)*I35 + BA35*(1-AC35*p_Stroke - H35*rr_HF*rr_DM) + BB35*(1-AC35*p_Stroke - H35*rr_HF*rr_DM)</f>
        <v>2.0764543190128919E-2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2.2245322529803924E-4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3.8773149791090954E-4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1.1584465314042501E-3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0.39682236751962979</v>
      </c>
      <c r="BG36">
        <f t="shared" si="17"/>
        <v>0.94199999999999995</v>
      </c>
      <c r="BH36">
        <f>(0.9442 - 0.0007*$B36 - dis_BMI*($C36-21.75))*AD36</f>
        <v>0.11177495918203295</v>
      </c>
      <c r="BI36">
        <f>0.959*(0.9442 - 0.0007*$B36 - dis_BMI*($C36-21.75))*AE36</f>
        <v>2.7301854596624993E-2</v>
      </c>
      <c r="BJ36">
        <f>(0.943*(0.9442 - 0.0007*$B36 - dis_BMI*($C36-21.75)) - 0.19*0.5)*AF36</f>
        <v>1.5001411936968355E-3</v>
      </c>
      <c r="BK36">
        <f>(0.943*(0.9442 - 0.0007*$B36 - dis_BMI*($C36-21.75)))*AG36</f>
        <v>6.8974679412701929E-3</v>
      </c>
      <c r="BL36">
        <f>(0.955*(0.9442 - 0.0007*$B36 - dis_BMI*($C36-21.75)) - 0.15*0.5)*AH36</f>
        <v>6.7588325830134815E-4</v>
      </c>
      <c r="BM36">
        <f>(0.955*(0.9442 - 0.0007*$B36 - dis_BMI*($C36-21.75)))*AI36</f>
        <v>4.0715623860159283E-3</v>
      </c>
      <c r="BN36">
        <f>(0.955*0.943*(0.9442 - 0.0007*$B36 - dis_BMI*($C36-21.75)) - 0.19*0.5)*AJ36</f>
        <v>4.7632465691526581E-5</v>
      </c>
      <c r="BO36">
        <f>(0.955*0.943*(0.9442 - 0.0007*$B36 - dis_BMI*($C36-21.75)) - 0.15*0.5)*AK36</f>
        <v>3.8485446123024205E-5</v>
      </c>
      <c r="BP36">
        <f>(0.955*0.943*(0.9442 - 0.0007*$B36 - dis_BMI*($C36-21.75)))*AL36</f>
        <v>1.50868390753951E-4</v>
      </c>
      <c r="BQ36">
        <f>(0.93*(0.9442 - 0.0007*$B36 - dis_BMI*($C36-21.75)))*AM36</f>
        <v>6.9948939156742559E-4</v>
      </c>
      <c r="BR36">
        <f>(0.93*(0.9442 - 0.0007*$B36 - dis_BMI*($C36-21.75)))*AN36</f>
        <v>6.2088122856713756E-3</v>
      </c>
      <c r="BS36">
        <f>(0.93*0.943*(0.9442 - 0.0007*$B36 - dis_BMI*($C36-21.75)))*AO36</f>
        <v>3.76770421296611E-5</v>
      </c>
      <c r="BT36">
        <f>(0.93*0.943*(0.9442 - 0.0007*$B36 - dis_BMI*($C36-21.75))-0.19*0.5)*AP36</f>
        <v>5.8170664206008486E-5</v>
      </c>
      <c r="BU36">
        <f>(0.93*0.943*(0.9442 - 0.0007*$B36 - dis_BMI*($C36-21.75)))*AQ36</f>
        <v>2.1752952407437444E-4</v>
      </c>
      <c r="BV36">
        <f>0.962*(0.9442 - 0.0007*$B36 - dis_BMI*($C36-21.75))*AR36</f>
        <v>0.16107961487636946</v>
      </c>
      <c r="BW36">
        <f>0.962*0.959*(0.9442 - 0.0007*$B36 - dis_BMI*($C36-21.75))*AS36</f>
        <v>6.3731354673176643E-2</v>
      </c>
      <c r="BX36">
        <f>0.962*(0.943*(0.9442 - 0.0007*$B36 - dis_BMI*($C36-21.75)) - 0.19*0.5)*AT36</f>
        <v>3.9865179453013617E-3</v>
      </c>
      <c r="BY36">
        <f>0.962*(0.943*(0.9442 - 0.0007*$B36 - dis_BMI*($C36-21.75)))*AU36</f>
        <v>1.7237523369260536E-2</v>
      </c>
      <c r="BZ36">
        <f>0.962*(0.955*(0.9442 - 0.0007*$B36 - dis_BMI*($C36-21.75)) - 0.15*0.5)*AV36</f>
        <v>1.8595028993972356E-3</v>
      </c>
      <c r="CA36">
        <f>0.962*(0.955*(0.9442 - 0.0007*$B36 - dis_BMI*($C36-21.75)))*AW36</f>
        <v>1.0728550661503572E-2</v>
      </c>
      <c r="CB36">
        <f>0.962*(0.955*0.943*(0.9442 - 0.0007*$B36 - dis_BMI*($C36-21.75)) - 0.19*0.5)*AX36</f>
        <v>2.0561287145542004E-4</v>
      </c>
      <c r="CC36">
        <f>0.962*(0.955*0.943*(0.9442 - 0.0007*$B36 - dis_BMI*($C36-21.75)) - 0.15*0.5)*AY36</f>
        <v>1.6460885219431103E-4</v>
      </c>
      <c r="CD36">
        <f>0.962*(0.955*0.943*(0.9442 - 0.0007*$B36 - dis_BMI*($C36-21.75)))*AZ36</f>
        <v>5.9756999588969661E-4</v>
      </c>
      <c r="CE36">
        <f>0.962*(0.93*(0.9442 - 0.0007*$B36 - dis_BMI*($C36-21.75)))*BA36</f>
        <v>1.8931151519914859E-3</v>
      </c>
      <c r="CF36">
        <f>0.962*(0.93*(0.9442 - 0.0007*$B36 - dis_BMI*($C36-21.75)))*BB36</f>
        <v>1.564655904474635E-2</v>
      </c>
      <c r="CG36">
        <f>0.962*(0.93*0.943*(0.9442 - 0.0007*$B36 - dis_BMI*($C36-21.75)))*BC36</f>
        <v>1.5806905672714747E-4</v>
      </c>
      <c r="CH36">
        <f>0.962*(0.93*0.943*(0.9442 - 0.0007*$B36 - dis_BMI*($C36-21.75))-0.19*0.5)*BD36</f>
        <v>2.4007640533552606E-4</v>
      </c>
      <c r="CI36">
        <f>0.962*(0.93*0.943*(0.9442 - 0.0007*$B36 - dis_BMI*($C36-21.75)))*BE36</f>
        <v>8.2315979119912375E-4</v>
      </c>
      <c r="CJ36">
        <f t="shared" si="18"/>
        <v>0</v>
      </c>
      <c r="CK36">
        <f t="shared" si="19"/>
        <v>0.43803236936270751</v>
      </c>
      <c r="CL36">
        <f>CK36/(1+r_)^A36</f>
        <v>0.16514970016922495</v>
      </c>
      <c r="CM36">
        <f>AD36*c_LIR_2</f>
        <v>1560.6783299167196</v>
      </c>
      <c r="CN36">
        <f>AE36*(c_Other+c_LIR_2)</f>
        <v>880.15549019084165</v>
      </c>
      <c r="CO36">
        <f>AF36*(c_Stroke1+c_Stroke2+c_LIR_2)</f>
        <v>76.324651635419485</v>
      </c>
      <c r="CP36">
        <f>AG36*(c_Stroke2 + c_LIR_2)</f>
        <v>158.57704823295444</v>
      </c>
      <c r="CQ36">
        <f>AH36*(c_MI1+c_MI2 + c_LIR_2)</f>
        <v>37.912234731721</v>
      </c>
      <c r="CR36">
        <f>AI36*(c_MI2+c_LIR_2)</f>
        <v>75.306878026604181</v>
      </c>
      <c r="CS36">
        <f>AJ36*(c_Stroke1+c_Stroke2+c_MI2+c_LIR_2)</f>
        <v>2.7777740507867921</v>
      </c>
      <c r="CT36">
        <f>AK36*(c_Stroke2+c_MI1+c_MI2+c_LIR_2)</f>
        <v>2.6695584211270278</v>
      </c>
      <c r="CU36">
        <f>AL36*(c_Stroke2+c_MI2+c_LIR_2)</f>
        <v>4.2519829011760253</v>
      </c>
      <c r="CV36">
        <f>AM36*(c_HF1+c_LIR_2)</f>
        <v>34.64013069895114</v>
      </c>
      <c r="CW36">
        <f>AN36*(c_HF2+c_LIR_2)</f>
        <v>216.91150730526101</v>
      </c>
      <c r="CX36">
        <f>AO36*(c_Stroke2+c_HF1+c_LIR_2)</f>
        <v>2.3101811649540731</v>
      </c>
      <c r="CY36">
        <f>AP36*(c_Stroke1+c_Stroke2+c_HF2+c_LIR_2)</f>
        <v>4.6256148121028602</v>
      </c>
      <c r="CZ36">
        <f>AQ36*(c_Stroke2+c_HF2+c_LIR_2)</f>
        <v>9.9732385453292149</v>
      </c>
      <c r="DA36">
        <f>AR36*(c_DM+c_LIR_2)</f>
        <v>4609.2914442498195</v>
      </c>
      <c r="DB36">
        <f>AS36*(c_Other+c_DM+c_LIR_2)</f>
        <v>3072.8062255044356</v>
      </c>
      <c r="DC36">
        <f>AT36*(c_Stroke1+c_Stroke2+c_DM+c_LIR_2)</f>
        <v>278.54882250576571</v>
      </c>
      <c r="DD36">
        <f>AU36*(c_Stroke2+c_DM+c_LIR_2)</f>
        <v>669.70989388948749</v>
      </c>
      <c r="DE36">
        <f>AV36*(c_MI1+c_MI2+c_DM+c_LIR_2)</f>
        <v>138.70429680842929</v>
      </c>
      <c r="DF36">
        <f>AW36*(c_MI2+c_DM+c_LIR_2)</f>
        <v>364.68083849065624</v>
      </c>
      <c r="DG36">
        <f>AX36*(c_Stroke1+c_Stroke2+c_MI2+c_DM+c_LIR_2)</f>
        <v>16.144715926191676</v>
      </c>
      <c r="DH36">
        <f>AY36*(c_Stroke2+c_MI1+c_MI2+c_DM+c_LIR_2)</f>
        <v>14.72939953183468</v>
      </c>
      <c r="DI36">
        <f>AZ36*(c_Stroke2+c_MI2+c_DM+c_LIR_2)</f>
        <v>26.86337222412585</v>
      </c>
      <c r="DJ36">
        <f>BA36*(c_HF1+c_DM+c_LIR_2)</f>
        <v>126.15777951964891</v>
      </c>
      <c r="DK36">
        <f>BB36*(c_HF2+c_DM+c_LIR_2)</f>
        <v>805.45663034510073</v>
      </c>
      <c r="DL36">
        <f>BC36*(c_Stroke2+c_HF1+c_DM+c_LIR_2)</f>
        <v>12.616434672778295</v>
      </c>
      <c r="DM36">
        <f>BD36*(c_Stroke1+c_Stroke2+c_HF2+c_DM+c_LIR_2)</f>
        <v>24.274318158210402</v>
      </c>
      <c r="DN36">
        <f>BE36*(c_Stroke2+c_HF2+c_DM+c_LIR_2)</f>
        <v>52.466043407298486</v>
      </c>
      <c r="DO36">
        <f t="shared" si="5"/>
        <v>0</v>
      </c>
      <c r="DP36">
        <f t="shared" si="38"/>
        <v>13279.56483586773</v>
      </c>
      <c r="DQ36">
        <f>DP36/(1+r_)^A36</f>
        <v>5006.7444883402095</v>
      </c>
    </row>
    <row r="37" spans="1:121" x14ac:dyDescent="0.3">
      <c r="A37">
        <v>34</v>
      </c>
      <c r="B37">
        <v>79</v>
      </c>
      <c r="C37">
        <f t="shared" si="39"/>
        <v>36.1</v>
      </c>
      <c r="D37">
        <f t="shared" si="1"/>
        <v>125</v>
      </c>
      <c r="E37">
        <f t="shared" si="40"/>
        <v>5.5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0"/>
        <v>3.2286349135090861E-2</v>
      </c>
      <c r="J37">
        <f t="shared" si="21"/>
        <v>0.31772520003350824</v>
      </c>
      <c r="K37">
        <f t="shared" si="22"/>
        <v>0.41458819922627832</v>
      </c>
      <c r="L37">
        <f t="shared" si="23"/>
        <v>0.16555726280266725</v>
      </c>
      <c r="M37">
        <f t="shared" si="24"/>
        <v>0.22390206152484038</v>
      </c>
      <c r="N37">
        <f t="shared" si="25"/>
        <v>0.647238342995761</v>
      </c>
      <c r="O37">
        <f t="shared" si="26"/>
        <v>0.7705985311411091</v>
      </c>
      <c r="P37">
        <f t="shared" si="27"/>
        <v>0.40102240690382385</v>
      </c>
      <c r="Q37">
        <f t="shared" si="28"/>
        <v>0.51528818017396105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2.6088334596072009E-2</v>
      </c>
      <c r="U37">
        <f t="shared" si="29"/>
        <v>0.56484466356879315</v>
      </c>
      <c r="V37">
        <f t="shared" si="30"/>
        <v>0.68816527629552349</v>
      </c>
      <c r="W37">
        <f t="shared" si="31"/>
        <v>0.32557348591154378</v>
      </c>
      <c r="X37">
        <f t="shared" si="32"/>
        <v>0.42399741772357402</v>
      </c>
      <c r="Y37">
        <f t="shared" si="33"/>
        <v>0.8301871997341842</v>
      </c>
      <c r="Z37">
        <f t="shared" si="34"/>
        <v>0.91834989659389532</v>
      </c>
      <c r="AA37">
        <f t="shared" si="35"/>
        <v>0.58194820807847392</v>
      </c>
      <c r="AB37">
        <f t="shared" si="36"/>
        <v>0.70839006758951084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4.4054986350920228E-2</v>
      </c>
      <c r="AD37">
        <f t="shared" si="37"/>
        <v>0.12077267108520764</v>
      </c>
      <c r="AE37">
        <f t="shared" si="6"/>
        <v>3.199903222657937E-2</v>
      </c>
      <c r="AF37">
        <f t="shared" si="7"/>
        <v>2.0212580391003928E-3</v>
      </c>
      <c r="AG37">
        <f t="shared" si="8"/>
        <v>8.0407138508187884E-3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8.6585098783731329E-4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4.5548939559734297E-3</v>
      </c>
      <c r="AJ37">
        <f t="shared" si="11"/>
        <v>6.6018461052745289E-5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5.3392231391663025E-5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1.7611352806410312E-4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8.1952711898464138E-4</v>
      </c>
      <c r="AN37">
        <f t="shared" si="15"/>
        <v>7.9531512601020357E-3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4.7261996674677929E-5</v>
      </c>
      <c r="AP37">
        <f>AM36*T36*p_Stroke*p_Stroke_rec*(1-I36) + AN36*T36*p_Stroke*p_Stroke_rec*(1-I36) + AO36*(p_recur_Stroke*p_Stroke_rec)*(1-I36) + AP36*(p_recur_Stroke*p_Stroke_rec)*(1-I36) + AQ36*(p_recur_Stroke*p_Stroke_rec)*(1-I36)</f>
        <v>9.2344767973829667E-5</v>
      </c>
      <c r="AQ37">
        <f>AO36*(1-p_recur_Stroke-H36*rr_Stroke*rr_HF)*(1-I36) + AP36*(1-p_recur_Stroke-H36*rr_Stroke*rr_HF)*(1-I36) + AQ36*(1-p_recur_Stroke-H36*rr_Stroke*rr_HF)*(1-I36)</f>
        <v>2.8890567895600979E-4</v>
      </c>
      <c r="AR37">
        <f>AR36*(1-AC36-H36*rr_DM) + AD36*(1-T36-H36)*I36</f>
        <v>0.18645415309434835</v>
      </c>
      <c r="AS37">
        <f>AR36*AC36*p_Other + AD36*T36*p_Other*I36 + AE36*(1-T36*p_Stroke-T36*p_MI-H36*rr_Other)*I36 + AS36*(1-AC36*p_Stroke-AC36*p_MI-H36*rr_Other*rr_DM)</f>
        <v>8.0065849342917009E-2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5.7681757727564842E-3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2.1555721989137265E-2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2.5593159679148415E-3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1.2931299974014095E-2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3.0612300455111962E-4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2.4475309280135379E-4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7.4491731296118745E-4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2.3886891654089143E-3</v>
      </c>
      <c r="BB37">
        <f>AM36*(1-T36*p_Stroke - H36*rr_HF)*I36 + AN36*(1-T36*p_Stroke - H36*rr_HF)*I36 + BA36*(1-AC36*p_Stroke - H36*rr_HF*rr_DM) + BB36*(1-AC36*p_Stroke - H36*rr_HF*rr_DM)</f>
        <v>2.1643562816103495E-2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2.12763535696961E-4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4.1017969324332428E-4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1.1692444233942362E-3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0.42779411562603459</v>
      </c>
      <c r="BG37">
        <f t="shared" si="17"/>
        <v>0.94199999999999995</v>
      </c>
      <c r="BH37">
        <f>(0.9442 - 0.0007*$B37 - dis_BMI*($C37-21.75))*AD37</f>
        <v>0.10163563748840107</v>
      </c>
      <c r="BI37">
        <f>0.959*(0.9442 - 0.0007*$B37 - dis_BMI*($C37-21.75))*AE37</f>
        <v>2.5824551926536946E-2</v>
      </c>
      <c r="BJ37">
        <f>(0.943*(0.9442 - 0.0007*$B37 - dis_BMI*($C37-21.75)) - 0.19*0.5)*AF37</f>
        <v>1.4120042457988625E-3</v>
      </c>
      <c r="BK37">
        <f>(0.943*(0.9442 - 0.0007*$B37 - dis_BMI*($C37-21.75)))*AG37</f>
        <v>6.3809250529448204E-3</v>
      </c>
      <c r="BL37">
        <f>(0.955*(0.9442 - 0.0007*$B37 - dis_BMI*($C37-21.75)) - 0.15*0.5)*AH37</f>
        <v>6.309243798415735E-4</v>
      </c>
      <c r="BM37">
        <f>(0.955*(0.9442 - 0.0007*$B37 - dis_BMI*($C37-21.75)))*AI37</f>
        <v>3.6606565636415748E-3</v>
      </c>
      <c r="BN37">
        <f>(0.955*0.943*(0.9442 - 0.0007*$B37 - dis_BMI*($C37-21.75)) - 0.19*0.5)*AJ37</f>
        <v>4.376139141673922E-5</v>
      </c>
      <c r="BO37">
        <f>(0.955*0.943*(0.9442 - 0.0007*$B37 - dis_BMI*($C37-21.75)) - 0.15*0.5)*AK37</f>
        <v>3.6459738035904693E-5</v>
      </c>
      <c r="BP37">
        <f>(0.955*0.943*(0.9442 - 0.0007*$B37 - dis_BMI*($C37-21.75)))*AL37</f>
        <v>1.3347045029155579E-4</v>
      </c>
      <c r="BQ37">
        <f>(0.93*(0.9442 - 0.0007*$B37 - dis_BMI*($C37-21.75)))*AM37</f>
        <v>6.4139212289171499E-4</v>
      </c>
      <c r="BR37">
        <f>(0.93*(0.9442 - 0.0007*$B37 - dis_BMI*($C37-21.75)))*AN37</f>
        <v>6.2244292497797881E-3</v>
      </c>
      <c r="BS37">
        <f>(0.93*0.943*(0.9442 - 0.0007*$B37 - dis_BMI*($C37-21.75)))*AO37</f>
        <v>3.4880608330656124E-5</v>
      </c>
      <c r="BT37">
        <f>(0.93*0.943*(0.9442 - 0.0007*$B37 - dis_BMI*($C37-21.75))-0.19*0.5)*AP37</f>
        <v>5.9380137519207038E-5</v>
      </c>
      <c r="BU37">
        <f>(0.93*0.943*(0.9442 - 0.0007*$B37 - dis_BMI*($C37-21.75)))*AQ37</f>
        <v>2.1322006138530395E-4</v>
      </c>
      <c r="BV37">
        <f>0.962*(0.9442 - 0.0007*$B37 - dis_BMI*($C37-21.75))*AR37</f>
        <v>0.15094699697568359</v>
      </c>
      <c r="BW37">
        <f>0.962*0.959*(0.9442 - 0.0007*$B37 - dis_BMI*($C37-21.75))*AS37</f>
        <v>6.2161049491306235E-2</v>
      </c>
      <c r="BX37">
        <f>0.962*(0.943*(0.9442 - 0.0007*$B37 - dis_BMI*($C37-21.75)) - 0.19*0.5)*AT37</f>
        <v>3.8763929989022883E-3</v>
      </c>
      <c r="BY37">
        <f>0.962*(0.943*(0.9442 - 0.0007*$B37 - dis_BMI*($C37-21.75)))*AU37</f>
        <v>1.6456091083913289E-2</v>
      </c>
      <c r="BZ37">
        <f>0.962*(0.955*(0.9442 - 0.0007*$B37 - dis_BMI*($C37-21.75)) - 0.15*0.5)*AV37</f>
        <v>1.7940441690088053E-3</v>
      </c>
      <c r="CA37">
        <f>0.962*(0.955*(0.9442 - 0.0007*$B37 - dis_BMI*($C37-21.75)))*AW37</f>
        <v>9.9976510403219001E-3</v>
      </c>
      <c r="CB37">
        <f>0.962*(0.955*0.943*(0.9442 - 0.0007*$B37 - dis_BMI*($C37-21.75)) - 0.19*0.5)*AX37</f>
        <v>1.95207619363135E-4</v>
      </c>
      <c r="CC37">
        <f>0.962*(0.955*0.943*(0.9442 - 0.0007*$B37 - dis_BMI*($C37-21.75)) - 0.15*0.5)*AY37</f>
        <v>1.6078248360619566E-4</v>
      </c>
      <c r="CD37">
        <f>0.962*(0.955*0.943*(0.9442 - 0.0007*$B37 - dis_BMI*($C37-21.75)))*AZ37</f>
        <v>5.4309467973883861E-4</v>
      </c>
      <c r="CE37">
        <f>0.962*(0.93*(0.9442 - 0.0007*$B37 - dis_BMI*($C37-21.75)))*BA37</f>
        <v>1.7984360698110608E-3</v>
      </c>
      <c r="CF37">
        <f>0.962*(0.93*(0.9442 - 0.0007*$B37 - dis_BMI*($C37-21.75)))*BB37</f>
        <v>1.6295365931815818E-2</v>
      </c>
      <c r="CG37">
        <f>0.962*(0.93*0.943*(0.9442 - 0.0007*$B37 - dis_BMI*($C37-21.75)))*BC37</f>
        <v>1.5105818287190789E-4</v>
      </c>
      <c r="CH37">
        <f>0.962*(0.93*0.943*(0.9442 - 0.0007*$B37 - dis_BMI*($C37-21.75))-0.19*0.5)*BD37</f>
        <v>2.5373368839374643E-4</v>
      </c>
      <c r="CI37">
        <f>0.962*(0.93*0.943*(0.9442 - 0.0007*$B37 - dis_BMI*($C37-21.75)))*BE37</f>
        <v>8.3014195713785471E-4</v>
      </c>
      <c r="CJ37">
        <f t="shared" si="18"/>
        <v>0</v>
      </c>
      <c r="CK37">
        <f t="shared" si="19"/>
        <v>0.41239173978869043</v>
      </c>
      <c r="CL37">
        <f>CK37/(1+r_)^A37</f>
        <v>0.15095389304564366</v>
      </c>
      <c r="CM37">
        <f>AD37*c_LIR_2</f>
        <v>1420.2866119620419</v>
      </c>
      <c r="CN37">
        <f>AE37*(c_Other+c_LIR_2)</f>
        <v>833.22280014790022</v>
      </c>
      <c r="CO37">
        <f>AF37*(c_Stroke1+c_Stroke2+c_LIR_2)</f>
        <v>71.908275999035581</v>
      </c>
      <c r="CP37">
        <f>AG37*(c_Stroke2 + c_LIR_2)</f>
        <v>146.82343491595108</v>
      </c>
      <c r="CQ37">
        <f>AH37*(c_MI1+c_MI2 + c_LIR_2)</f>
        <v>35.422829763412324</v>
      </c>
      <c r="CR37">
        <f>AI37*(c_MI2+c_LIR_2)</f>
        <v>67.763157383016718</v>
      </c>
      <c r="CS37">
        <f>AJ37*(c_Stroke1+c_Stroke2+c_MI2+c_LIR_2)</f>
        <v>2.5544523135138735</v>
      </c>
      <c r="CT37">
        <f>AK37*(c_Stroke2+c_MI1+c_MI2+c_LIR_2)</f>
        <v>2.5313790825101359</v>
      </c>
      <c r="CU37">
        <f>AL37*(c_Stroke2+c_MI2+c_LIR_2)</f>
        <v>3.7647788894263323</v>
      </c>
      <c r="CV37">
        <f>AM37*(c_HF1+c_LIR_2)</f>
        <v>31.789456945414241</v>
      </c>
      <c r="CW37">
        <f>AN37*(c_HF2+c_LIR_2)</f>
        <v>217.63798423269222</v>
      </c>
      <c r="CX37">
        <f>AO37*(c_Stroke2+c_HF1+c_LIR_2)</f>
        <v>2.1404958293961633</v>
      </c>
      <c r="CY37">
        <f>AP37*(c_Stroke1+c_Stroke2+c_HF2+c_LIR_2)</f>
        <v>4.7262975696685761</v>
      </c>
      <c r="CZ37">
        <f>AQ37*(c_Stroke2+c_HF2+c_LIR_2)</f>
        <v>9.7837908178452722</v>
      </c>
      <c r="DA37">
        <f>AR37*(c_DM+c_LIR_2)</f>
        <v>4322.9395394924668</v>
      </c>
      <c r="DB37">
        <f>AS37*(c_Other+c_DM+c_LIR_2)</f>
        <v>2999.5869797830428</v>
      </c>
      <c r="DC37">
        <f>AT37*(c_Stroke1+c_Stroke2+c_DM+c_LIR_2)</f>
        <v>271.11002949532752</v>
      </c>
      <c r="DD37">
        <f>AU37*(c_Stroke2+c_DM+c_LIR_2)</f>
        <v>639.8816072475397</v>
      </c>
      <c r="DE37">
        <f>AV37*(c_MI1+c_MI2+c_DM+c_LIR_2)</f>
        <v>133.94436049679115</v>
      </c>
      <c r="DF37">
        <f>AW37*(c_MI2+c_DM+c_LIR_2)</f>
        <v>340.11905191651874</v>
      </c>
      <c r="DG37">
        <f>AX37*(c_Stroke1+c_Stroke2+c_MI2+c_DM+c_LIR_2)</f>
        <v>15.342272742093014</v>
      </c>
      <c r="DH37">
        <f>AY37*(c_Stroke2+c_MI1+c_MI2+c_DM+c_LIR_2)</f>
        <v>14.400292968060452</v>
      </c>
      <c r="DI37">
        <f>AZ37*(c_Stroke2+c_MI2+c_DM+c_LIR_2)</f>
        <v>24.434777699752871</v>
      </c>
      <c r="DJ37">
        <f>BA37*(c_HF1+c_DM+c_LIR_2)</f>
        <v>119.94802644100864</v>
      </c>
      <c r="DK37">
        <f>BB37*(c_HF2+c_DM+c_LIR_2)</f>
        <v>839.55380163665461</v>
      </c>
      <c r="DL37">
        <f>BC37*(c_Stroke2+c_HF1+c_DM+c_LIR_2)</f>
        <v>12.066883927053143</v>
      </c>
      <c r="DM37">
        <f>BD37*(c_Stroke1+c_Stroke2+c_HF2+c_DM+c_LIR_2)</f>
        <v>25.679709875191559</v>
      </c>
      <c r="DN37">
        <f>BE37*(c_Stroke2+c_HF2+c_DM+c_LIR_2)</f>
        <v>52.955079935524957</v>
      </c>
      <c r="DO37">
        <f t="shared" si="5"/>
        <v>0</v>
      </c>
      <c r="DP37">
        <f t="shared" si="38"/>
        <v>12662.318159508852</v>
      </c>
      <c r="DQ37">
        <f>DP37/(1+r_)^A37</f>
        <v>4634.9769812068153</v>
      </c>
    </row>
    <row r="38" spans="1:121" x14ac:dyDescent="0.3">
      <c r="A38">
        <v>35</v>
      </c>
      <c r="B38">
        <v>80</v>
      </c>
      <c r="C38">
        <f t="shared" si="39"/>
        <v>36.1</v>
      </c>
      <c r="D38">
        <f t="shared" si="1"/>
        <v>125</v>
      </c>
      <c r="E38">
        <f t="shared" si="40"/>
        <v>5.5</v>
      </c>
      <c r="F38">
        <v>3.9690000000000003E-2</v>
      </c>
      <c r="G38">
        <v>5.457E-2</v>
      </c>
      <c r="H38">
        <f t="shared" si="3"/>
        <v>4.2666000000000003E-2</v>
      </c>
      <c r="I38">
        <f t="shared" si="20"/>
        <v>3.2286349135090861E-2</v>
      </c>
      <c r="J38">
        <f t="shared" si="21"/>
        <v>0.32674784532853018</v>
      </c>
      <c r="K38">
        <f t="shared" si="22"/>
        <v>0.42540158795642102</v>
      </c>
      <c r="L38">
        <f t="shared" si="23"/>
        <v>0.17079951718150854</v>
      </c>
      <c r="M38">
        <f t="shared" si="24"/>
        <v>0.23072185376504395</v>
      </c>
      <c r="N38">
        <f t="shared" si="25"/>
        <v>0.66161565699516434</v>
      </c>
      <c r="O38">
        <f t="shared" si="26"/>
        <v>0.78369731486343119</v>
      </c>
      <c r="P38">
        <f t="shared" si="27"/>
        <v>0.41315747818062754</v>
      </c>
      <c r="Q38">
        <f t="shared" si="28"/>
        <v>0.52910557435159788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2.6834981093970773E-2</v>
      </c>
      <c r="U38">
        <f t="shared" si="29"/>
        <v>0.5772712203335757</v>
      </c>
      <c r="V38">
        <f t="shared" si="30"/>
        <v>0.7005648404970769</v>
      </c>
      <c r="W38">
        <f t="shared" si="31"/>
        <v>0.33476039708703798</v>
      </c>
      <c r="X38">
        <f t="shared" si="32"/>
        <v>0.43495589611883567</v>
      </c>
      <c r="Y38">
        <f t="shared" si="33"/>
        <v>0.84179519758339483</v>
      </c>
      <c r="Z38">
        <f t="shared" si="34"/>
        <v>0.92612350978693492</v>
      </c>
      <c r="AA38">
        <f t="shared" si="35"/>
        <v>0.59625784665407</v>
      </c>
      <c r="AB38">
        <f t="shared" si="36"/>
        <v>0.72239361560291415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4.5096647306651569E-2</v>
      </c>
      <c r="AD38">
        <f t="shared" si="37"/>
        <v>0.10936561229746283</v>
      </c>
      <c r="AE38">
        <f t="shared" si="6"/>
        <v>3.0034772333109739E-2</v>
      </c>
      <c r="AF38">
        <f t="shared" si="7"/>
        <v>1.8910925142415821E-3</v>
      </c>
      <c r="AG38">
        <f t="shared" si="8"/>
        <v>7.3500660195429937E-3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8.066688377191424E-4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4.0896892239276721E-3</v>
      </c>
      <c r="AJ38">
        <f t="shared" si="11"/>
        <v>6.0530456661961153E-5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5.0254079792671389E-5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1.5363940673827778E-4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7.5123384492119943E-4</v>
      </c>
      <c r="AN38">
        <f t="shared" si="15"/>
        <v>7.8490539568550847E-3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4.3535210733237727E-5</v>
      </c>
      <c r="AP38">
        <f>AM37*T37*p_Stroke*p_Stroke_rec*(1-I37) + AN37*T37*p_Stroke*p_Stroke_rec*(1-I37) + AO37*(p_recur_Stroke*p_Stroke_rec)*(1-I37) + AP37*(p_recur_Stroke*p_Stroke_rec)*(1-I37) + AQ37*(p_recur_Stroke*p_Stroke_rec)*(1-I37)</f>
        <v>9.2644566232379089E-5</v>
      </c>
      <c r="AQ38">
        <f>AO37*(1-p_recur_Stroke-H37*rr_Stroke*rr_HF)*(1-I37) + AP37*(1-p_recur_Stroke-H37*rr_Stroke*rr_HF)*(1-I37) + AQ37*(1-p_recur_Stroke-H37*rr_Stroke*rr_HF)*(1-I37)</f>
        <v>2.7479618685082908E-4</v>
      </c>
      <c r="AR38">
        <f>AR37*(1-AC37-H37*rr_DM) + AD37*(1-T37-H37)*I37</f>
        <v>0.17370853162558453</v>
      </c>
      <c r="AS38">
        <f>AR37*AC37*p_Other + AD37*T37*p_Other*I37 + AE37*(1-T37*p_Stroke-T37*p_MI-H37*rr_Other)*I37 + AS37*(1-AC37*p_Stroke-AC37*p_MI-H37*rr_Other*rr_DM)</f>
        <v>7.7324350883260826E-2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5.5641606666409008E-3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2.027328543928518E-2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2.4595203412416345E-3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1.2009210541839125E-2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2.8947916827765232E-4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2.3694704556397999E-4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6.6459790186279696E-4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2.2642190442838158E-3</v>
      </c>
      <c r="BB38">
        <f>AM37*(1-T37*p_Stroke - H37*rr_HF)*I37 + AN37*(1-T37*p_Stroke - H37*rr_HF)*I37 + BA37*(1-AC37*p_Stroke - H37*rr_HF*rr_DM) + BB37*(1-AC37*p_Stroke - H37*rr_HF*rr_DM)</f>
        <v>2.2131687797808181E-2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2.0182219604477931E-4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4.2497796391810277E-4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1.138382450030843E-3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0.46049523799956793</v>
      </c>
      <c r="BG38">
        <f t="shared" si="17"/>
        <v>0.94199999999999984</v>
      </c>
      <c r="BH38">
        <f>(0.9442 - 0.0007*$B38 - dis_BMI*($C38-21.75))*AD38</f>
        <v>9.195952827226013E-2</v>
      </c>
      <c r="BI38">
        <f>0.959*(0.9442 - 0.0007*$B38 - dis_BMI*($C38-21.75))*AE38</f>
        <v>2.4219150028593876E-2</v>
      </c>
      <c r="BJ38">
        <f>(0.943*(0.9442 - 0.0007*$B38 - dis_BMI*($C38-21.75)) - 0.19*0.5)*AF38</f>
        <v>1.3198253022316771E-3</v>
      </c>
      <c r="BK38">
        <f>(0.943*(0.9442 - 0.0007*$B38 - dis_BMI*($C38-21.75)))*AG38</f>
        <v>5.8279910852570777E-3</v>
      </c>
      <c r="BL38">
        <f>(0.955*(0.9442 - 0.0007*$B38 - dis_BMI*($C38-21.75)) - 0.15*0.5)*AH38</f>
        <v>5.8726054037467874E-4</v>
      </c>
      <c r="BM38">
        <f>(0.955*(0.9442 - 0.0007*$B38 - dis_BMI*($C38-21.75)))*AI38</f>
        <v>3.2840489723962572E-3</v>
      </c>
      <c r="BN38">
        <f>(0.955*0.943*(0.9442 - 0.0007*$B38 - dis_BMI*($C38-21.75)) - 0.19*0.5)*AJ38</f>
        <v>4.0085421919332778E-5</v>
      </c>
      <c r="BO38">
        <f>(0.955*0.943*(0.9442 - 0.0007*$B38 - dis_BMI*($C38-21.75)) - 0.15*0.5)*AK38</f>
        <v>3.4285121145315189E-5</v>
      </c>
      <c r="BP38">
        <f>(0.955*0.943*(0.9442 - 0.0007*$B38 - dis_BMI*($C38-21.75)))*AL38</f>
        <v>1.163412248766942E-4</v>
      </c>
      <c r="BQ38">
        <f>(0.93*(0.9442 - 0.0007*$B38 - dis_BMI*($C38-21.75)))*AM38</f>
        <v>5.8745423676947236E-4</v>
      </c>
      <c r="BR38">
        <f>(0.93*(0.9442 - 0.0007*$B38 - dis_BMI*($C38-21.75)))*AN38</f>
        <v>6.1378491301471863E-3</v>
      </c>
      <c r="BS38">
        <f>(0.93*0.943*(0.9442 - 0.0007*$B38 - dis_BMI*($C38-21.75)))*AO38</f>
        <v>3.2103415400260902E-5</v>
      </c>
      <c r="BT38">
        <f>(0.93*0.943*(0.9442 - 0.0007*$B38 - dis_BMI*($C38-21.75))-0.19*0.5)*AP38</f>
        <v>5.9516041908265077E-5</v>
      </c>
      <c r="BU38">
        <f>(0.93*0.943*(0.9442 - 0.0007*$B38 - dis_BMI*($C38-21.75)))*AQ38</f>
        <v>2.0263818615548005E-4</v>
      </c>
      <c r="BV38">
        <f>0.962*(0.9442 - 0.0007*$B38 - dis_BMI*($C38-21.75))*AR38</f>
        <v>0.14051159616427547</v>
      </c>
      <c r="BW38">
        <f>0.962*0.959*(0.9442 - 0.0007*$B38 - dis_BMI*($C38-21.75))*AS38</f>
        <v>5.998268582954816E-2</v>
      </c>
      <c r="BX38">
        <f>0.962*(0.943*(0.9442 - 0.0007*$B38 - dis_BMI*($C38-21.75)) - 0.19*0.5)*AT38</f>
        <v>3.735755188621554E-3</v>
      </c>
      <c r="BY38">
        <f>0.962*(0.943*(0.9442 - 0.0007*$B38 - dis_BMI*($C38-21.75)))*AU38</f>
        <v>1.5464178211197943E-2</v>
      </c>
      <c r="BZ38">
        <f>0.962*(0.955*(0.9442 - 0.0007*$B38 - dis_BMI*($C38-21.75)) - 0.15*0.5)*AV38</f>
        <v>1.7225071409623152E-3</v>
      </c>
      <c r="CA38">
        <f>0.962*(0.955*(0.9442 - 0.0007*$B38 - dis_BMI*($C38-21.75)))*AW38</f>
        <v>9.2770275958254135E-3</v>
      </c>
      <c r="CB38">
        <f>0.962*(0.955*0.943*(0.9442 - 0.0007*$B38 - dis_BMI*($C38-21.75)) - 0.19*0.5)*AX38</f>
        <v>1.8441867479889913E-4</v>
      </c>
      <c r="CC38">
        <f>0.962*(0.955*0.943*(0.9442 - 0.0007*$B38 - dis_BMI*($C38-21.75)) - 0.15*0.5)*AY38</f>
        <v>1.5551086368040904E-4</v>
      </c>
      <c r="CD38">
        <f>0.962*(0.955*0.943*(0.9442 - 0.0007*$B38 - dis_BMI*($C38-21.75)))*AZ38</f>
        <v>4.8413340328556275E-4</v>
      </c>
      <c r="CE38">
        <f>0.962*(0.93*(0.9442 - 0.0007*$B38 - dis_BMI*($C38-21.75)))*BA38</f>
        <v>1.7033049382811096E-3</v>
      </c>
      <c r="CF38">
        <f>0.962*(0.93*(0.9442 - 0.0007*$B38 - dis_BMI*($C38-21.75)))*BB38</f>
        <v>1.664901336011252E-2</v>
      </c>
      <c r="CG38">
        <f>0.962*(0.93*0.943*(0.9442 - 0.0007*$B38 - dis_BMI*($C38-21.75)))*BC38</f>
        <v>1.4317084455016244E-4</v>
      </c>
      <c r="CH38">
        <f>0.962*(0.93*0.943*(0.9442 - 0.0007*$B38 - dis_BMI*($C38-21.75))-0.19*0.5)*BD38</f>
        <v>2.6263679631035659E-4</v>
      </c>
      <c r="CI38">
        <f>0.962*(0.93*0.943*(0.9442 - 0.0007*$B38 - dis_BMI*($C38-21.75)))*BE38</f>
        <v>8.0755823683455012E-4</v>
      </c>
      <c r="CJ38">
        <f t="shared" si="18"/>
        <v>0</v>
      </c>
      <c r="CK38">
        <f t="shared" si="19"/>
        <v>0.38549157422772029</v>
      </c>
      <c r="CL38">
        <f>CK38/(1+r_)^A38</f>
        <v>0.13699730547555142</v>
      </c>
      <c r="CM38">
        <f>AD38*c_LIR_2</f>
        <v>1286.1396006181628</v>
      </c>
      <c r="CN38">
        <f>AE38*(c_Other+c_LIR_2)</f>
        <v>782.07543678184447</v>
      </c>
      <c r="CO38">
        <f>AF38*(c_Stroke1+c_Stroke2+c_LIR_2)</f>
        <v>67.277507286658519</v>
      </c>
      <c r="CP38">
        <f>AG38*(c_Stroke2 + c_LIR_2)</f>
        <v>134.21220551685508</v>
      </c>
      <c r="CQ38">
        <f>AH38*(c_MI1+c_MI2 + c_LIR_2)</f>
        <v>33.001628819927838</v>
      </c>
      <c r="CR38">
        <f>AI38*(c_MI2+c_LIR_2)</f>
        <v>60.842306584371975</v>
      </c>
      <c r="CS38">
        <f>AJ38*(c_Stroke1+c_Stroke2+c_MI2+c_LIR_2)</f>
        <v>2.3421049596212629</v>
      </c>
      <c r="CT38">
        <f>AK38*(c_Stroke2+c_MI1+c_MI2+c_LIR_2)</f>
        <v>2.3825961770503432</v>
      </c>
      <c r="CU38">
        <f>AL38*(c_Stroke2+c_MI2+c_LIR_2)</f>
        <v>3.2843495978441641</v>
      </c>
      <c r="CV38">
        <f>AM38*(c_HF1+c_LIR_2)</f>
        <v>29.140360844493326</v>
      </c>
      <c r="CW38">
        <f>AN38*(c_HF2+c_LIR_2)</f>
        <v>214.7893615293394</v>
      </c>
      <c r="CX38">
        <f>AO38*(c_Stroke2+c_HF1+c_LIR_2)</f>
        <v>1.9717096941083367</v>
      </c>
      <c r="CY38">
        <f>AP38*(c_Stroke1+c_Stroke2+c_HF2+c_LIR_2)</f>
        <v>4.7416415443393944</v>
      </c>
      <c r="CZ38">
        <f>AQ38*(c_Stroke2+c_HF2+c_LIR_2)</f>
        <v>9.3059728677033267</v>
      </c>
      <c r="DA38">
        <f>AR38*(c_DM+c_LIR_2)</f>
        <v>4027.4323057391771</v>
      </c>
      <c r="DB38">
        <f>AS38*(c_Other+c_DM+c_LIR_2)</f>
        <v>2896.8794814904836</v>
      </c>
      <c r="DC38">
        <f>AT38*(c_Stroke1+c_Stroke2+c_DM+c_LIR_2)</f>
        <v>261.52111549278897</v>
      </c>
      <c r="DD38">
        <f>AU38*(c_Stroke2+c_DM+c_LIR_2)</f>
        <v>601.81247826518052</v>
      </c>
      <c r="DE38">
        <f>AV38*(c_MI1+c_MI2+c_DM+c_LIR_2)</f>
        <v>128.72145657922218</v>
      </c>
      <c r="DF38">
        <f>AW38*(c_MI2+c_DM+c_LIR_2)</f>
        <v>315.86625567145268</v>
      </c>
      <c r="DG38">
        <f>AX38*(c_Stroke1+c_Stroke2+c_MI2+c_DM+c_LIR_2)</f>
        <v>14.508116955739379</v>
      </c>
      <c r="DH38">
        <f>AY38*(c_Stroke2+c_MI1+c_MI2+c_DM+c_LIR_2)</f>
        <v>13.941016372802327</v>
      </c>
      <c r="DI38">
        <f>AZ38*(c_Stroke2+c_MI2+c_DM+c_LIR_2)</f>
        <v>21.800140376903467</v>
      </c>
      <c r="DJ38">
        <f>BA38*(c_HF1+c_DM+c_LIR_2)</f>
        <v>113.69775930871181</v>
      </c>
      <c r="DK38">
        <f>BB38*(c_HF2+c_DM+c_LIR_2)</f>
        <v>858.4881696769794</v>
      </c>
      <c r="DL38">
        <f>BC38*(c_Stroke2+c_HF1+c_DM+c_LIR_2)</f>
        <v>11.446345848679659</v>
      </c>
      <c r="DM38">
        <f>BD38*(c_Stroke1+c_Stroke2+c_HF2+c_DM+c_LIR_2)</f>
        <v>26.606170409056741</v>
      </c>
      <c r="DN38">
        <f>BE38*(c_Stroke2+c_HF2+c_DM+c_LIR_2)</f>
        <v>51.557341161896879</v>
      </c>
      <c r="DO38">
        <f t="shared" si="5"/>
        <v>0</v>
      </c>
      <c r="DP38">
        <f t="shared" si="38"/>
        <v>11975.784936171396</v>
      </c>
      <c r="DQ38">
        <f>DP38/(1+r_)^A38</f>
        <v>4255.9951420390917</v>
      </c>
    </row>
    <row r="39" spans="1:121" x14ac:dyDescent="0.3">
      <c r="A39">
        <v>36</v>
      </c>
      <c r="B39">
        <v>81</v>
      </c>
      <c r="C39">
        <f t="shared" si="39"/>
        <v>36.1</v>
      </c>
      <c r="D39">
        <f t="shared" si="1"/>
        <v>125</v>
      </c>
      <c r="E39">
        <f t="shared" si="40"/>
        <v>5.5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0"/>
        <v>3.2286349135090861E-2</v>
      </c>
      <c r="J39">
        <f t="shared" si="21"/>
        <v>0.3358434747109853</v>
      </c>
      <c r="K39">
        <f t="shared" si="22"/>
        <v>0.43624385684384337</v>
      </c>
      <c r="L39">
        <f t="shared" si="23"/>
        <v>0.17612175827587429</v>
      </c>
      <c r="M39">
        <f t="shared" si="24"/>
        <v>0.23762806037712603</v>
      </c>
      <c r="N39">
        <f t="shared" si="25"/>
        <v>0.67576829174837649</v>
      </c>
      <c r="O39">
        <f t="shared" si="26"/>
        <v>0.79636884796822749</v>
      </c>
      <c r="P39">
        <f t="shared" si="27"/>
        <v>0.42536157299419342</v>
      </c>
      <c r="Q39">
        <f t="shared" si="28"/>
        <v>0.54288304874172566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2.7586816455321624E-2</v>
      </c>
      <c r="U39">
        <f t="shared" si="29"/>
        <v>0.58960156848111911</v>
      </c>
      <c r="V39">
        <f t="shared" si="30"/>
        <v>0.7127249537636382</v>
      </c>
      <c r="W39">
        <f t="shared" si="31"/>
        <v>0.3440178504748691</v>
      </c>
      <c r="X39">
        <f t="shared" si="32"/>
        <v>0.4459373776287584</v>
      </c>
      <c r="Y39">
        <f t="shared" si="33"/>
        <v>0.85288875288446231</v>
      </c>
      <c r="Z39">
        <f t="shared" si="34"/>
        <v>0.93333577336199547</v>
      </c>
      <c r="AA39">
        <f t="shared" si="35"/>
        <v>0.61044098138521052</v>
      </c>
      <c r="AB39">
        <f t="shared" si="36"/>
        <v>0.73607255325947063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4.6134409725311062E-2</v>
      </c>
      <c r="AD39">
        <f t="shared" si="37"/>
        <v>9.8478987702865922E-2</v>
      </c>
      <c r="AE39">
        <f t="shared" si="6"/>
        <v>2.7919944556971426E-2</v>
      </c>
      <c r="AF39">
        <f t="shared" si="7"/>
        <v>1.7532828805638147E-3</v>
      </c>
      <c r="AG39">
        <f t="shared" si="8"/>
        <v>6.6226024507815406E-3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7.4817816817524571E-4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3.6594421487158796E-3</v>
      </c>
      <c r="AJ39">
        <f t="shared" si="11"/>
        <v>5.5155134851100091E-5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4.6785397520030016E-5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1.3175592927842041E-4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6.8659516033305198E-4</v>
      </c>
      <c r="AN39">
        <f t="shared" si="15"/>
        <v>7.6249795726905257E-3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3.9701740325047419E-5</v>
      </c>
      <c r="AP39">
        <f>AM38*T38*p_Stroke*p_Stroke_rec*(1-I38) + AN38*T38*p_Stroke*p_Stroke_rec*(1-I38) + AO38*(p_recur_Stroke*p_Stroke_rec)*(1-I38) + AP38*(p_recur_Stroke*p_Stroke_rec)*(1-I38) + AQ38*(p_recur_Stroke*p_Stroke_rec)*(1-I38)</f>
        <v>9.1165018454191556E-5</v>
      </c>
      <c r="AQ39">
        <f>AO38*(1-p_recur_Stroke-H38*rr_Stroke*rr_HF)*(1-I38) + AP38*(1-p_recur_Stroke-H38*rr_Stroke*rr_HF)*(1-I38) + AQ38*(1-p_recur_Stroke-H38*rr_Stroke*rr_HF)*(1-I38)</f>
        <v>2.5331905409229196E-4</v>
      </c>
      <c r="AR39">
        <f>AR38*(1-AC38-H38*rr_DM) + AD38*(1-T38-H38)*I38</f>
        <v>0.16063730104080184</v>
      </c>
      <c r="AS39">
        <f>AR38*AC38*p_Other + AD38*T38*p_Other*I38 + AE38*(1-T38*p_Stroke-T38*p_MI-H38*rr_Other)*I38 + AS38*(1-AC38*p_Stroke-AC38*p_MI-H38*rr_Other*rr_DM)</f>
        <v>7.3786618877392032E-2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5.3064186392364314E-3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1.8733547403339851E-2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2.34783969945416E-3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1.1089442737018828E-2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2.7139638195934098E-4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2.2623684655341878E-4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5.7995764986380305E-4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2.1352082566633759E-3</v>
      </c>
      <c r="BB39">
        <f>AM38*(1-T38*p_Stroke - H38*rr_HF)*I38 + AN38*(1-T38*p_Stroke - H38*rr_HF)*I38 + BA38*(1-AC38*p_Stroke - H38*rr_HF*rr_DM) + BB38*(1-AC38*p_Stroke - H38*rr_HF*rr_DM)</f>
        <v>2.2218710223863257E-2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1.8895797158257453E-4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4.3071448266278296E-4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1.0684282325653677E-3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0.4948673266414243</v>
      </c>
      <c r="BG39">
        <f t="shared" si="17"/>
        <v>0.94199999999999995</v>
      </c>
      <c r="BH39">
        <f>(0.9442 - 0.0007*$B39 - dis_BMI*($C39-21.75))*AD39</f>
        <v>8.2736629123624297E-2</v>
      </c>
      <c r="BI39">
        <f>0.959*(0.9442 - 0.0007*$B39 - dis_BMI*($C39-21.75))*AE39</f>
        <v>2.2495072945204274E-2</v>
      </c>
      <c r="BJ39">
        <f>(0.943*(0.9442 - 0.0007*$B39 - dis_BMI*($C39-21.75)) - 0.19*0.5)*AF39</f>
        <v>1.2224882968333204E-3</v>
      </c>
      <c r="BK39">
        <f>(0.943*(0.9442 - 0.0007*$B39 - dis_BMI*($C39-21.75)))*AG39</f>
        <v>5.2468013948591807E-3</v>
      </c>
      <c r="BL39">
        <f>(0.955*(0.9442 - 0.0007*$B39 - dis_BMI*($C39-21.75)) - 0.15*0.5)*AH39</f>
        <v>5.4417876786887675E-4</v>
      </c>
      <c r="BM39">
        <f>(0.955*(0.9442 - 0.0007*$B39 - dis_BMI*($C39-21.75)))*AI39</f>
        <v>2.936111232951422E-3</v>
      </c>
      <c r="BN39">
        <f>(0.955*0.943*(0.9442 - 0.0007*$B39 - dis_BMI*($C39-21.75)) - 0.19*0.5)*AJ39</f>
        <v>3.649092302725999E-5</v>
      </c>
      <c r="BO39">
        <f>(0.955*0.943*(0.9442 - 0.0007*$B39 - dis_BMI*($C39-21.75)) - 0.15*0.5)*AK39</f>
        <v>3.1889169388073506E-5</v>
      </c>
      <c r="BP39">
        <f>(0.955*0.943*(0.9442 - 0.0007*$B39 - dis_BMI*($C39-21.75)))*AL39</f>
        <v>9.9687218841396715E-5</v>
      </c>
      <c r="BQ39">
        <f>(0.93*(0.9442 - 0.0007*$B39 - dis_BMI*($C39-21.75)))*AM39</f>
        <v>5.3646072660955117E-4</v>
      </c>
      <c r="BR39">
        <f>(0.93*(0.9442 - 0.0007*$B39 - dis_BMI*($C39-21.75)))*AN39</f>
        <v>5.957662270681216E-3</v>
      </c>
      <c r="BS39">
        <f>(0.93*0.943*(0.9442 - 0.0007*$B39 - dis_BMI*($C39-21.75)))*AO39</f>
        <v>2.9252193182278117E-5</v>
      </c>
      <c r="BT39">
        <f>(0.93*0.943*(0.9442 - 0.0007*$B39 - dis_BMI*($C39-21.75))-0.19*0.5)*AP39</f>
        <v>5.8509596122913082E-5</v>
      </c>
      <c r="BU39">
        <f>(0.93*0.943*(0.9442 - 0.0007*$B39 - dis_BMI*($C39-21.75)))*AQ39</f>
        <v>1.8664516583885631E-4</v>
      </c>
      <c r="BV39">
        <f>0.962*(0.9442 - 0.0007*$B39 - dis_BMI*($C39-21.75))*AR39</f>
        <v>0.12983019752217334</v>
      </c>
      <c r="BW39">
        <f>0.962*0.959*(0.9442 - 0.0007*$B39 - dis_BMI*($C39-21.75))*AS39</f>
        <v>5.7190716355315842E-2</v>
      </c>
      <c r="BX39">
        <f>0.962*(0.943*(0.9442 - 0.0007*$B39 - dis_BMI*($C39-21.75)) - 0.19*0.5)*AT39</f>
        <v>3.5593385618095255E-3</v>
      </c>
      <c r="BY39">
        <f>0.962*(0.943*(0.9442 - 0.0007*$B39 - dis_BMI*($C39-21.75)))*AU39</f>
        <v>1.4277791494909722E-2</v>
      </c>
      <c r="BZ39">
        <f>0.962*(0.955*(0.9442 - 0.0007*$B39 - dis_BMI*($C39-21.75)) - 0.15*0.5)*AV39</f>
        <v>1.6427825289767202E-3</v>
      </c>
      <c r="CA39">
        <f>0.962*(0.955*(0.9442 - 0.0007*$B39 - dis_BMI*($C39-21.75)))*AW39</f>
        <v>8.5593820843991707E-3</v>
      </c>
      <c r="CB39">
        <f>0.962*(0.955*0.943*(0.9442 - 0.0007*$B39 - dis_BMI*($C39-21.75)) - 0.19*0.5)*AX39</f>
        <v>1.7273407705891672E-4</v>
      </c>
      <c r="CC39">
        <f>0.962*(0.955*0.943*(0.9442 - 0.0007*$B39 - dis_BMI*($C39-21.75)) - 0.15*0.5)*AY39</f>
        <v>1.4834444708896043E-4</v>
      </c>
      <c r="CD39">
        <f>0.962*(0.955*0.943*(0.9442 - 0.0007*$B39 - dis_BMI*($C39-21.75)))*AZ39</f>
        <v>4.2212460258300624E-4</v>
      </c>
      <c r="CE39">
        <f>0.962*(0.93*(0.9442 - 0.0007*$B39 - dis_BMI*($C39-21.75)))*BA39</f>
        <v>1.6049167432671642E-3</v>
      </c>
      <c r="CF39">
        <f>0.962*(0.93*(0.9442 - 0.0007*$B39 - dis_BMI*($C39-21.75)))*BB39</f>
        <v>1.6700563020397349E-2</v>
      </c>
      <c r="CG39">
        <f>0.962*(0.93*0.943*(0.9442 - 0.0007*$B39 - dis_BMI*($C39-21.75)))*BC39</f>
        <v>1.3393348783160858E-4</v>
      </c>
      <c r="CH39">
        <f>0.962*(0.93*0.943*(0.9442 - 0.0007*$B39 - dis_BMI*($C39-21.75))-0.19*0.5)*BD39</f>
        <v>2.6592760556424204E-4</v>
      </c>
      <c r="CI39">
        <f>0.962*(0.93*0.943*(0.9442 - 0.0007*$B39 - dis_BMI*($C39-21.75)))*BE39</f>
        <v>7.5730236986962392E-4</v>
      </c>
      <c r="CJ39">
        <f t="shared" si="18"/>
        <v>0</v>
      </c>
      <c r="CK39">
        <f t="shared" si="19"/>
        <v>0.3573839339262781</v>
      </c>
      <c r="CL39">
        <f>CK39/(1+r_)^A39</f>
        <v>0.12330904539888245</v>
      </c>
      <c r="CM39">
        <f>AD39*c_LIR_2</f>
        <v>1158.1128953857033</v>
      </c>
      <c r="CN39">
        <f>AE39*(c_Other+c_LIR_2)</f>
        <v>727.00743631897899</v>
      </c>
      <c r="CO39">
        <f>AF39*(c_Stroke1+c_Stroke2+c_LIR_2)</f>
        <v>62.374791758938272</v>
      </c>
      <c r="CP39">
        <f>AG39*(c_Stroke2 + c_LIR_2)</f>
        <v>120.92872075127093</v>
      </c>
      <c r="CQ39">
        <f>AH39*(c_MI1+c_MI2 + c_LIR_2)</f>
        <v>30.608717038217478</v>
      </c>
      <c r="CR39">
        <f>AI39*(c_MI2+c_LIR_2)</f>
        <v>54.441520846446139</v>
      </c>
      <c r="CS39">
        <f>AJ39*(c_Stroke1+c_Stroke2+c_MI2+c_LIR_2)</f>
        <v>2.134117632793616</v>
      </c>
      <c r="CT39">
        <f>AK39*(c_Stroke2+c_MI1+c_MI2+c_LIR_2)</f>
        <v>2.2181424818221429</v>
      </c>
      <c r="CU39">
        <f>AL39*(c_Stroke2+c_MI2+c_LIR_2)</f>
        <v>2.8165465001847929</v>
      </c>
      <c r="CV39">
        <f>AM39*(c_HF1+c_LIR_2)</f>
        <v>26.633026269319085</v>
      </c>
      <c r="CW39">
        <f>AN39*(c_HF2+c_LIR_2)</f>
        <v>208.65756600667623</v>
      </c>
      <c r="CX39">
        <f>AO39*(c_Stroke2+c_HF1+c_LIR_2)</f>
        <v>1.7980918193213975</v>
      </c>
      <c r="CY39">
        <f>AP39*(c_Stroke1+c_Stroke2+c_HF2+c_LIR_2)</f>
        <v>4.6659168095039778</v>
      </c>
      <c r="CZ39">
        <f>AQ39*(c_Stroke2+c_HF2+c_LIR_2)</f>
        <v>8.5786497668354667</v>
      </c>
      <c r="DA39">
        <f>AR39*(c_DM+c_LIR_2)</f>
        <v>3724.3758246309908</v>
      </c>
      <c r="DB39">
        <f>AS39*(c_Other+c_DM+c_LIR_2)</f>
        <v>2764.3418896226149</v>
      </c>
      <c r="DC39">
        <f>AT39*(c_Stroke1+c_Stroke2+c_DM+c_LIR_2)</f>
        <v>249.4069824627515</v>
      </c>
      <c r="DD39">
        <f>AU39*(c_Stroke2+c_DM+c_LIR_2)</f>
        <v>556.10535466814349</v>
      </c>
      <c r="DE39">
        <f>AV39*(c_MI1+c_MI2+c_DM+c_LIR_2)</f>
        <v>122.87653851063291</v>
      </c>
      <c r="DF39">
        <f>AW39*(c_MI2+c_DM+c_LIR_2)</f>
        <v>291.67452286906922</v>
      </c>
      <c r="DG39">
        <f>AX39*(c_Stroke1+c_Stroke2+c_MI2+c_DM+c_LIR_2)</f>
        <v>13.601843871038252</v>
      </c>
      <c r="DH39">
        <f>AY39*(c_Stroke2+c_MI1+c_MI2+c_DM+c_LIR_2)</f>
        <v>13.310871103816947</v>
      </c>
      <c r="DI39">
        <f>AZ39*(c_Stroke2+c_MI2+c_DM+c_LIR_2)</f>
        <v>19.023770830832468</v>
      </c>
      <c r="DJ39">
        <f>BA39*(c_HF1+c_DM+c_LIR_2)</f>
        <v>107.21948260835141</v>
      </c>
      <c r="DK39">
        <f>BB39*(c_HF2+c_DM+c_LIR_2)</f>
        <v>861.86376958365577</v>
      </c>
      <c r="DL39">
        <f>BC39*(c_Stroke2+c_HF1+c_DM+c_LIR_2)</f>
        <v>10.716751358305714</v>
      </c>
      <c r="DM39">
        <f>BD39*(c_Stroke1+c_Stroke2+c_HF2+c_DM+c_LIR_2)</f>
        <v>26.965310901586189</v>
      </c>
      <c r="DN39">
        <f>BE39*(c_Stroke2+c_HF2+c_DM+c_LIR_2)</f>
        <v>48.389114652885503</v>
      </c>
      <c r="DO39">
        <f t="shared" si="5"/>
        <v>0</v>
      </c>
      <c r="DP39">
        <f t="shared" si="38"/>
        <v>11220.848167060685</v>
      </c>
      <c r="DQ39">
        <f>DP39/(1+r_)^A39</f>
        <v>3871.5564542738271</v>
      </c>
    </row>
    <row r="40" spans="1:121" x14ac:dyDescent="0.3">
      <c r="A40">
        <v>37</v>
      </c>
      <c r="B40">
        <v>82</v>
      </c>
      <c r="C40">
        <f t="shared" si="39"/>
        <v>36.1</v>
      </c>
      <c r="D40">
        <f t="shared" si="1"/>
        <v>125</v>
      </c>
      <c r="E40">
        <f t="shared" si="40"/>
        <v>5.5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0"/>
        <v>3.2286349135090861E-2</v>
      </c>
      <c r="J40">
        <f t="shared" si="21"/>
        <v>0.34500757826863593</v>
      </c>
      <c r="K40">
        <f t="shared" si="22"/>
        <v>0.44710777077465169</v>
      </c>
      <c r="L40">
        <f t="shared" si="23"/>
        <v>0.181523027949409</v>
      </c>
      <c r="M40">
        <f t="shared" si="24"/>
        <v>0.24461857116586161</v>
      </c>
      <c r="N40">
        <f t="shared" si="25"/>
        <v>0.68967960935916017</v>
      </c>
      <c r="O40">
        <f t="shared" si="26"/>
        <v>0.80860367156472002</v>
      </c>
      <c r="P40">
        <f t="shared" si="27"/>
        <v>0.43762431672789592</v>
      </c>
      <c r="Q40">
        <f t="shared" si="28"/>
        <v>0.55660554101573245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2.8343440367304049E-2</v>
      </c>
      <c r="U40">
        <f t="shared" si="29"/>
        <v>0.60182546557852046</v>
      </c>
      <c r="V40">
        <f t="shared" si="30"/>
        <v>0.72463651193593903</v>
      </c>
      <c r="W40">
        <f t="shared" si="31"/>
        <v>0.35334111678785196</v>
      </c>
      <c r="X40">
        <f t="shared" si="32"/>
        <v>0.45693437310530283</v>
      </c>
      <c r="Y40">
        <f t="shared" si="33"/>
        <v>0.86346700758487827</v>
      </c>
      <c r="Z40">
        <f t="shared" si="34"/>
        <v>0.94000703572172428</v>
      </c>
      <c r="AA40">
        <f t="shared" si="35"/>
        <v>0.62448096402818709</v>
      </c>
      <c r="AB40">
        <f t="shared" si="36"/>
        <v>0.74941234733813455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4.7167562501494537E-2</v>
      </c>
      <c r="AD40">
        <f t="shared" si="37"/>
        <v>8.8194998717659429E-2</v>
      </c>
      <c r="AE40">
        <f t="shared" si="6"/>
        <v>2.5718254320126453E-2</v>
      </c>
      <c r="AF40">
        <f t="shared" si="7"/>
        <v>1.6088579321524756E-3</v>
      </c>
      <c r="AG40">
        <f t="shared" si="8"/>
        <v>5.8921807614233579E-3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6.9008967821112947E-4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3.2644799712056348E-3</v>
      </c>
      <c r="AJ40">
        <f t="shared" si="11"/>
        <v>4.9865318235349528E-5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4.299981964340006E-5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1.1164050049149397E-4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6.2488164137663082E-4</v>
      </c>
      <c r="AN40">
        <f t="shared" si="15"/>
        <v>7.3047291903395282E-3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3.5766872979226738E-5</v>
      </c>
      <c r="AP40">
        <f>AM39*T39*p_Stroke*p_Stroke_rec*(1-I39) + AN39*T39*p_Stroke*p_Stroke_rec*(1-I39) + AO39*(p_recur_Stroke*p_Stroke_rec)*(1-I39) + AP39*(p_recur_Stroke*p_Stroke_rec)*(1-I39) + AQ39*(p_recur_Stroke*p_Stroke_rec)*(1-I39)</f>
        <v>8.799599617103802E-5</v>
      </c>
      <c r="AQ40">
        <f>AO39*(1-p_recur_Stroke-H39*rr_Stroke*rr_HF)*(1-I39) + AP39*(1-p_recur_Stroke-H39*rr_Stroke*rr_HF)*(1-I39) + AQ39*(1-p_recur_Stroke-H39*rr_Stroke*rr_HF)*(1-I39)</f>
        <v>2.2770756445944485E-4</v>
      </c>
      <c r="AR40">
        <f>AR39*(1-AC39-H39*rr_DM) + AD39*(1-T39-H39)*I39</f>
        <v>0.14749346471245717</v>
      </c>
      <c r="AS40">
        <f>AR39*AC39*p_Other + AD39*T39*p_Other*I39 + AE39*(1-T39*p_Stroke-T39*p_MI-H39*rr_Other)*I39 + AS39*(1-AC39*p_Stroke-AC39*p_MI-H39*rr_Other*rr_DM)</f>
        <v>6.9617433392603317E-2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4.9961453810502335E-3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1.7044049675743106E-2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2.2235268610422353E-3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1.0186327264039979E-2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2.518050196966792E-4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2.1258143927099126E-4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4.9814199880117232E-4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2.0003321011622861E-3</v>
      </c>
      <c r="BB40">
        <f>AM39*(1-T39*p_Stroke - H39*rr_HF)*I39 + AN39*(1-T39*p_Stroke - H39*rr_HF)*I39 + BA39*(1-AC39*p_Stroke - H39*rr_HF*rr_DM) + BB39*(1-AC39*p_Stroke - H39*rr_HF*rr_DM)</f>
        <v>2.1945430384512153E-2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1.7419098751896185E-4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4.2704612650275309E-4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9.7377769424502572E-4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0.53010129867687916</v>
      </c>
      <c r="BG40">
        <f t="shared" si="17"/>
        <v>0.94199999999999973</v>
      </c>
      <c r="BH40">
        <f>(0.9442 - 0.0007*$B40 - dis_BMI*($C40-21.75))*AD40</f>
        <v>7.4034850698545623E-2</v>
      </c>
      <c r="BI40">
        <f>0.959*(0.9442 - 0.0007*$B40 - dis_BMI*($C40-21.75))*AE40</f>
        <v>2.0703908537850448E-2</v>
      </c>
      <c r="BJ40">
        <f>(0.943*(0.9442 - 0.0007*$B40 - dis_BMI*($C40-21.75)) - 0.19*0.5)*AF40</f>
        <v>1.1207250217304728E-3</v>
      </c>
      <c r="BK40">
        <f>(0.943*(0.9442 - 0.0007*$B40 - dis_BMI*($C40-21.75)))*AG40</f>
        <v>4.6642304635544675E-3</v>
      </c>
      <c r="BL40">
        <f>(0.955*(0.9442 - 0.0007*$B40 - dis_BMI*($C40-21.75)) - 0.15*0.5)*AH40</f>
        <v>5.0146744921343946E-4</v>
      </c>
      <c r="BM40">
        <f>(0.955*(0.9442 - 0.0007*$B40 - dis_BMI*($C40-21.75)))*AI40</f>
        <v>2.6170355769044216E-3</v>
      </c>
      <c r="BN40">
        <f>(0.955*0.943*(0.9442 - 0.0007*$B40 - dis_BMI*($C40-21.75)) - 0.19*0.5)*AJ40</f>
        <v>3.2959718070624812E-5</v>
      </c>
      <c r="BO40">
        <f>(0.955*0.943*(0.9442 - 0.0007*$B40 - dis_BMI*($C40-21.75)) - 0.15*0.5)*AK40</f>
        <v>2.9281792997977874E-5</v>
      </c>
      <c r="BP40">
        <f>(0.955*0.943*(0.9442 - 0.0007*$B40 - dis_BMI*($C40-21.75)))*AL40</f>
        <v>8.4397403515437262E-5</v>
      </c>
      <c r="BQ40">
        <f>(0.93*(0.9442 - 0.0007*$B40 - dis_BMI*($C40-21.75)))*AM40</f>
        <v>4.8783500558422752E-4</v>
      </c>
      <c r="BR40">
        <f>(0.93*(0.9442 - 0.0007*$B40 - dis_BMI*($C40-21.75)))*AN40</f>
        <v>5.7026841075216465E-3</v>
      </c>
      <c r="BS40">
        <f>(0.93*0.943*(0.9442 - 0.0007*$B40 - dis_BMI*($C40-21.75)))*AO40</f>
        <v>2.6331030754190331E-5</v>
      </c>
      <c r="BT40">
        <f>(0.93*0.943*(0.9442 - 0.0007*$B40 - dis_BMI*($C40-21.75))-0.19*0.5)*AP40</f>
        <v>5.6421701413845314E-5</v>
      </c>
      <c r="BU40">
        <f>(0.93*0.943*(0.9442 - 0.0007*$B40 - dis_BMI*($C40-21.75)))*AQ40</f>
        <v>1.6763486386483221E-4</v>
      </c>
      <c r="BV40">
        <f>0.962*(0.9442 - 0.0007*$B40 - dis_BMI*($C40-21.75))*AR40</f>
        <v>0.11910777072909776</v>
      </c>
      <c r="BW40">
        <f>0.962*0.959*(0.9442 - 0.0007*$B40 - dis_BMI*($C40-21.75))*AS40</f>
        <v>5.3914295400618914E-2</v>
      </c>
      <c r="BX40">
        <f>0.962*(0.943*(0.9442 - 0.0007*$B40 - dis_BMI*($C40-21.75)) - 0.19*0.5)*AT40</f>
        <v>3.348046734114791E-3</v>
      </c>
      <c r="BY40">
        <f>0.962*(0.943*(0.9442 - 0.0007*$B40 - dis_BMI*($C40-21.75)))*AU40</f>
        <v>1.2979315900027624E-2</v>
      </c>
      <c r="BZ40">
        <f>0.962*(0.955*(0.9442 - 0.0007*$B40 - dis_BMI*($C40-21.75)) - 0.15*0.5)*AV40</f>
        <v>1.5543709406014247E-3</v>
      </c>
      <c r="CA40">
        <f>0.962*(0.955*(0.9442 - 0.0007*$B40 - dis_BMI*($C40-21.75)))*AW40</f>
        <v>7.855761959626768E-3</v>
      </c>
      <c r="CB40">
        <f>0.962*(0.955*0.943*(0.9442 - 0.0007*$B40 - dis_BMI*($C40-21.75)) - 0.19*0.5)*AX40</f>
        <v>1.6011217188839475E-4</v>
      </c>
      <c r="CC40">
        <f>0.962*(0.955*0.943*(0.9442 - 0.0007*$B40 - dis_BMI*($C40-21.75)) - 0.15*0.5)*AY40</f>
        <v>1.3926162139767402E-4</v>
      </c>
      <c r="CD40">
        <f>0.962*(0.955*0.943*(0.9442 - 0.0007*$B40 - dis_BMI*($C40-21.75)))*AZ40</f>
        <v>3.6227264508922332E-4</v>
      </c>
      <c r="CE40">
        <f>0.962*(0.93*(0.9442 - 0.0007*$B40 - dis_BMI*($C40-21.75)))*BA40</f>
        <v>1.5022851413054323E-3</v>
      </c>
      <c r="CF40">
        <f>0.962*(0.93*(0.9442 - 0.0007*$B40 - dis_BMI*($C40-21.75)))*BB40</f>
        <v>1.6481410245353385E-2</v>
      </c>
      <c r="CG40">
        <f>0.962*(0.93*0.943*(0.9442 - 0.0007*$B40 - dis_BMI*($C40-21.75)))*BC40</f>
        <v>1.2336377235291392E-4</v>
      </c>
      <c r="CH40">
        <f>0.962*(0.93*0.943*(0.9442 - 0.0007*$B40 - dis_BMI*($C40-21.75))-0.19*0.5)*BD40</f>
        <v>2.6341052575760591E-4</v>
      </c>
      <c r="CI40">
        <f>0.962*(0.93*0.943*(0.9442 - 0.0007*$B40 - dis_BMI*($C40-21.75)))*BE40</f>
        <v>6.8963895036252621E-4</v>
      </c>
      <c r="CJ40">
        <f t="shared" si="18"/>
        <v>0</v>
      </c>
      <c r="CK40">
        <f t="shared" si="19"/>
        <v>0.32871108010911604</v>
      </c>
      <c r="CL40">
        <f>CK40/(1+r_)^A40</f>
        <v>0.11011260302237977</v>
      </c>
      <c r="CM40">
        <f>AD40*c_LIR_2</f>
        <v>1037.1731849196749</v>
      </c>
      <c r="CN40">
        <f>AE40*(c_Other+c_LIR_2)</f>
        <v>669.67762424177272</v>
      </c>
      <c r="CO40">
        <f>AF40*(c_Stroke1+c_Stroke2+c_LIR_2)</f>
        <v>57.236729794256476</v>
      </c>
      <c r="CP40">
        <f>AG40*(c_Stroke2 + c_LIR_2)</f>
        <v>107.59122070359051</v>
      </c>
      <c r="CQ40">
        <f>AH40*(c_MI1+c_MI2 + c_LIR_2)</f>
        <v>28.232258825295517</v>
      </c>
      <c r="CR40">
        <f>AI40*(c_MI2+c_LIR_2)</f>
        <v>48.56566853162623</v>
      </c>
      <c r="CS40">
        <f>AJ40*(c_Stroke1+c_Stroke2+c_MI2+c_LIR_2)</f>
        <v>1.9294387584803794</v>
      </c>
      <c r="CT40">
        <f>AK40*(c_Stroke2+c_MI1+c_MI2+c_LIR_2)</f>
        <v>2.0386644491132402</v>
      </c>
      <c r="CU40">
        <f>AL40*(c_Stroke2+c_MI2+c_LIR_2)</f>
        <v>2.3865389790066667</v>
      </c>
      <c r="CV40">
        <f>AM40*(c_HF1+c_LIR_2)</f>
        <v>24.23915886899951</v>
      </c>
      <c r="CW40">
        <f>AN40*(c_HF2+c_LIR_2)</f>
        <v>199.89391429364119</v>
      </c>
      <c r="CX40">
        <f>AO40*(c_Stroke2+c_HF1+c_LIR_2)</f>
        <v>1.6198816772291789</v>
      </c>
      <c r="CY40">
        <f>AP40*(c_Stroke1+c_Stroke2+c_HF2+c_LIR_2)</f>
        <v>4.5037230800298973</v>
      </c>
      <c r="CZ40">
        <f>AQ40*(c_Stroke2+c_HF2+c_LIR_2)</f>
        <v>7.7113166704190999</v>
      </c>
      <c r="DA40">
        <f>AR40*(c_DM+c_LIR_2)</f>
        <v>3419.6359793583192</v>
      </c>
      <c r="DB40">
        <f>AS40*(c_Other+c_DM+c_LIR_2)</f>
        <v>2608.1475246204905</v>
      </c>
      <c r="DC40">
        <f>AT40*(c_Stroke1+c_Stroke2+c_DM+c_LIR_2)</f>
        <v>234.82382905474202</v>
      </c>
      <c r="DD40">
        <f>AU40*(c_Stroke2+c_DM+c_LIR_2)</f>
        <v>505.95261462443409</v>
      </c>
      <c r="DE40">
        <f>AV40*(c_MI1+c_MI2+c_DM+c_LIR_2)</f>
        <v>116.37050179950643</v>
      </c>
      <c r="DF40">
        <f>AW40*(c_MI2+c_DM+c_LIR_2)</f>
        <v>267.92077969877954</v>
      </c>
      <c r="DG40">
        <f>AX40*(c_Stroke1+c_Stroke2+c_MI2+c_DM+c_LIR_2)</f>
        <v>12.619963977158168</v>
      </c>
      <c r="DH40">
        <f>AY40*(c_Stroke2+c_MI1+c_MI2+c_DM+c_LIR_2)</f>
        <v>12.507441560948042</v>
      </c>
      <c r="DI40">
        <f>AZ40*(c_Stroke2+c_MI2+c_DM+c_LIR_2)</f>
        <v>16.340053844676053</v>
      </c>
      <c r="DJ40">
        <f>BA40*(c_HF1+c_DM+c_LIR_2)</f>
        <v>100.44667645986419</v>
      </c>
      <c r="DK40">
        <f>BB40*(c_HF2+c_DM+c_LIR_2)</f>
        <v>851.26324461522643</v>
      </c>
      <c r="DL40">
        <f>BC40*(c_Stroke2+c_HF1+c_DM+c_LIR_2)</f>
        <v>9.8792418571379219</v>
      </c>
      <c r="DM40">
        <f>BD40*(c_Stroke1+c_Stroke2+c_HF2+c_DM+c_LIR_2)</f>
        <v>26.73564979583136</v>
      </c>
      <c r="DN40">
        <f>BE40*(c_Stroke2+c_HF2+c_DM+c_LIR_2)</f>
        <v>44.102391772357215</v>
      </c>
      <c r="DO40">
        <f t="shared" si="5"/>
        <v>0</v>
      </c>
      <c r="DP40">
        <f t="shared" si="38"/>
        <v>10419.545216832606</v>
      </c>
      <c r="DQ40">
        <f>DP40/(1+r_)^A40</f>
        <v>3490.3698583995688</v>
      </c>
    </row>
    <row r="41" spans="1:121" x14ac:dyDescent="0.3">
      <c r="A41">
        <v>38</v>
      </c>
      <c r="B41">
        <v>83</v>
      </c>
      <c r="C41">
        <f t="shared" si="39"/>
        <v>36.1</v>
      </c>
      <c r="D41">
        <f t="shared" si="1"/>
        <v>125</v>
      </c>
      <c r="E41">
        <f t="shared" si="40"/>
        <v>5.5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0"/>
        <v>3.2286349135090861E-2</v>
      </c>
      <c r="J41">
        <f t="shared" si="21"/>
        <v>0.35423557145964102</v>
      </c>
      <c r="K41">
        <f t="shared" si="22"/>
        <v>0.45798608190165058</v>
      </c>
      <c r="L41">
        <f t="shared" si="23"/>
        <v>0.18700231838997938</v>
      </c>
      <c r="M41">
        <f t="shared" si="24"/>
        <v>0.25169120605769235</v>
      </c>
      <c r="N41">
        <f t="shared" si="25"/>
        <v>0.70333384450583392</v>
      </c>
      <c r="O41">
        <f t="shared" si="26"/>
        <v>0.82039412633218611</v>
      </c>
      <c r="P41">
        <f t="shared" si="27"/>
        <v>0.4499351857250744</v>
      </c>
      <c r="Q41">
        <f t="shared" si="28"/>
        <v>0.57025813158434913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2.9104452088872728E-2</v>
      </c>
      <c r="U41">
        <f t="shared" si="29"/>
        <v>0.61393295790986535</v>
      </c>
      <c r="V41">
        <f t="shared" si="30"/>
        <v>0.73629114651175775</v>
      </c>
      <c r="W41">
        <f t="shared" si="31"/>
        <v>0.3627253941326013</v>
      </c>
      <c r="X41">
        <f t="shared" si="32"/>
        <v>0.46793939155735631</v>
      </c>
      <c r="Y41">
        <f t="shared" si="33"/>
        <v>0.87353120421241848</v>
      </c>
      <c r="Z41">
        <f t="shared" si="34"/>
        <v>0.94615908041670482</v>
      </c>
      <c r="AA41">
        <f t="shared" si="35"/>
        <v>0.6383616045550885</v>
      </c>
      <c r="AB41">
        <f t="shared" si="36"/>
        <v>0.76239979582899242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4.8195416569664362E-2</v>
      </c>
      <c r="AD41">
        <f t="shared" si="37"/>
        <v>7.828675293812061E-2</v>
      </c>
      <c r="AE41">
        <f t="shared" si="6"/>
        <v>2.3329192908277903E-2</v>
      </c>
      <c r="AF41">
        <f t="shared" si="7"/>
        <v>1.4625116550972925E-3</v>
      </c>
      <c r="AG41">
        <f t="shared" si="8"/>
        <v>5.1068695078116486E-3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6.330605701781244E-4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2.8833753683127745E-3</v>
      </c>
      <c r="AJ41">
        <f t="shared" si="11"/>
        <v>4.4800151679180647E-5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3.9072810726362876E-5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9.042964639972991E-5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5.6636636363639509E-4</v>
      </c>
      <c r="AN41">
        <f t="shared" si="15"/>
        <v>6.8640170265632629E-3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3.1892835016380096E-5</v>
      </c>
      <c r="AP41">
        <f>AM40*T40*p_Stroke*p_Stroke_rec*(1-I40) + AN40*T40*p_Stroke*p_Stroke_rec*(1-I40) + AO40*(p_recur_Stroke*p_Stroke_rec)*(1-I40) + AP40*(p_recur_Stroke*p_Stroke_rec)*(1-I40) + AQ40*(p_recur_Stroke*p_Stroke_rec)*(1-I40)</f>
        <v>8.3571707012251997E-5</v>
      </c>
      <c r="AQ41">
        <f>AO40*(1-p_recur_Stroke-H40*rr_Stroke*rr_HF)*(1-I40) + AP40*(1-p_recur_Stroke-H40*rr_Stroke*rr_HF)*(1-I40) + AQ40*(1-p_recur_Stroke-H40*rr_Stroke*rr_HF)*(1-I40)</f>
        <v>1.939327846802788E-4</v>
      </c>
      <c r="AR41">
        <f>AR40*(1-AC40-H40*rr_DM) + AD40*(1-T40-H40)*I40</f>
        <v>0.13392366388187266</v>
      </c>
      <c r="AS41">
        <f>AR40*AC40*p_Other + AD40*T40*p_Other*I40 + AE40*(1-T40*p_Stroke-T40*p_MI-H40*rr_Other)*I40 + AS40*(1-AC40*p_Stroke-AC40*p_MI-H40*rr_Other*rr_DM)</f>
        <v>6.4471541632441162E-2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4.6489413311406134E-3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1.5022405137954924E-2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2.0895913992209705E-3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9.2327325437595517E-3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2.3161632103548614E-4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1.9692411894943308E-4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4.0400197768466963E-4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1.8619144214507589E-3</v>
      </c>
      <c r="BB41">
        <f>AM40*(1-T40*p_Stroke - H40*rr_HF)*I40 + AN40*(1-T40*p_Stroke - H40*rr_HF)*I40 + BA40*(1-AC40*p_Stroke - H40*rr_HF*rr_DM) + BB40*(1-AC40*p_Stroke - H40*rr_HF*rr_DM)</f>
        <v>2.1189250115708484E-2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1.584747656089697E-4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4.1566430590267217E-4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8.3132509903227647E-4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0.56770610667472499</v>
      </c>
      <c r="BG41">
        <f t="shared" si="17"/>
        <v>0.94199999999999995</v>
      </c>
      <c r="BH41">
        <f>(0.9442 - 0.0007*$B41 - dis_BMI*($C41-21.75))*AD41</f>
        <v>6.5662622593083975E-2</v>
      </c>
      <c r="BI41">
        <f>0.959*(0.9442 - 0.0007*$B41 - dis_BMI*($C41-21.75))*AE41</f>
        <v>1.8764986905713554E-2</v>
      </c>
      <c r="BJ41">
        <f>(0.943*(0.9442 - 0.0007*$B41 - dis_BMI*($C41-21.75)) - 0.19*0.5)*AF41</f>
        <v>1.0178152936455248E-3</v>
      </c>
      <c r="BK41">
        <f>(0.943*(0.9442 - 0.0007*$B41 - dis_BMI*($C41-21.75)))*AG41</f>
        <v>4.0392096732057006E-3</v>
      </c>
      <c r="BL41">
        <f>(0.955*(0.9442 - 0.0007*$B41 - dis_BMI*($C41-21.75)) - 0.15*0.5)*AH41</f>
        <v>4.5960290771365932E-4</v>
      </c>
      <c r="BM41">
        <f>(0.955*(0.9442 - 0.0007*$B41 - dis_BMI*($C41-21.75)))*AI41</f>
        <v>2.3095879229972005E-3</v>
      </c>
      <c r="BN41">
        <f>(0.955*0.943*(0.9442 - 0.0007*$B41 - dis_BMI*($C41-21.75)) - 0.19*0.5)*AJ41</f>
        <v>2.9583528873936159E-5</v>
      </c>
      <c r="BO41">
        <f>(0.955*0.943*(0.9442 - 0.0007*$B41 - dis_BMI*($C41-21.75)) - 0.15*0.5)*AK41</f>
        <v>2.6582967615355158E-5</v>
      </c>
      <c r="BP41">
        <f>(0.955*0.943*(0.9442 - 0.0007*$B41 - dis_BMI*($C41-21.75)))*AL41</f>
        <v>6.8305526181367104E-5</v>
      </c>
      <c r="BQ41">
        <f>(0.93*(0.9442 - 0.0007*$B41 - dis_BMI*($C41-21.75)))*AM41</f>
        <v>4.4178436877143361E-4</v>
      </c>
      <c r="BR41">
        <f>(0.93*(0.9442 - 0.0007*$B41 - dis_BMI*($C41-21.75)))*AN41</f>
        <v>5.3541587636786675E-3</v>
      </c>
      <c r="BS41">
        <f>(0.93*0.943*(0.9442 - 0.0007*$B41 - dis_BMI*($C41-21.75)))*AO41</f>
        <v>2.3459443829839576E-5</v>
      </c>
      <c r="BT41">
        <f>(0.93*0.943*(0.9442 - 0.0007*$B41 - dis_BMI*($C41-21.75))-0.19*0.5)*AP41</f>
        <v>5.3533610056360453E-5</v>
      </c>
      <c r="BU41">
        <f>(0.93*0.943*(0.9442 - 0.0007*$B41 - dis_BMI*($C41-21.75)))*AQ41</f>
        <v>1.4265132800626634E-4</v>
      </c>
      <c r="BV41">
        <f>0.962*(0.9442 - 0.0007*$B41 - dis_BMI*($C41-21.75))*AR41</f>
        <v>0.10805934693102243</v>
      </c>
      <c r="BW41">
        <f>0.962*0.959*(0.9442 - 0.0007*$B41 - dis_BMI*($C41-21.75))*AS41</f>
        <v>4.9887492850172778E-2</v>
      </c>
      <c r="BX41">
        <f>0.962*(0.943*(0.9442 - 0.0007*$B41 - dis_BMI*($C41-21.75)) - 0.19*0.5)*AT41</f>
        <v>3.1124241327986192E-3</v>
      </c>
      <c r="BY41">
        <f>0.962*(0.943*(0.9442 - 0.0007*$B41 - dis_BMI*($C41-21.75)))*AU41</f>
        <v>1.1430261842627415E-2</v>
      </c>
      <c r="BZ41">
        <f>0.962*(0.955*(0.9442 - 0.0007*$B41 - dis_BMI*($C41-21.75)) - 0.15*0.5)*AV41</f>
        <v>1.4593986733384323E-3</v>
      </c>
      <c r="CA41">
        <f>0.962*(0.955*(0.9442 - 0.0007*$B41 - dis_BMI*($C41-21.75)))*AW41</f>
        <v>7.1144059551702899E-3</v>
      </c>
      <c r="CB41">
        <f>0.962*(0.955*0.943*(0.9442 - 0.0007*$B41 - dis_BMI*($C41-21.75)) - 0.19*0.5)*AX41</f>
        <v>1.4713456998165361E-4</v>
      </c>
      <c r="CC41">
        <f>0.962*(0.955*0.943*(0.9442 - 0.0007*$B41 - dis_BMI*($C41-21.75)) - 0.15*0.5)*AY41</f>
        <v>1.2888512341402073E-4</v>
      </c>
      <c r="CD41">
        <f>0.962*(0.955*0.943*(0.9442 - 0.0007*$B41 - dis_BMI*($C41-21.75)))*AZ41</f>
        <v>2.9356452391158676E-4</v>
      </c>
      <c r="CE41">
        <f>0.962*(0.93*(0.9442 - 0.0007*$B41 - dis_BMI*($C41-21.75)))*BA41</f>
        <v>1.3971649449407639E-3</v>
      </c>
      <c r="CF41">
        <f>0.962*(0.93*(0.9442 - 0.0007*$B41 - dis_BMI*($C41-21.75)))*BB41</f>
        <v>1.59002353331484E-2</v>
      </c>
      <c r="CG41">
        <f>0.962*(0.93*0.943*(0.9442 - 0.0007*$B41 - dis_BMI*($C41-21.75)))*BC41</f>
        <v>1.1213979960226907E-4</v>
      </c>
      <c r="CH41">
        <f>0.962*(0.93*0.943*(0.9442 - 0.0007*$B41 - dis_BMI*($C41-21.75))-0.19*0.5)*BD41</f>
        <v>2.5614451611565768E-4</v>
      </c>
      <c r="CI41">
        <f>0.962*(0.93*0.943*(0.9442 - 0.0007*$B41 - dis_BMI*($C41-21.75)))*BE41</f>
        <v>5.8826166835825532E-4</v>
      </c>
      <c r="CJ41">
        <f t="shared" si="18"/>
        <v>0</v>
      </c>
      <c r="CK41">
        <f t="shared" si="19"/>
        <v>0.29828074569797541</v>
      </c>
      <c r="CL41">
        <f>CK41/(1+r_)^A41</f>
        <v>9.7008699251474553E-2</v>
      </c>
      <c r="CM41">
        <f>AD41*c_LIR_2</f>
        <v>920.65221455229835</v>
      </c>
      <c r="CN41">
        <f>AE41*(c_Other+c_LIR_2)</f>
        <v>607.46885413864834</v>
      </c>
      <c r="CO41">
        <f>AF41*(c_Stroke1+c_Stroke2+c_LIR_2)</f>
        <v>52.030314641741278</v>
      </c>
      <c r="CP41">
        <f>AG41*(c_Stroke2 + c_LIR_2)</f>
        <v>93.25143721264071</v>
      </c>
      <c r="CQ41">
        <f>AH41*(c_MI1+c_MI2 + c_LIR_2)</f>
        <v>25.899140986557246</v>
      </c>
      <c r="CR41">
        <f>AI41*(c_MI2+c_LIR_2)</f>
        <v>42.895975354389144</v>
      </c>
      <c r="CS41">
        <f>AJ41*(c_Stroke1+c_Stroke2+c_MI2+c_LIR_2)</f>
        <v>1.7334522689225369</v>
      </c>
      <c r="CT41">
        <f>AK41*(c_Stroke2+c_MI1+c_MI2+c_LIR_2)</f>
        <v>1.8524810293475904</v>
      </c>
      <c r="CU41">
        <f>AL41*(c_Stroke2+c_MI2+c_LIR_2)</f>
        <v>1.9331145510870262</v>
      </c>
      <c r="CV41">
        <f>AM41*(c_HF1+c_LIR_2)</f>
        <v>21.969351245455766</v>
      </c>
      <c r="CW41">
        <f>AN41*(c_HF2+c_LIR_2)</f>
        <v>187.8338259319037</v>
      </c>
      <c r="CX41">
        <f>AO41*(c_Stroke2+c_HF1+c_LIR_2)</f>
        <v>1.4444264978918546</v>
      </c>
      <c r="CY41">
        <f>AP41*(c_Stroke1+c_Stroke2+c_HF2+c_LIR_2)</f>
        <v>4.2772835365940693</v>
      </c>
      <c r="CZ41">
        <f>AQ41*(c_Stroke2+c_HF2+c_LIR_2)</f>
        <v>6.5675337531976412</v>
      </c>
      <c r="DA41">
        <f>AR41*(c_DM+c_LIR_2)</f>
        <v>3105.0201471012174</v>
      </c>
      <c r="DB41">
        <f>AS41*(c_Other+c_DM+c_LIR_2)</f>
        <v>2415.3618357177756</v>
      </c>
      <c r="DC41">
        <f>AT41*(c_Stroke1+c_Stroke2+c_DM+c_LIR_2)</f>
        <v>218.50489150493996</v>
      </c>
      <c r="DD41">
        <f>AU41*(c_Stroke2+c_DM+c_LIR_2)</f>
        <v>445.94009652019196</v>
      </c>
      <c r="DE41">
        <f>AV41*(c_MI1+c_MI2+c_DM+c_LIR_2)</f>
        <v>109.36085546962872</v>
      </c>
      <c r="DF41">
        <f>AW41*(c_MI2+c_DM+c_LIR_2)</f>
        <v>242.83933136596372</v>
      </c>
      <c r="DG41">
        <f>AX41*(c_Stroke1+c_Stroke2+c_MI2+c_DM+c_LIR_2)</f>
        <v>11.608146777656495</v>
      </c>
      <c r="DH41">
        <f>AY41*(c_Stroke2+c_MI1+c_MI2+c_DM+c_LIR_2)</f>
        <v>11.586227462508845</v>
      </c>
      <c r="DI41">
        <f>AZ41*(c_Stroke2+c_MI2+c_DM+c_LIR_2)</f>
        <v>13.252072872012533</v>
      </c>
      <c r="DJ41">
        <f>BA41*(c_HF1+c_DM+c_LIR_2)</f>
        <v>93.496032673149855</v>
      </c>
      <c r="DK41">
        <f>BB41*(c_HF2+c_DM+c_LIR_2)</f>
        <v>821.9310119883321</v>
      </c>
      <c r="DL41">
        <f>BC41*(c_Stroke2+c_HF1+c_DM+c_LIR_2)</f>
        <v>8.9878963315127169</v>
      </c>
      <c r="DM41">
        <f>BD41*(c_Stroke1+c_Stroke2+c_HF2+c_DM+c_LIR_2)</f>
        <v>26.023079535342692</v>
      </c>
      <c r="DN41">
        <f>BE41*(c_Stroke2+c_HF2+c_DM+c_LIR_2)</f>
        <v>37.650713735171799</v>
      </c>
      <c r="DO41">
        <f t="shared" si="5"/>
        <v>0</v>
      </c>
      <c r="DP41">
        <f t="shared" si="38"/>
        <v>9531.3717447560794</v>
      </c>
      <c r="DQ41">
        <f>DP41/(1+r_)^A41</f>
        <v>3099.8513594212218</v>
      </c>
    </row>
    <row r="42" spans="1:121" x14ac:dyDescent="0.3">
      <c r="A42">
        <v>39</v>
      </c>
      <c r="B42">
        <v>84</v>
      </c>
      <c r="C42">
        <f t="shared" si="39"/>
        <v>36.1</v>
      </c>
      <c r="D42">
        <f t="shared" si="1"/>
        <v>125</v>
      </c>
      <c r="E42">
        <f t="shared" si="40"/>
        <v>5.5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0"/>
        <v>3.2286349135090861E-2</v>
      </c>
      <c r="J42">
        <f t="shared" si="21"/>
        <v>0.36352280087590083</v>
      </c>
      <c r="K42">
        <f t="shared" si="22"/>
        <v>0.46887154193811009</v>
      </c>
      <c r="L42">
        <f t="shared" si="23"/>
        <v>0.1925585725610176</v>
      </c>
      <c r="M42">
        <f t="shared" si="24"/>
        <v>0.25884371680842722</v>
      </c>
      <c r="N42">
        <f t="shared" si="25"/>
        <v>0.71671615854070148</v>
      </c>
      <c r="O42">
        <f t="shared" si="26"/>
        <v>0.831734346716548</v>
      </c>
      <c r="P42">
        <f t="shared" si="27"/>
        <v>0.46228353075457429</v>
      </c>
      <c r="Q42">
        <f t="shared" si="28"/>
        <v>0.58382608883421749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2.9869451204053255E-2</v>
      </c>
      <c r="U42">
        <f t="shared" si="29"/>
        <v>0.62591440167766788</v>
      </c>
      <c r="V42">
        <f t="shared" si="30"/>
        <v>0.74768123655243157</v>
      </c>
      <c r="W42">
        <f t="shared" si="31"/>
        <v>0.37216581422685602</v>
      </c>
      <c r="X42">
        <f t="shared" si="32"/>
        <v>0.47894495314791674</v>
      </c>
      <c r="Y42">
        <f t="shared" si="33"/>
        <v>0.88308460253499144</v>
      </c>
      <c r="Z42">
        <f t="shared" si="34"/>
        <v>0.95181486800717408</v>
      </c>
      <c r="AA42">
        <f t="shared" si="35"/>
        <v>0.6520672256142297</v>
      </c>
      <c r="AB42">
        <f t="shared" si="36"/>
        <v>0.77502306547017796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4.9217305908787326E-2</v>
      </c>
      <c r="AD42">
        <f t="shared" si="37"/>
        <v>6.8807616292823948E-2</v>
      </c>
      <c r="AE42">
        <f t="shared" si="6"/>
        <v>2.0805508457917898E-2</v>
      </c>
      <c r="AF42">
        <f t="shared" si="7"/>
        <v>1.3074408429085411E-3</v>
      </c>
      <c r="AG42">
        <f t="shared" si="8"/>
        <v>4.3069935148403894E-3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5.7492902631147054E-4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2.5188719122712045E-3</v>
      </c>
      <c r="AJ42">
        <f t="shared" si="11"/>
        <v>3.9578507049257459E-5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3.4689236653708565E-5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7.0177392766726114E-5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5.0855276482316639E-4</v>
      </c>
      <c r="AN42">
        <f t="shared" si="15"/>
        <v>6.3224173295380274E-3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2.7752767100272041E-5</v>
      </c>
      <c r="AP42">
        <f>AM41*T41*p_Stroke*p_Stroke_rec*(1-I41) + AN41*T41*p_Stroke*p_Stroke_rec*(1-I41) + AO41*(p_recur_Stroke*p_Stroke_rec)*(1-I41) + AP41*(p_recur_Stroke*p_Stroke_rec)*(1-I41) + AQ41*(p_recur_Stroke*p_Stroke_rec)*(1-I41)</f>
        <v>7.7337252111197406E-5</v>
      </c>
      <c r="AQ42">
        <f>AO41*(1-p_recur_Stroke-H41*rr_Stroke*rr_HF)*(1-I41) + AP41*(1-p_recur_Stroke-H41*rr_Stroke*rr_HF)*(1-I41) + AQ41*(1-p_recur_Stroke-H41*rr_Stroke*rr_HF)*(1-I41)</f>
        <v>1.5661590930944331E-4</v>
      </c>
      <c r="AR42">
        <f>AR41*(1-AC41-H41*rr_DM) + AD41*(1-T41-H41)*I41</f>
        <v>0.12011534126679774</v>
      </c>
      <c r="AS42">
        <f>AR41*AC41*p_Other + AD41*T41*p_Other*I41 + AE41*(1-T41*p_Stroke-T41*p_MI-H41*rr_Other)*I41 + AS41*(1-AC41*p_Stroke-AC41*p_MI-H41*rr_Other*rr_DM)</f>
        <v>5.8491321988135239E-2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4.2386015938019042E-3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1.2809563797551011E-2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1.9377352909981597E-3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8.2471253466704104E-3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2.0869992142543597E-4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1.7737112364213771E-4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3.1002701834115395E-4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1.7113609659383832E-3</v>
      </c>
      <c r="BB42">
        <f>AM41*(1-T41*p_Stroke - H41*rr_HF)*I41 + AN41*(1-T41*p_Stroke - H41*rr_HF)*I41 + BA41*(1-AC41*p_Stroke - H41*rr_HF*rr_DM) + BB41*(1-AC41*p_Stroke - H41*rr_HF*rr_DM)</f>
        <v>1.9983771466482721E-2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1.3996074998594825E-4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3.9282272560890101E-4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6.6515816089889957E-4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0.60701265737729648</v>
      </c>
      <c r="BG42">
        <f t="shared" si="17"/>
        <v>0.94199999999999984</v>
      </c>
      <c r="BH42">
        <f>(0.9442 - 0.0007*$B42 - dis_BMI*($C42-21.75))*AD42</f>
        <v>5.7663878796119651E-2</v>
      </c>
      <c r="BI42">
        <f>0.959*(0.9442 - 0.0007*$B42 - dis_BMI*($C42-21.75))*AE42</f>
        <v>1.6721078289855557E-2</v>
      </c>
      <c r="BJ42">
        <f>(0.943*(0.9442 - 0.0007*$B42 - dis_BMI*($C42-21.75)) - 0.19*0.5)*AF42</f>
        <v>9.0903280823084558E-4</v>
      </c>
      <c r="BK42">
        <f>(0.943*(0.9442 - 0.0007*$B42 - dis_BMI*($C42-21.75)))*AG42</f>
        <v>3.4037154804761826E-3</v>
      </c>
      <c r="BL42">
        <f>(0.955*(0.9442 - 0.0007*$B42 - dis_BMI*($C42-21.75)) - 0.15*0.5)*AH42</f>
        <v>4.1701498106835221E-4</v>
      </c>
      <c r="BM42">
        <f>(0.955*(0.9442 - 0.0007*$B42 - dis_BMI*($C42-21.75)))*AI42</f>
        <v>2.0159362511919521E-3</v>
      </c>
      <c r="BN42">
        <f>(0.955*0.943*(0.9442 - 0.0007*$B42 - dis_BMI*($C42-21.75)) - 0.19*0.5)*AJ42</f>
        <v>2.6110495018422163E-5</v>
      </c>
      <c r="BO42">
        <f>(0.955*0.943*(0.9442 - 0.0007*$B42 - dis_BMI*($C42-21.75)) - 0.15*0.5)*AK42</f>
        <v>2.3578759644135607E-5</v>
      </c>
      <c r="BP42">
        <f>(0.955*0.943*(0.9442 - 0.0007*$B42 - dis_BMI*($C42-21.75)))*AL42</f>
        <v>5.2963860483485356E-5</v>
      </c>
      <c r="BQ42">
        <f>(0.93*(0.9442 - 0.0007*$B42 - dis_BMI*($C42-21.75)))*AM42</f>
        <v>3.9635679467049439E-4</v>
      </c>
      <c r="BR42">
        <f>(0.93*(0.9442 - 0.0007*$B42 - dis_BMI*($C42-21.75)))*AN42</f>
        <v>4.9275773147674073E-3</v>
      </c>
      <c r="BS42">
        <f>(0.93*0.943*(0.9442 - 0.0007*$B42 - dis_BMI*($C42-21.75)))*AO42</f>
        <v>2.0397092796211099E-5</v>
      </c>
      <c r="BT42">
        <f>(0.93*0.943*(0.9442 - 0.0007*$B42 - dis_BMI*($C42-21.75))-0.19*0.5)*AP42</f>
        <v>4.9492522388190234E-5</v>
      </c>
      <c r="BU42">
        <f>(0.93*0.943*(0.9442 - 0.0007*$B42 - dis_BMI*($C42-21.75)))*AQ42</f>
        <v>1.1510597210021568E-4</v>
      </c>
      <c r="BV42">
        <f>0.962*(0.9442 - 0.0007*$B42 - dis_BMI*($C42-21.75))*AR42</f>
        <v>9.6836902847400042E-2</v>
      </c>
      <c r="BW42">
        <f>0.962*0.959*(0.9442 - 0.0007*$B42 - dis_BMI*($C42-21.75))*AS42</f>
        <v>4.5222280105418178E-2</v>
      </c>
      <c r="BX42">
        <f>0.962*(0.943*(0.9442 - 0.0007*$B42 - dis_BMI*($C42-21.75)) - 0.19*0.5)*AT42</f>
        <v>2.8350138129139978E-3</v>
      </c>
      <c r="BY42">
        <f>0.962*(0.943*(0.9442 - 0.0007*$B42 - dis_BMI*($C42-21.75)))*AU42</f>
        <v>9.7384187481839943E-3</v>
      </c>
      <c r="BZ42">
        <f>0.962*(0.955*(0.9442 - 0.0007*$B42 - dis_BMI*($C42-21.75)) - 0.15*0.5)*AV42</f>
        <v>1.3520941778536629E-3</v>
      </c>
      <c r="CA42">
        <f>0.962*(0.955*(0.9442 - 0.0007*$B42 - dis_BMI*($C42-21.75)))*AW42</f>
        <v>6.349629402070487E-3</v>
      </c>
      <c r="CB42">
        <f>0.962*(0.955*0.943*(0.9442 - 0.0007*$B42 - dis_BMI*($C42-21.75)) - 0.19*0.5)*AX42</f>
        <v>1.3245033316613652E-4</v>
      </c>
      <c r="CC42">
        <f>0.962*(0.955*0.943*(0.9442 - 0.0007*$B42 - dis_BMI*($C42-21.75)) - 0.15*0.5)*AY42</f>
        <v>1.1598029298911398E-4</v>
      </c>
      <c r="CD42">
        <f>0.962*(0.955*0.943*(0.9442 - 0.0007*$B42 - dis_BMI*($C42-21.75)))*AZ42</f>
        <v>2.2509042397327785E-4</v>
      </c>
      <c r="CE42">
        <f>0.962*(0.93*(0.9442 - 0.0007*$B42 - dis_BMI*($C42-21.75)))*BA42</f>
        <v>1.283119135976112E-3</v>
      </c>
      <c r="CF42">
        <f>0.962*(0.93*(0.9442 - 0.0007*$B42 - dis_BMI*($C42-21.75)))*BB42</f>
        <v>1.4983139202054586E-2</v>
      </c>
      <c r="CG42">
        <f>0.962*(0.93*0.943*(0.9442 - 0.0007*$B42 - dis_BMI*($C42-21.75)))*BC42</f>
        <v>9.8956269260182042E-5</v>
      </c>
      <c r="CH42">
        <f>0.962*(0.93*0.943*(0.9442 - 0.0007*$B42 - dis_BMI*($C42-21.75))-0.19*0.5)*BD42</f>
        <v>2.4183687814908201E-4</v>
      </c>
      <c r="CI42">
        <f>0.962*(0.93*0.943*(0.9442 - 0.0007*$B42 - dis_BMI*($C42-21.75)))*BE42</f>
        <v>4.7028591999633712E-4</v>
      </c>
      <c r="CJ42">
        <f t="shared" si="18"/>
        <v>0</v>
      </c>
      <c r="CK42">
        <f t="shared" si="19"/>
        <v>0.26662743696821634</v>
      </c>
      <c r="CL42">
        <f>CK42/(1+r_)^A42</f>
        <v>8.4188558682811512E-2</v>
      </c>
      <c r="CM42">
        <f>AD42*c_LIR_2</f>
        <v>809.17756760360965</v>
      </c>
      <c r="CN42">
        <f>AE42*(c_Other+c_LIR_2)</f>
        <v>541.75463473572415</v>
      </c>
      <c r="CO42">
        <f>AF42*(c_Stroke1+c_Stroke2+c_LIR_2)</f>
        <v>46.51351542731426</v>
      </c>
      <c r="CP42">
        <f>AG42*(c_Stroke2 + c_LIR_2)</f>
        <v>78.645701580985516</v>
      </c>
      <c r="CQ42">
        <f>AH42*(c_MI1+c_MI2 + c_LIR_2)</f>
        <v>23.520921395428569</v>
      </c>
      <c r="CR42">
        <f>AI42*(c_MI2+c_LIR_2)</f>
        <v>37.47325743885871</v>
      </c>
      <c r="CS42">
        <f>AJ42*(c_Stroke1+c_Stroke2+c_MI2+c_LIR_2)</f>
        <v>1.5314111732569189</v>
      </c>
      <c r="CT42">
        <f>AK42*(c_Stroke2+c_MI1+c_MI2+c_LIR_2)</f>
        <v>1.6446513989889768</v>
      </c>
      <c r="CU42">
        <f>AL42*(c_Stroke2+c_MI2+c_LIR_2)</f>
        <v>1.5001821251743042</v>
      </c>
      <c r="CV42">
        <f>AM42*(c_HF1+c_LIR_2)</f>
        <v>19.726761747490624</v>
      </c>
      <c r="CW42">
        <f>AN42*(c_HF2+c_LIR_2)</f>
        <v>173.01295022280812</v>
      </c>
      <c r="CX42">
        <f>AO42*(c_Stroke2+c_HF1+c_LIR_2)</f>
        <v>1.2569228219713207</v>
      </c>
      <c r="CY42">
        <f>AP42*(c_Stroke1+c_Stroke2+c_HF2+c_LIR_2)</f>
        <v>3.9581979003031944</v>
      </c>
      <c r="CZ42">
        <f>AQ42*(c_Stroke2+c_HF2+c_LIR_2)</f>
        <v>5.3037977687642979</v>
      </c>
      <c r="DA42">
        <f>AR42*(c_DM+c_LIR_2)</f>
        <v>2784.8741872707055</v>
      </c>
      <c r="DB42">
        <f>AS42*(c_Other+c_DM+c_LIR_2)</f>
        <v>2191.3188869634987</v>
      </c>
      <c r="DC42">
        <f>AT42*(c_Stroke1+c_Stroke2+c_DM+c_LIR_2)</f>
        <v>199.21851351028329</v>
      </c>
      <c r="DD42">
        <f>AU42*(c_Stroke2+c_DM+c_LIR_2)</f>
        <v>380.25190133030173</v>
      </c>
      <c r="DE42">
        <f>AV42*(c_MI1+c_MI2+c_DM+c_LIR_2)</f>
        <v>101.41331418967968</v>
      </c>
      <c r="DF42">
        <f>AW42*(c_MI2+c_DM+c_LIR_2)</f>
        <v>216.91589086812513</v>
      </c>
      <c r="DG42">
        <f>AX42*(c_Stroke1+c_Stroke2+c_MI2+c_DM+c_LIR_2)</f>
        <v>10.459622661999999</v>
      </c>
      <c r="DH42">
        <f>AY42*(c_Stroke2+c_MI1+c_MI2+c_DM+c_LIR_2)</f>
        <v>10.435807430608815</v>
      </c>
      <c r="DI42">
        <f>AZ42*(c_Stroke2+c_MI2+c_DM+c_LIR_2)</f>
        <v>10.169506255626532</v>
      </c>
      <c r="DJ42">
        <f>BA42*(c_HF1+c_DM+c_LIR_2)</f>
        <v>85.935990904595911</v>
      </c>
      <c r="DK42">
        <f>BB42*(c_HF2+c_DM+c_LIR_2)</f>
        <v>775.17049518486476</v>
      </c>
      <c r="DL42">
        <f>BC42*(c_Stroke2+c_HF1+c_DM+c_LIR_2)</f>
        <v>7.9378739354530543</v>
      </c>
      <c r="DM42">
        <f>BD42*(c_Stroke1+c_Stroke2+c_HF2+c_DM+c_LIR_2)</f>
        <v>24.593059559470856</v>
      </c>
      <c r="DN42">
        <f>BE42*(c_Stroke2+c_HF2+c_DM+c_LIR_2)</f>
        <v>30.125013107111162</v>
      </c>
      <c r="DO42">
        <f t="shared" si="5"/>
        <v>0</v>
      </c>
      <c r="DP42">
        <f t="shared" si="38"/>
        <v>8573.8405365130038</v>
      </c>
      <c r="DQ42">
        <f>DP42/(1+r_)^A42</f>
        <v>2707.220552216982</v>
      </c>
    </row>
    <row r="43" spans="1:121" x14ac:dyDescent="0.3">
      <c r="A43">
        <v>40</v>
      </c>
      <c r="B43">
        <v>85</v>
      </c>
      <c r="C43">
        <f t="shared" si="39"/>
        <v>36.1</v>
      </c>
      <c r="D43">
        <f t="shared" si="1"/>
        <v>125</v>
      </c>
      <c r="E43">
        <f t="shared" si="40"/>
        <v>5.5</v>
      </c>
      <c r="F43">
        <v>7.3550000000000004E-2</v>
      </c>
      <c r="G43">
        <v>9.4969999999999999E-2</v>
      </c>
      <c r="H43">
        <f t="shared" si="3"/>
        <v>7.7834E-2</v>
      </c>
      <c r="I43">
        <f t="shared" si="20"/>
        <v>3.2286349135090861E-2</v>
      </c>
      <c r="J43">
        <f t="shared" si="21"/>
        <v>0.37286455014242625</v>
      </c>
      <c r="K43">
        <f t="shared" si="22"/>
        <v>0.47975691446183766</v>
      </c>
      <c r="L43">
        <f t="shared" si="23"/>
        <v>0.19819068469671919</v>
      </c>
      <c r="M43">
        <f t="shared" si="24"/>
        <v>0.26607378879894428</v>
      </c>
      <c r="N43">
        <f t="shared" si="25"/>
        <v>0.72981268844854197</v>
      </c>
      <c r="O43">
        <f t="shared" si="26"/>
        <v>0.84262024302432359</v>
      </c>
      <c r="P43">
        <f t="shared" si="27"/>
        <v>0.47465860112154423</v>
      </c>
      <c r="Q43">
        <f t="shared" si="28"/>
        <v>0.597294913850414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3.0638038357370175E-2</v>
      </c>
      <c r="U43">
        <f t="shared" si="29"/>
        <v>0.63776048308864541</v>
      </c>
      <c r="V43">
        <f t="shared" si="30"/>
        <v>0.75879991732932006</v>
      </c>
      <c r="W43">
        <f t="shared" si="31"/>
        <v>0.38165744875203966</v>
      </c>
      <c r="X43">
        <f t="shared" si="32"/>
        <v>0.48994360217129729</v>
      </c>
      <c r="Y43">
        <f t="shared" si="33"/>
        <v>0.89213238302350972</v>
      </c>
      <c r="Z43">
        <f t="shared" si="34"/>
        <v>0.95699828110407015</v>
      </c>
      <c r="AA43">
        <f t="shared" si="35"/>
        <v>0.66558271466769625</v>
      </c>
      <c r="AB43">
        <f t="shared" si="36"/>
        <v>0.78727172068996798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5.0232588432056219E-2</v>
      </c>
      <c r="AD43">
        <f t="shared" si="37"/>
        <v>6.0023915783938925E-2</v>
      </c>
      <c r="AE43">
        <f t="shared" si="6"/>
        <v>1.8329667518618083E-2</v>
      </c>
      <c r="AF43">
        <f t="shared" si="7"/>
        <v>1.1479234012221871E-3</v>
      </c>
      <c r="AG43">
        <f t="shared" si="8"/>
        <v>3.5774894053694937E-3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5.1619446134742975E-4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2.187091062460309E-3</v>
      </c>
      <c r="AJ43">
        <f t="shared" si="11"/>
        <v>3.4354538984958204E-5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3.0031546665490681E-5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5.3989223487187606E-5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4.5169116358010676E-4</v>
      </c>
      <c r="AN43">
        <f t="shared" si="15"/>
        <v>5.7386985031923346E-3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2.3526777806860994E-5</v>
      </c>
      <c r="AP43">
        <f>AM42*T42*p_Stroke*p_Stroke_rec*(1-I42) + AN42*T42*p_Stroke*p_Stroke_rec*(1-I42) + AO42*(p_recur_Stroke*p_Stroke_rec)*(1-I42) + AP42*(p_recur_Stroke*p_Stroke_rec)*(1-I42) + AQ42*(p_recur_Stroke*p_Stroke_rec)*(1-I42)</f>
        <v>6.9739864617359511E-5</v>
      </c>
      <c r="AQ43">
        <f>AO42*(1-p_recur_Stroke-H42*rr_Stroke*rr_HF)*(1-I42) + AP42*(1-p_recur_Stroke-H42*rr_Stroke*rr_HF)*(1-I42) + AQ42*(1-p_recur_Stroke-H42*rr_Stroke*rr_HF)*(1-I42)</f>
        <v>1.2377808233739673E-4</v>
      </c>
      <c r="AR43">
        <f>AR42*(1-AC42-H42*rr_DM) + AD42*(1-T42-H42)*I42</f>
        <v>0.10671897169144778</v>
      </c>
      <c r="AS43">
        <f>AR42*AC42*p_Other + AD42*T42*p_Other*I42 + AE42*(1-T42*p_Stroke-T42*p_MI-H42*rr_Other)*I42 + AS42*(1-AC42*p_Stroke-AC42*p_MI-H42*rr_Other*rr_DM)</f>
        <v>5.2281072917432329E-2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3.7804942492499312E-3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1.0722486898512266E-2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1.7702001644041697E-3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7.3020286230722183E-3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1.8406444368275496E-4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1.549881343305688E-4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2.3519671695367624E-4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1.5504081424301598E-3</v>
      </c>
      <c r="BB43">
        <f>AM42*(1-T42*p_Stroke - H42*rr_HF)*I42 + AN42*(1-T42*p_Stroke - H42*rr_HF)*I42 + BA42*(1-AC42*p_Stroke - H42*rr_HF*rr_DM) + BB42*(1-AC42*p_Stroke - H42*rr_HF*rr_DM)</f>
        <v>1.8522301008531878E-2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1.1976771270326528E-4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3.6052092032564617E-4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5.1931410267000086E-4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0.64547009294062496</v>
      </c>
      <c r="BG43">
        <f t="shared" si="17"/>
        <v>0.94199999999999962</v>
      </c>
      <c r="BH43">
        <f>(0.9442 - 0.0007*$B43 - dis_BMI*($C43-21.75))*AD43</f>
        <v>5.0260725762102339E-2</v>
      </c>
      <c r="BI43">
        <f>0.959*(0.9442 - 0.0007*$B43 - dis_BMI*($C43-21.75))*AE43</f>
        <v>1.4718976974993792E-2</v>
      </c>
      <c r="BJ43">
        <f>(0.943*(0.9442 - 0.0007*$B43 - dis_BMI*($C43-21.75)) - 0.19*0.5)*AF43</f>
        <v>7.9736634581769011E-4</v>
      </c>
      <c r="BK43">
        <f>(0.943*(0.9442 - 0.0007*$B43 - dis_BMI*($C43-21.75)))*AG43</f>
        <v>2.8248440727691886E-3</v>
      </c>
      <c r="BL43">
        <f>(0.955*(0.9442 - 0.0007*$B43 - dis_BMI*($C43-21.75)) - 0.15*0.5)*AH43</f>
        <v>3.7406778833024294E-4</v>
      </c>
      <c r="BM43">
        <f>(0.955*(0.9442 - 0.0007*$B43 - dis_BMI*($C43-21.75)))*AI43</f>
        <v>1.748939026239515E-3</v>
      </c>
      <c r="BN43">
        <f>(0.955*0.943*(0.9442 - 0.0007*$B43 - dis_BMI*($C43-21.75)) - 0.19*0.5)*AJ43</f>
        <v>2.2642513227970008E-5</v>
      </c>
      <c r="BO43">
        <f>(0.955*0.943*(0.9442 - 0.0007*$B43 - dis_BMI*($C43-21.75)) - 0.15*0.5)*AK43</f>
        <v>2.0393930820917041E-5</v>
      </c>
      <c r="BP43">
        <f>(0.955*0.943*(0.9442 - 0.0007*$B43 - dis_BMI*($C43-21.75)))*AL43</f>
        <v>4.0712388004373787E-5</v>
      </c>
      <c r="BQ43">
        <f>(0.93*(0.9442 - 0.0007*$B43 - dis_BMI*($C43-21.75)))*AM43</f>
        <v>3.5174584375222563E-4</v>
      </c>
      <c r="BR43">
        <f>(0.93*(0.9442 - 0.0007*$B43 - dis_BMI*($C43-21.75)))*AN43</f>
        <v>4.4689015632846949E-3</v>
      </c>
      <c r="BS43">
        <f>(0.93*0.943*(0.9442 - 0.0007*$B43 - dis_BMI*($C43-21.75)))*AO43</f>
        <v>1.7276729101578013E-5</v>
      </c>
      <c r="BT43">
        <f>(0.93*0.943*(0.9442 - 0.0007*$B43 - dis_BMI*($C43-21.75))-0.19*0.5)*AP43</f>
        <v>4.4587707622727556E-5</v>
      </c>
      <c r="BU43">
        <f>(0.93*0.943*(0.9442 - 0.0007*$B43 - dis_BMI*($C43-21.75)))*AQ43</f>
        <v>9.08955920275826E-5</v>
      </c>
      <c r="BV43">
        <f>0.962*(0.9442 - 0.0007*$B43 - dis_BMI*($C43-21.75))*AR43</f>
        <v>8.5964894651638271E-2</v>
      </c>
      <c r="BW43">
        <f>0.962*0.959*(0.9442 - 0.0007*$B43 - dis_BMI*($C43-21.75))*AS43</f>
        <v>4.0387093722498817E-2</v>
      </c>
      <c r="BX43">
        <f>0.962*(0.943*(0.9442 - 0.0007*$B43 - dis_BMI*($C43-21.75)) - 0.19*0.5)*AT43</f>
        <v>2.5262053236262661E-3</v>
      </c>
      <c r="BY43">
        <f>0.962*(0.943*(0.9442 - 0.0007*$B43 - dis_BMI*($C43-21.75)))*AU43</f>
        <v>8.1449180762269979E-3</v>
      </c>
      <c r="BZ43">
        <f>0.962*(0.955*(0.9442 - 0.0007*$B43 - dis_BMI*($C43-21.75)) - 0.15*0.5)*AV43</f>
        <v>1.2340547282171125E-3</v>
      </c>
      <c r="CA43">
        <f>0.962*(0.955*(0.9442 - 0.0007*$B43 - dis_BMI*($C43-21.75)))*AW43</f>
        <v>5.6172843156624651E-3</v>
      </c>
      <c r="CB43">
        <f>0.962*(0.955*0.943*(0.9442 - 0.0007*$B43 - dis_BMI*($C43-21.75)) - 0.19*0.5)*AX43</f>
        <v>1.167039296265189E-4</v>
      </c>
      <c r="CC43">
        <f>0.962*(0.955*0.943*(0.9442 - 0.0007*$B43 - dis_BMI*($C43-21.75)) - 0.15*0.5)*AY43</f>
        <v>1.0125040399900139E-4</v>
      </c>
      <c r="CD43">
        <f>0.962*(0.955*0.943*(0.9442 - 0.0007*$B43 - dis_BMI*($C43-21.75)))*AZ43</f>
        <v>1.7061838350455262E-4</v>
      </c>
      <c r="CE43">
        <f>0.962*(0.93*(0.9442 - 0.0007*$B43 - dis_BMI*($C43-21.75)))*BA43</f>
        <v>1.1614713258787002E-3</v>
      </c>
      <c r="CF43">
        <f>0.962*(0.93*(0.9442 - 0.0007*$B43 - dis_BMI*($C43-21.75)))*BB43</f>
        <v>1.3875779494413354E-2</v>
      </c>
      <c r="CG43">
        <f>0.962*(0.93*0.943*(0.9442 - 0.0007*$B43 - dis_BMI*($C43-21.75)))*BC43</f>
        <v>8.4608481424295259E-5</v>
      </c>
      <c r="CH43">
        <f>0.962*(0.93*0.943*(0.9442 - 0.0007*$B43 - dis_BMI*($C43-21.75))-0.19*0.5)*BD43</f>
        <v>2.2173772518032332E-4</v>
      </c>
      <c r="CI43">
        <f>0.962*(0.93*0.943*(0.9442 - 0.0007*$B43 - dis_BMI*($C43-21.75)))*BE43</f>
        <v>3.6686329409989151E-4</v>
      </c>
      <c r="CJ43">
        <f t="shared" si="18"/>
        <v>0</v>
      </c>
      <c r="CK43">
        <f t="shared" si="19"/>
        <v>0.2357555600940914</v>
      </c>
      <c r="CL43">
        <f>CK43/(1+r_)^A43</f>
        <v>7.2272479697304035E-2</v>
      </c>
      <c r="CM43">
        <f>AD43*c_LIR_2</f>
        <v>705.88124961912172</v>
      </c>
      <c r="CN43">
        <f>AE43*(c_Other+c_LIR_2)</f>
        <v>477.28621251729629</v>
      </c>
      <c r="CO43">
        <f>AF43*(c_Stroke1+c_Stroke2+c_LIR_2)</f>
        <v>40.838522921880532</v>
      </c>
      <c r="CP43">
        <f>AG43*(c_Stroke2 + c_LIR_2)</f>
        <v>65.324956542046962</v>
      </c>
      <c r="CQ43">
        <f>AH43*(c_MI1+c_MI2 + c_LIR_2)</f>
        <v>21.118031608184697</v>
      </c>
      <c r="CR43">
        <f>AI43*(c_MI2+c_LIR_2)</f>
        <v>32.537353736222016</v>
      </c>
      <c r="CS43">
        <f>AJ43*(c_Stroke1+c_Stroke2+c_MI2+c_LIR_2)</f>
        <v>1.3292801769449878</v>
      </c>
      <c r="CT43">
        <f>AK43*(c_Stroke2+c_MI1+c_MI2+c_LIR_2)</f>
        <v>1.4238256589575786</v>
      </c>
      <c r="CU43">
        <f>AL43*(c_Stroke2+c_MI2+c_LIR_2)</f>
        <v>1.1541276304856094</v>
      </c>
      <c r="CV43">
        <f>AM43*(c_HF1+c_LIR_2)</f>
        <v>17.521100235272343</v>
      </c>
      <c r="CW43">
        <f>AN43*(c_HF2+c_LIR_2)</f>
        <v>157.03948453985822</v>
      </c>
      <c r="CX43">
        <f>AO43*(c_Stroke2+c_HF1+c_LIR_2)</f>
        <v>1.0655277668727343</v>
      </c>
      <c r="CY43">
        <f>AP43*(c_Stroke1+c_Stroke2+c_HF2+c_LIR_2)</f>
        <v>3.5693560109810769</v>
      </c>
      <c r="CZ43">
        <f>AQ43*(c_Stroke2+c_HF2+c_LIR_2)</f>
        <v>4.1917447583559397</v>
      </c>
      <c r="DA43">
        <f>AR43*(c_DM+c_LIR_2)</f>
        <v>2474.2793586662169</v>
      </c>
      <c r="DB43">
        <f>AS43*(c_Other+c_DM+c_LIR_2)</f>
        <v>1958.6581157786848</v>
      </c>
      <c r="DC43">
        <f>AT43*(c_Stroke1+c_Stroke2+c_DM+c_LIR_2)</f>
        <v>177.68701020899601</v>
      </c>
      <c r="DD43">
        <f>AU43*(c_Stroke2+c_DM+c_LIR_2)</f>
        <v>318.29702358233664</v>
      </c>
      <c r="DE43">
        <f>AV43*(c_MI1+c_MI2+c_DM+c_LIR_2)</f>
        <v>92.64519580425663</v>
      </c>
      <c r="DF43">
        <f>AW43*(c_MI2+c_DM+c_LIR_2)</f>
        <v>192.05795684404549</v>
      </c>
      <c r="DG43">
        <f>AX43*(c_Stroke1+c_Stroke2+c_MI2+c_DM+c_LIR_2)</f>
        <v>9.2249417884923126</v>
      </c>
      <c r="DH43">
        <f>AY43*(c_Stroke2+c_MI1+c_MI2+c_DM+c_LIR_2)</f>
        <v>9.1188818714733468</v>
      </c>
      <c r="DI43">
        <f>AZ43*(c_Stroke2+c_MI2+c_DM+c_LIR_2)</f>
        <v>7.7149227095144877</v>
      </c>
      <c r="DJ43">
        <f>BA43*(c_HF1+c_DM+c_LIR_2)</f>
        <v>77.853744872130477</v>
      </c>
      <c r="DK43">
        <f>BB43*(c_HF2+c_DM+c_LIR_2)</f>
        <v>718.48005612095153</v>
      </c>
      <c r="DL43">
        <f>BC43*(c_Stroke2+c_HF1+c_DM+c_LIR_2)</f>
        <v>6.7926258259656906</v>
      </c>
      <c r="DM43">
        <f>BD43*(c_Stroke1+c_Stroke2+c_HF2+c_DM+c_LIR_2)</f>
        <v>22.570772737907404</v>
      </c>
      <c r="DN43">
        <f>BE43*(c_Stroke2+c_HF2+c_DM+c_LIR_2)</f>
        <v>23.51973570992434</v>
      </c>
      <c r="DO43">
        <f t="shared" si="5"/>
        <v>0</v>
      </c>
      <c r="DP43">
        <f t="shared" si="38"/>
        <v>7619.1811162433769</v>
      </c>
      <c r="DQ43">
        <f>DP43/(1+r_)^A43</f>
        <v>2335.7120922790168</v>
      </c>
    </row>
    <row r="44" spans="1:121" x14ac:dyDescent="0.3">
      <c r="A44">
        <v>41</v>
      </c>
      <c r="B44">
        <v>86</v>
      </c>
      <c r="C44">
        <f t="shared" si="39"/>
        <v>36.1</v>
      </c>
      <c r="D44">
        <f t="shared" si="1"/>
        <v>125</v>
      </c>
      <c r="E44">
        <f>E$4</f>
        <v>5.5</v>
      </c>
      <c r="F44">
        <v>8.1549999999999997E-2</v>
      </c>
      <c r="G44">
        <v>0.10492</v>
      </c>
      <c r="H44">
        <f t="shared" si="3"/>
        <v>8.6223999999999995E-2</v>
      </c>
      <c r="I44">
        <f t="shared" si="20"/>
        <v>3.2286349135090861E-2</v>
      </c>
      <c r="J44">
        <f t="shared" si="21"/>
        <v>0.38225604594230145</v>
      </c>
      <c r="K44">
        <f t="shared" si="22"/>
        <v>0.49063498719739973</v>
      </c>
      <c r="L44">
        <f t="shared" si="23"/>
        <v>0.20389750084123326</v>
      </c>
      <c r="M44">
        <f t="shared" si="24"/>
        <v>0.27337904291746906</v>
      </c>
      <c r="N44">
        <f t="shared" si="25"/>
        <v>0.74261059034798416</v>
      </c>
      <c r="O44">
        <f t="shared" si="26"/>
        <v>0.8530494717610092</v>
      </c>
      <c r="P44">
        <f t="shared" si="27"/>
        <v>0.48704956934317523</v>
      </c>
      <c r="Q44">
        <f t="shared" si="28"/>
        <v>0.6106503843995208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3.1409815969045553E-2</v>
      </c>
      <c r="U44">
        <f t="shared" si="29"/>
        <v>0.64946223725237084</v>
      </c>
      <c r="V44">
        <f t="shared" si="30"/>
        <v>0.76964108571399947</v>
      </c>
      <c r="W44">
        <f t="shared" si="31"/>
        <v>0.39119531582937694</v>
      </c>
      <c r="X44">
        <f t="shared" si="32"/>
        <v>0.50092791997542763</v>
      </c>
      <c r="Y44">
        <f t="shared" si="33"/>
        <v>0.90068153842607113</v>
      </c>
      <c r="Z44">
        <f t="shared" si="34"/>
        <v>0.96173387568819457</v>
      </c>
      <c r="AA44">
        <f t="shared" si="35"/>
        <v>0.67889357349750878</v>
      </c>
      <c r="AB44">
        <f t="shared" si="36"/>
        <v>0.7991367438024034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5.1240646762283903E-2</v>
      </c>
      <c r="AD44">
        <f t="shared" si="37"/>
        <v>5.178525991036427E-2</v>
      </c>
      <c r="AE44">
        <f t="shared" si="6"/>
        <v>1.5848959629219533E-2</v>
      </c>
      <c r="AF44">
        <f t="shared" si="7"/>
        <v>9.9640883121660255E-4</v>
      </c>
      <c r="AG44">
        <f t="shared" si="8"/>
        <v>2.8792434515725164E-3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4.596121642302097E-4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1.8727349021356986E-3</v>
      </c>
      <c r="AJ44">
        <f t="shared" si="11"/>
        <v>2.9606287836075555E-5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2.5630822342307897E-5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3.9060389014716485E-5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3.9820084173025893E-4</v>
      </c>
      <c r="AN44">
        <f t="shared" si="15"/>
        <v>5.0997058498894162E-3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1.9699640899078043E-5</v>
      </c>
      <c r="AP44">
        <f>AM43*T43*p_Stroke*p_Stroke_rec*(1-I43) + AN43*T43*p_Stroke*p_Stroke_rec*(1-I43) + AO43*(p_recur_Stroke*p_Stroke_rec)*(1-I43) + AP43*(p_recur_Stroke*p_Stroke_rec)*(1-I43) + AQ43*(p_recur_Stroke*p_Stroke_rec)*(1-I43)</f>
        <v>6.2024724883901101E-5</v>
      </c>
      <c r="AQ44">
        <f>AO43*(1-p_recur_Stroke-H43*rr_Stroke*rr_HF)*(1-I43) + AP43*(1-p_recur_Stroke-H43*rr_Stroke*rr_HF)*(1-I43) + AQ43*(1-p_recur_Stroke-H43*rr_Stroke*rr_HF)*(1-I43)</f>
        <v>9.1704492512281516E-5</v>
      </c>
      <c r="AR44">
        <f>AR43*(1-AC43-H43*rr_DM) + AD43*(1-T43-H43)*I43</f>
        <v>9.3533621777851725E-2</v>
      </c>
      <c r="AS44">
        <f>AR43*AC43*p_Other + AD43*T43*p_Other*I43 + AE43*(1-T43*p_Stroke-T43*p_MI-H43*rr_Other)*I43 + AS43*(1-AC43*p_Stroke-AC43*p_MI-H43*rr_Other*rr_DM)</f>
        <v>4.5685177333883664E-2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3.3244186129288448E-3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8.6352045377948994E-3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1.5992956472876767E-3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6.3488291231153385E-3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1.6081556938427641E-4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1.3309819217736967E-4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1.6395453741841512E-4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1.3901398330601914E-3</v>
      </c>
      <c r="BB44">
        <f>AM43*(1-T43*p_Stroke - H43*rr_HF)*I43 + AN43*(1-T43*p_Stroke - H43*rr_HF)*I43 + BA43*(1-AC43*p_Stroke - H43*rr_HF*rr_DM) + BB43*(1-AC43*p_Stroke - H43*rr_HF*rr_DM)</f>
        <v>1.6740967380749525E-2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1.00954768980326E-4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3.2578266165102845E-4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3.73015018572984E-4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0.68387687306729661</v>
      </c>
      <c r="BG44">
        <f t="shared" si="17"/>
        <v>0.94199999999999973</v>
      </c>
      <c r="BH44">
        <f>(0.9442 - 0.0007*$B44 - dis_BMI*($C44-21.75))*AD44</f>
        <v>4.3325878777706717E-2</v>
      </c>
      <c r="BI44">
        <f>0.959*(0.9442 - 0.0007*$B44 - dis_BMI*($C44-21.75))*AE44</f>
        <v>1.2716294762999852E-2</v>
      </c>
      <c r="BJ44">
        <f>(0.943*(0.9442 - 0.0007*$B44 - dis_BMI*($C44-21.75)) - 0.19*0.5)*AF44</f>
        <v>6.9146412103182392E-4</v>
      </c>
      <c r="BK44">
        <f>(0.943*(0.9442 - 0.0007*$B44 - dis_BMI*($C44-21.75)))*AG44</f>
        <v>2.271597073201057E-3</v>
      </c>
      <c r="BL44">
        <f>(0.955*(0.9442 - 0.0007*$B44 - dis_BMI*($C44-21.75)) - 0.15*0.5)*AH44</f>
        <v>3.327573569637108E-4</v>
      </c>
      <c r="BM44">
        <f>(0.955*(0.9442 - 0.0007*$B44 - dis_BMI*($C44-21.75)))*AI44</f>
        <v>1.4963076490484421E-3</v>
      </c>
      <c r="BN44">
        <f>(0.955*0.943*(0.9442 - 0.0007*$B44 - dis_BMI*($C44-21.75)) - 0.19*0.5)*AJ44</f>
        <v>1.9494355096792848E-5</v>
      </c>
      <c r="BO44">
        <f>(0.955*0.943*(0.9442 - 0.0007*$B44 - dis_BMI*($C44-21.75)) - 0.15*0.5)*AK44</f>
        <v>1.7389313550186678E-5</v>
      </c>
      <c r="BP44">
        <f>(0.955*0.943*(0.9442 - 0.0007*$B44 - dis_BMI*($C44-21.75)))*AL44</f>
        <v>2.9430175269225204E-5</v>
      </c>
      <c r="BQ44">
        <f>(0.93*(0.9442 - 0.0007*$B44 - dis_BMI*($C44-21.75)))*AM44</f>
        <v>3.0983205120335363E-4</v>
      </c>
      <c r="BR44">
        <f>(0.93*(0.9442 - 0.0007*$B44 - dis_BMI*($C44-21.75)))*AN44</f>
        <v>3.9679783627260797E-3</v>
      </c>
      <c r="BS44">
        <f>(0.93*0.943*(0.9442 - 0.0007*$B44 - dis_BMI*($C44-21.75)))*AO44</f>
        <v>1.4454203698567424E-5</v>
      </c>
      <c r="BT44">
        <f>(0.93*0.943*(0.9442 - 0.0007*$B44 - dis_BMI*($C44-21.75))-0.19*0.5)*AP44</f>
        <v>3.9617009017850882E-5</v>
      </c>
      <c r="BU44">
        <f>(0.93*0.943*(0.9442 - 0.0007*$B44 - dis_BMI*($C44-21.75)))*AQ44</f>
        <v>6.7286272964920042E-5</v>
      </c>
      <c r="BV44">
        <f>0.962*(0.9442 - 0.0007*$B44 - dis_BMI*($C44-21.75))*AR44</f>
        <v>7.5280768386622177E-2</v>
      </c>
      <c r="BW44">
        <f>0.962*0.959*(0.9442 - 0.0007*$B44 - dis_BMI*($C44-21.75))*AS44</f>
        <v>3.5262265755203845E-2</v>
      </c>
      <c r="BX44">
        <f>0.962*(0.943*(0.9442 - 0.0007*$B44 - dis_BMI*($C44-21.75)) - 0.19*0.5)*AT44</f>
        <v>2.2193349852727261E-3</v>
      </c>
      <c r="BY44">
        <f>0.962*(0.943*(0.9442 - 0.0007*$B44 - dis_BMI*($C44-21.75)))*AU44</f>
        <v>6.553912119091022E-3</v>
      </c>
      <c r="BZ44">
        <f>0.962*(0.955*(0.9442 - 0.0007*$B44 - dis_BMI*($C44-21.75)) - 0.15*0.5)*AV44</f>
        <v>1.1138840342353883E-3</v>
      </c>
      <c r="CA44">
        <f>0.962*(0.955*(0.9442 - 0.0007*$B44 - dis_BMI*($C44-21.75)))*AW44</f>
        <v>4.8799267365493212E-3</v>
      </c>
      <c r="CB44">
        <f>0.962*(0.955*0.943*(0.9442 - 0.0007*$B44 - dis_BMI*($C44-21.75)) - 0.19*0.5)*AX44</f>
        <v>1.0186572495717242E-4</v>
      </c>
      <c r="CC44">
        <f>0.962*(0.955*0.943*(0.9442 - 0.0007*$B44 - dis_BMI*($C44-21.75)) - 0.15*0.5)*AY44</f>
        <v>8.6869460976446303E-5</v>
      </c>
      <c r="CD44">
        <f>0.962*(0.955*0.943*(0.9442 - 0.0007*$B44 - dis_BMI*($C44-21.75)))*AZ44</f>
        <v>1.1883785287720233E-4</v>
      </c>
      <c r="CE44">
        <f>0.962*(0.93*(0.9442 - 0.0007*$B44 - dis_BMI*($C44-21.75)))*BA44</f>
        <v>1.0405374806606118E-3</v>
      </c>
      <c r="CF44">
        <f>0.962*(0.93*(0.9442 - 0.0007*$B44 - dis_BMI*($C44-21.75)))*BB44</f>
        <v>1.2530828631706679E-2</v>
      </c>
      <c r="CG44">
        <f>0.962*(0.93*0.943*(0.9442 - 0.0007*$B44 - dis_BMI*($C44-21.75)))*BC44</f>
        <v>7.1258679899701847E-5</v>
      </c>
      <c r="CH44">
        <f>0.962*(0.93*0.943*(0.9442 - 0.0007*$B44 - dis_BMI*($C44-21.75))-0.19*0.5)*BD44</f>
        <v>2.0017962757978109E-4</v>
      </c>
      <c r="CI44">
        <f>0.962*(0.93*0.943*(0.9442 - 0.0007*$B44 - dis_BMI*($C44-21.75)))*BE44</f>
        <v>2.6329175010497631E-4</v>
      </c>
      <c r="CJ44">
        <f t="shared" si="18"/>
        <v>0</v>
      </c>
      <c r="CK44">
        <f t="shared" si="19"/>
        <v>0.20502354271021564</v>
      </c>
      <c r="CL44">
        <f>CK44/(1+r_)^A44</f>
        <v>6.1020747123783844E-2</v>
      </c>
      <c r="CM44">
        <f>AD44*c_LIR_2</f>
        <v>608.9946565458838</v>
      </c>
      <c r="CN44">
        <f>AE44*(c_Other+c_LIR_2)</f>
        <v>412.69105978524743</v>
      </c>
      <c r="CO44">
        <f>AF44*(c_Stroke1+c_Stroke2+c_LIR_2)</f>
        <v>35.448240579361851</v>
      </c>
      <c r="CP44">
        <f>AG44*(c_Stroke2 + c_LIR_2)</f>
        <v>52.574985425714154</v>
      </c>
      <c r="CQ44">
        <f>AH44*(c_MI1+c_MI2 + c_LIR_2)</f>
        <v>18.803193250822108</v>
      </c>
      <c r="CR44">
        <f>AI44*(c_MI2+c_LIR_2)</f>
        <v>27.860677139072788</v>
      </c>
      <c r="CS44">
        <f>AJ44*(c_Stroke1+c_Stroke2+c_MI2+c_LIR_2)</f>
        <v>1.1455560952412716</v>
      </c>
      <c r="CT44">
        <f>AK44*(c_Stroke2+c_MI1+c_MI2+c_LIR_2)</f>
        <v>1.2151829180711597</v>
      </c>
      <c r="CU44">
        <f>AL44*(c_Stroke2+c_MI2+c_LIR_2)</f>
        <v>0.8349939359675943</v>
      </c>
      <c r="CV44">
        <f>AM44*(c_HF1+c_LIR_2)</f>
        <v>15.446210650716743</v>
      </c>
      <c r="CW44">
        <f>AN44*(c_HF2+c_LIR_2)</f>
        <v>139.55345058222386</v>
      </c>
      <c r="CX44">
        <f>AO44*(c_Stroke2+c_HF1+c_LIR_2)</f>
        <v>0.89219673631924457</v>
      </c>
      <c r="CY44">
        <f>AP44*(c_Stroke1+c_Stroke2+c_HF2+c_LIR_2)</f>
        <v>3.1744874442829425</v>
      </c>
      <c r="CZ44">
        <f>AQ44*(c_Stroke2+c_HF2+c_LIR_2)</f>
        <v>3.1055726389284137</v>
      </c>
      <c r="DA44">
        <f>AR44*(c_DM+c_LIR_2)</f>
        <v>2168.577020919492</v>
      </c>
      <c r="DB44">
        <f>AS44*(c_Other+c_DM+c_LIR_2)</f>
        <v>1711.5494836366177</v>
      </c>
      <c r="DC44">
        <f>AT44*(c_Stroke1+c_Stroke2+c_DM+c_LIR_2)</f>
        <v>156.25099922626865</v>
      </c>
      <c r="DD44">
        <f>AU44*(c_Stroke2+c_DM+c_LIR_2)</f>
        <v>256.33604670444157</v>
      </c>
      <c r="DE44">
        <f>AV44*(c_MI1+c_MI2+c_DM+c_LIR_2)</f>
        <v>83.700736996447844</v>
      </c>
      <c r="DF44">
        <f>AW44*(c_MI2+c_DM+c_LIR_2)</f>
        <v>166.98690359617964</v>
      </c>
      <c r="DG44">
        <f>AX44*(c_Stroke1+c_Stroke2+c_MI2+c_DM+c_LIR_2)</f>
        <v>8.059754706401165</v>
      </c>
      <c r="DH44">
        <f>AY44*(c_Stroke2+c_MI1+c_MI2+c_DM+c_LIR_2)</f>
        <v>7.8309652349477217</v>
      </c>
      <c r="DI44">
        <f>AZ44*(c_Stroke2+c_MI2+c_DM+c_LIR_2)</f>
        <v>5.3780367363988528</v>
      </c>
      <c r="DJ44">
        <f>BA44*(c_HF1+c_DM+c_LIR_2)</f>
        <v>69.805871717117512</v>
      </c>
      <c r="DK44">
        <f>BB44*(c_HF2+c_DM+c_LIR_2)</f>
        <v>649.38212469927407</v>
      </c>
      <c r="DL44">
        <f>BC44*(c_Stroke2+c_HF1+c_DM+c_LIR_2)</f>
        <v>5.7256497227191891</v>
      </c>
      <c r="DM44">
        <f>BD44*(c_Stroke1+c_Stroke2+c_HF2+c_DM+c_LIR_2)</f>
        <v>20.395949315324287</v>
      </c>
      <c r="DN44">
        <f>BE44*(c_Stroke2+c_HF2+c_DM+c_LIR_2)</f>
        <v>16.893850191170447</v>
      </c>
      <c r="DO44">
        <f t="shared" si="5"/>
        <v>0</v>
      </c>
      <c r="DP44">
        <f t="shared" si="38"/>
        <v>6648.6138571306528</v>
      </c>
      <c r="DQ44">
        <f>DP44/(1+r_)^A44</f>
        <v>1978.813650064978</v>
      </c>
    </row>
    <row r="45" spans="1:121" x14ac:dyDescent="0.3">
      <c r="A45">
        <v>42</v>
      </c>
      <c r="B45">
        <v>87</v>
      </c>
      <c r="C45">
        <f t="shared" si="39"/>
        <v>36.1</v>
      </c>
      <c r="D45">
        <f t="shared" si="1"/>
        <v>125</v>
      </c>
      <c r="E45">
        <f t="shared" ref="E45:E67" si="41">E$4</f>
        <v>5.5</v>
      </c>
      <c r="F45">
        <v>9.1389999999999999E-2</v>
      </c>
      <c r="G45">
        <v>0.11588</v>
      </c>
      <c r="H45">
        <f t="shared" ref="H45:H67" si="42">(PREV_FEMALE*F45 + (1-PREV_FEMALE)*G45)</f>
        <v>9.6287999999999985E-2</v>
      </c>
      <c r="I45">
        <f t="shared" ref="I45:I67" si="43">0.00000146 * EXP(1.87 * E45) * 0.0197 * EXP(0.101*C45)</f>
        <v>3.2286349135090861E-2</v>
      </c>
      <c r="J45">
        <f t="shared" si="21"/>
        <v>0.39169246415641468</v>
      </c>
      <c r="K45">
        <f t="shared" si="22"/>
        <v>0.50149858424419069</v>
      </c>
      <c r="L45">
        <f t="shared" si="23"/>
        <v>0.20967781943192987</v>
      </c>
      <c r="M45">
        <f t="shared" si="24"/>
        <v>0.28075703752688286</v>
      </c>
      <c r="N45">
        <f t="shared" si="25"/>
        <v>0.75509807726150413</v>
      </c>
      <c r="O45">
        <f t="shared" si="26"/>
        <v>0.86302139467859273</v>
      </c>
      <c r="P45">
        <f t="shared" si="27"/>
        <v>0.4994455563047896</v>
      </c>
      <c r="Q45">
        <f t="shared" si="28"/>
        <v>0.62387859794892653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3.2184388927771097E-2</v>
      </c>
      <c r="U45">
        <f t="shared" si="29"/>
        <v>0.66101106582688263</v>
      </c>
      <c r="V45">
        <f t="shared" si="30"/>
        <v>0.78019940233558538</v>
      </c>
      <c r="W45">
        <f t="shared" si="31"/>
        <v>0.40077438660745868</v>
      </c>
      <c r="X45">
        <f t="shared" si="32"/>
        <v>0.5118905377943217</v>
      </c>
      <c r="Y45">
        <f t="shared" si="33"/>
        <v>0.90874075487438977</v>
      </c>
      <c r="Z45">
        <f t="shared" si="34"/>
        <v>0.96604664155459119</v>
      </c>
      <c r="AA45">
        <f t="shared" si="35"/>
        <v>0.6919859647870239</v>
      </c>
      <c r="AB45">
        <f t="shared" si="36"/>
        <v>0.81061054638398555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5.2240888894188507E-2</v>
      </c>
      <c r="AD45">
        <f t="shared" ref="AD45:AD67" si="44">AD44*(1-T44-H44)*(1-I44)</f>
        <v>4.4218283874513827E-2</v>
      </c>
      <c r="AE45">
        <f t="shared" ref="AE45:AE67" si="45">AD44*T44*p_Other*(1-I44) + AE44*(1-T44*(1-p_Other)-H44*rr_Other)*(1-I44)</f>
        <v>1.3473563788060663E-2</v>
      </c>
      <c r="AF45">
        <f t="shared" ref="AF45:AF67" si="46">AD44*T44*p_Stroke*p_Stroke_rec*(1-I44)+AE44*T44*p_Stroke*p_Stroke_rec*(1-I44) + AF44*p_recur_Stroke*p_Stroke_rec*(1-I44) + AG44*p_recur_Stroke*p_Stroke_rec*(1-I44)</f>
        <v>8.4906274378467234E-4</v>
      </c>
      <c r="AG45">
        <f t="shared" ref="AG45:AG67" si="47">AF44*(1-p_recur_Stroke-T44*p_MI-H44*rr_Stroke)*(1-I44) + AG44*(1-p_recur_Stroke-T44*p_MI-H44*rr_Stroke)*(1-I44)</f>
        <v>2.2623473475949793E-3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4.0392753556229259E-4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1.5854421669375851E-3</v>
      </c>
      <c r="AJ45">
        <f t="shared" ref="AJ45:AJ67" si="48">AH44*T44*p_Stroke*p_Stroke_rec*(1-I44) + AI44*T44*p_Stroke*p_Stroke_rec*(1-I44) + AJ44*p_recur_Stroke*p_Stroke_rec*(1-I44) + AK44*p_recur_Stroke*p_Stroke_rec*(1-I44) + AL44*p_recur_Stroke*p_Stroke_rec*(1-I44)</f>
        <v>2.5075359353639035E-5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2.1306413467910445E-5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2.7329156162638409E-5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3.4659509127154522E-4</v>
      </c>
      <c r="AN45">
        <f t="shared" ref="AN45:AN67" si="49">AM44*(1-T44*p_Stroke - H44*rr_HF)*(1-I44) + AN44*(1-T44*p_Stroke-H44*rr_HF)*(1-I44)</f>
        <v>4.4470454930722941E-3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1.6058089111589419E-5</v>
      </c>
      <c r="AP45">
        <f>AM44*T44*p_Stroke*p_Stroke_rec*(1-I44) + AN44*T44*p_Stroke*p_Stroke_rec*(1-I44) + AO44*(p_recur_Stroke*p_Stroke_rec)*(1-I44) + AP44*(p_recur_Stroke*p_Stroke_rec)*(1-I44) + AQ44*(p_recur_Stroke*p_Stroke_rec)*(1-I44)</f>
        <v>5.388943489347764E-5</v>
      </c>
      <c r="AQ45">
        <f>AO44*(1-p_recur_Stroke-H44*rr_Stroke*rr_HF)*(1-I44) + AP44*(1-p_recur_Stroke-H44*rr_Stroke*rr_HF)*(1-I44) + AQ44*(1-p_recur_Stroke-H44*rr_Stroke*rr_HF)*(1-I44)</f>
        <v>6.5254845304597663E-5</v>
      </c>
      <c r="AR45">
        <f>AR44*(1-AC44-H44*rr_DM) + AD44*(1-T44-H44)*I44</f>
        <v>8.0941607350781708E-2</v>
      </c>
      <c r="AS45">
        <f>AR44*AC44*p_Other + AD44*T44*p_Other*I44 + AE44*(1-T44*p_Stroke-T44*p_MI-H44*rr_Other)*I44 + AS44*(1-AC44*p_Stroke-AC44*p_MI-H44*rr_Other*rr_DM)</f>
        <v>3.9110216922409229E-2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2.8581528639396426E-3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6.7533001737346051E-3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1.4207281705055359E-3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5.4373184543343974E-3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1.3756297143992723E-4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1.1073467229062621E-4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1.0875168853945356E-4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1.2258545103113461E-3</v>
      </c>
      <c r="BB45">
        <f>AM44*(1-T44*p_Stroke - H44*rr_HF)*I44 + AN44*(1-T44*p_Stroke - H44*rr_HF)*I44 + BA44*(1-AC44*p_Stroke - H44*rr_HF*rr_DM) + BB44*(1-AC44*p_Stroke - H44*rr_HF*rr_DM)</f>
        <v>1.4793731474419505E-2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8.2389731465097571E-5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2.8667752057620182E-4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2.5421017218160268E-4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0.72068358198397919</v>
      </c>
      <c r="BG45">
        <f t="shared" ref="BG45:BG67" si="50">SUM(AD45:BF45)</f>
        <v>0.94199999999999984</v>
      </c>
      <c r="BH45">
        <f>(0.9442 - 0.0007*$B45 - dis_BMI*($C45-21.75))*AD45</f>
        <v>3.6964053313480461E-2</v>
      </c>
      <c r="BI45">
        <f>0.959*(0.9442 - 0.0007*$B45 - dis_BMI*($C45-21.75))*AE45</f>
        <v>1.0801368791297146E-2</v>
      </c>
      <c r="BJ45">
        <f>(0.943*(0.9442 - 0.0007*$B45 - dis_BMI*($C45-21.75)) - 0.19*0.5)*AF45</f>
        <v>5.8865191863840855E-4</v>
      </c>
      <c r="BK45">
        <f>(0.943*(0.9442 - 0.0007*$B45 - dis_BMI*($C45-21.75)))*AG45</f>
        <v>1.7833996701366237E-3</v>
      </c>
      <c r="BL45">
        <f>(0.955*(0.9442 - 0.0007*$B45 - dis_BMI*($C45-21.75)) - 0.15*0.5)*AH45</f>
        <v>2.9217188438124584E-4</v>
      </c>
      <c r="BM45">
        <f>(0.955*(0.9442 - 0.0007*$B45 - dis_BMI*($C45-21.75)))*AI45</f>
        <v>1.2657020418898109E-3</v>
      </c>
      <c r="BN45">
        <f>(0.955*0.943*(0.9442 - 0.0007*$B45 - dis_BMI*($C45-21.75)) - 0.19*0.5)*AJ45</f>
        <v>1.6495143324814602E-5</v>
      </c>
      <c r="BO45">
        <f>(0.955*0.943*(0.9442 - 0.0007*$B45 - dis_BMI*($C45-21.75)) - 0.15*0.5)*AK45</f>
        <v>1.4441973024936509E-5</v>
      </c>
      <c r="BP45">
        <f>(0.955*0.943*(0.9442 - 0.0007*$B45 - dis_BMI*($C45-21.75)))*AL45</f>
        <v>2.0574012107907419E-5</v>
      </c>
      <c r="BQ45">
        <f>(0.93*(0.9442 - 0.0007*$B45 - dis_BMI*($C45-21.75)))*AM45</f>
        <v>2.6945302322288245E-4</v>
      </c>
      <c r="BR45">
        <f>(0.93*(0.9442 - 0.0007*$B45 - dis_BMI*($C45-21.75)))*AN45</f>
        <v>3.4572614635768766E-3</v>
      </c>
      <c r="BS45">
        <f>(0.93*0.943*(0.9442 - 0.0007*$B45 - dis_BMI*($C45-21.75)))*AO45</f>
        <v>1.1772432511400918E-5</v>
      </c>
      <c r="BT45">
        <f>(0.93*0.943*(0.9442 - 0.0007*$B45 - dis_BMI*($C45-21.75))-0.19*0.5)*AP45</f>
        <v>3.4387678601911813E-5</v>
      </c>
      <c r="BU45">
        <f>(0.93*0.943*(0.9442 - 0.0007*$B45 - dis_BMI*($C45-21.75)))*AQ45</f>
        <v>4.7839332379582639E-5</v>
      </c>
      <c r="BV45">
        <f>0.962*(0.9442 - 0.0007*$B45 - dis_BMI*($C45-21.75))*AR45</f>
        <v>6.509154814248895E-2</v>
      </c>
      <c r="BW45">
        <f>0.962*0.959*(0.9442 - 0.0007*$B45 - dis_BMI*($C45-21.75))*AS45</f>
        <v>3.0162102289536662E-2</v>
      </c>
      <c r="BX45">
        <f>0.962*(0.943*(0.9442 - 0.0007*$B45 - dis_BMI*($C45-21.75)) - 0.19*0.5)*AT45</f>
        <v>1.9062475731238106E-3</v>
      </c>
      <c r="BY45">
        <f>0.962*(0.943*(0.9442 - 0.0007*$B45 - dis_BMI*($C45-21.75)))*AU45</f>
        <v>5.1213036092827239E-3</v>
      </c>
      <c r="BZ45">
        <f>0.962*(0.955*(0.9442 - 0.0007*$B45 - dis_BMI*($C45-21.75)) - 0.15*0.5)*AV45</f>
        <v>9.8860095486427951E-4</v>
      </c>
      <c r="CA45">
        <f>0.962*(0.955*(0.9442 - 0.0007*$B45 - dis_BMI*($C45-21.75)))*AW45</f>
        <v>4.1758118053477344E-3</v>
      </c>
      <c r="CB45">
        <f>0.962*(0.955*0.943*(0.9442 - 0.0007*$B45 - dis_BMI*($C45-21.75)) - 0.19*0.5)*AX45</f>
        <v>8.7053361986168547E-5</v>
      </c>
      <c r="CC45">
        <f>0.962*(0.955*0.943*(0.9442 - 0.0007*$B45 - dis_BMI*($C45-21.75)) - 0.15*0.5)*AY45</f>
        <v>7.2206264125959595E-5</v>
      </c>
      <c r="CD45">
        <f>0.962*(0.955*0.943*(0.9442 - 0.0007*$B45 - dis_BMI*($C45-21.75)))*AZ45</f>
        <v>7.8759663079227047E-5</v>
      </c>
      <c r="CE45">
        <f>0.962*(0.93*(0.9442 - 0.0007*$B45 - dis_BMI*($C45-21.75)))*BA45</f>
        <v>9.1680010505435373E-4</v>
      </c>
      <c r="CF45">
        <f>0.962*(0.93*(0.9442 - 0.0007*$B45 - dis_BMI*($C45-21.75)))*BB45</f>
        <v>1.1064032848766824E-2</v>
      </c>
      <c r="CG45">
        <f>0.962*(0.93*0.943*(0.9442 - 0.0007*$B45 - dis_BMI*($C45-21.75)))*BC45</f>
        <v>5.8105936503135362E-5</v>
      </c>
      <c r="CH45">
        <f>0.962*(0.93*0.943*(0.9442 - 0.0007*$B45 - dis_BMI*($C45-21.75))-0.19*0.5)*BD45</f>
        <v>1.7598187529697858E-4</v>
      </c>
      <c r="CI45">
        <f>0.962*(0.93*0.943*(0.9442 - 0.0007*$B45 - dis_BMI*($C45-21.75)))*BE45</f>
        <v>1.7928350852184467E-4</v>
      </c>
      <c r="CJ45">
        <f t="shared" ref="CJ45:CJ67" si="51">0*BF45</f>
        <v>0</v>
      </c>
      <c r="CK45">
        <f t="shared" ref="CK45:CK67" si="52">SUM(BH45:CJ45)</f>
        <v>0.17564541061655262</v>
      </c>
      <c r="CL45">
        <f>CK45/(1+r_)^A45</f>
        <v>5.0754361556252653E-2</v>
      </c>
      <c r="CM45">
        <f>AD45*c_LIR_2</f>
        <v>520.00701836428254</v>
      </c>
      <c r="CN45">
        <f>AE45*(c_Other+c_LIR_2)</f>
        <v>350.83812747731162</v>
      </c>
      <c r="CO45">
        <f>AF45*(c_Stroke1+c_Stroke2+c_LIR_2)</f>
        <v>30.206256172883503</v>
      </c>
      <c r="CP45">
        <f>AG45*(c_Stroke2 + c_LIR_2)</f>
        <v>41.310462567084322</v>
      </c>
      <c r="CQ45">
        <f>AH45*(c_MI1+c_MI2 + c_LIR_2)</f>
        <v>16.525079407388951</v>
      </c>
      <c r="CR45">
        <f>AI45*(c_MI2+c_LIR_2)</f>
        <v>23.586623117530454</v>
      </c>
      <c r="CS45">
        <f>AJ45*(c_Stroke1+c_Stroke2+c_MI2+c_LIR_2)</f>
        <v>0.9702408794703552</v>
      </c>
      <c r="CT45">
        <f>AK45*(c_Stroke2+c_MI1+c_MI2+c_LIR_2)</f>
        <v>1.0101583689271021</v>
      </c>
      <c r="CU45">
        <f>AL45*(c_Stroke2+c_MI2+c_LIR_2)</f>
        <v>0.58421537128872125</v>
      </c>
      <c r="CV45">
        <f>AM45*(c_HF1+c_LIR_2)</f>
        <v>13.44442359042324</v>
      </c>
      <c r="CW45">
        <f>AN45*(c_HF2+c_LIR_2)</f>
        <v>121.69339991792333</v>
      </c>
      <c r="CX45">
        <f>AO45*(c_Stroke2+c_HF1+c_LIR_2)</f>
        <v>0.72727085586388485</v>
      </c>
      <c r="CY45">
        <f>AP45*(c_Stroke1+c_Stroke2+c_HF2+c_LIR_2)</f>
        <v>2.758115167283079</v>
      </c>
      <c r="CZ45">
        <f>AQ45*(c_Stroke2+c_HF2+c_LIR_2)</f>
        <v>2.2098553362401998</v>
      </c>
      <c r="DA45">
        <f>AR45*(c_DM+c_LIR_2)</f>
        <v>1876.6311664278739</v>
      </c>
      <c r="DB45">
        <f>AS45*(c_Other+c_DM+c_LIR_2)</f>
        <v>1465.2251667811393</v>
      </c>
      <c r="DC45">
        <f>AT45*(c_Stroke1+c_Stroke2+c_DM+c_LIR_2)</f>
        <v>134.33604275802713</v>
      </c>
      <c r="DD45">
        <f>AU45*(c_Stroke2+c_DM+c_LIR_2)</f>
        <v>200.47171565731176</v>
      </c>
      <c r="DE45">
        <f>AV45*(c_MI1+c_MI2+c_DM+c_LIR_2)</f>
        <v>74.355229531577734</v>
      </c>
      <c r="DF45">
        <f>AW45*(c_MI2+c_DM+c_LIR_2)</f>
        <v>143.01234998590331</v>
      </c>
      <c r="DG45">
        <f>AX45*(c_Stroke1+c_Stroke2+c_MI2+c_DM+c_LIR_2)</f>
        <v>6.8943810026262735</v>
      </c>
      <c r="DH45">
        <f>AY45*(c_Stroke2+c_MI1+c_MI2+c_DM+c_LIR_2)</f>
        <v>6.5151851788912838</v>
      </c>
      <c r="DI45">
        <f>AZ45*(c_Stroke2+c_MI2+c_DM+c_LIR_2)</f>
        <v>3.5672728874711557</v>
      </c>
      <c r="DJ45">
        <f>BA45*(c_HF1+c_DM+c_LIR_2)</f>
        <v>61.556284235284245</v>
      </c>
      <c r="DK45">
        <f>BB45*(c_HF2+c_DM+c_LIR_2)</f>
        <v>573.84884389273259</v>
      </c>
      <c r="DL45">
        <f>BC45*(c_Stroke2+c_HF1+c_DM+c_LIR_2)</f>
        <v>4.672733620043009</v>
      </c>
      <c r="DM45">
        <f>BD45*(c_Stroke1+c_Stroke2+c_HF2+c_DM+c_LIR_2)</f>
        <v>17.947732853193692</v>
      </c>
      <c r="DN45">
        <f>BE45*(c_Stroke2+c_HF2+c_DM+c_LIR_2)</f>
        <v>11.513178698104786</v>
      </c>
      <c r="DO45">
        <f t="shared" ref="DO45:DO67" si="53">BF45*0</f>
        <v>0</v>
      </c>
      <c r="DP45">
        <f t="shared" ref="DP45:DP67" si="54">SUM(CM45:DO45)</f>
        <v>5706.4185301040834</v>
      </c>
      <c r="DQ45">
        <f>DP45/(1+r_)^A45</f>
        <v>1648.922270451332</v>
      </c>
    </row>
    <row r="46" spans="1:121" x14ac:dyDescent="0.3">
      <c r="A46">
        <v>43</v>
      </c>
      <c r="B46">
        <v>88</v>
      </c>
      <c r="C46">
        <f t="shared" si="39"/>
        <v>36.1</v>
      </c>
      <c r="D46">
        <f t="shared" si="1"/>
        <v>125</v>
      </c>
      <c r="E46">
        <f t="shared" si="41"/>
        <v>5.5</v>
      </c>
      <c r="F46">
        <v>0.1036</v>
      </c>
      <c r="G46">
        <v>0.13149</v>
      </c>
      <c r="H46">
        <f t="shared" si="42"/>
        <v>0.109178</v>
      </c>
      <c r="I46">
        <f t="shared" si="43"/>
        <v>3.2286349135090861E-2</v>
      </c>
      <c r="J46">
        <f t="shared" si="21"/>
        <v>0.40116893610667825</v>
      </c>
      <c r="K46">
        <f t="shared" si="22"/>
        <v>0.51234057821793488</v>
      </c>
      <c r="L46">
        <f t="shared" si="23"/>
        <v>0.21553039192674484</v>
      </c>
      <c r="M46">
        <f t="shared" si="24"/>
        <v>0.28820527051527389</v>
      </c>
      <c r="N46">
        <f t="shared" si="25"/>
        <v>0.76726445092453965</v>
      </c>
      <c r="O46">
        <f t="shared" si="26"/>
        <v>0.87253702710806358</v>
      </c>
      <c r="P46">
        <f t="shared" si="27"/>
        <v>0.5118356568076754</v>
      </c>
      <c r="Q46">
        <f t="shared" si="28"/>
        <v>0.63696601350068072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3.2961365259020582E-2</v>
      </c>
      <c r="U46">
        <f t="shared" si="29"/>
        <v>0.6723987533511222</v>
      </c>
      <c r="V46">
        <f t="shared" si="30"/>
        <v>0.79047029054778895</v>
      </c>
      <c r="W46">
        <f t="shared" si="31"/>
        <v>0.41038959194869251</v>
      </c>
      <c r="X46">
        <f t="shared" si="32"/>
        <v>0.52282414945574818</v>
      </c>
      <c r="Y46">
        <f t="shared" si="33"/>
        <v>0.9163202840340009</v>
      </c>
      <c r="Z46">
        <f t="shared" si="34"/>
        <v>0.96996177443669263</v>
      </c>
      <c r="AA46">
        <f t="shared" si="35"/>
        <v>0.70484675550181941</v>
      </c>
      <c r="AB46">
        <f t="shared" si="36"/>
        <v>0.82168697183911732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5.3232748745359063E-2</v>
      </c>
      <c r="AD46">
        <f t="shared" si="44"/>
        <v>3.7293221573924035E-2</v>
      </c>
      <c r="AE46">
        <f t="shared" si="45"/>
        <v>1.1221802854112265E-2</v>
      </c>
      <c r="AF46">
        <f t="shared" si="46"/>
        <v>7.1261819557384449E-4</v>
      </c>
      <c r="AG46">
        <f t="shared" si="47"/>
        <v>1.7208746212818856E-3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3.5074673816684067E-4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1.3213441499984122E-3</v>
      </c>
      <c r="AJ46">
        <f t="shared" si="48"/>
        <v>2.0985572425480114E-5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1.7346388143618076E-5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1.7812604523883942E-5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2.9818318954802397E-4</v>
      </c>
      <c r="AN46">
        <f t="shared" si="49"/>
        <v>3.7915974778368784E-3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1.2836596239615774E-5</v>
      </c>
      <c r="AP46">
        <f>AM45*T45*p_Stroke*p_Stroke_rec*(1-I45) + AN45*T45*p_Stroke*p_Stroke_rec*(1-I45) + AO45*(p_recur_Stroke*p_Stroke_rec)*(1-I45) + AP45*(p_recur_Stroke*p_Stroke_rec)*(1-I45) + AQ45*(p_recur_Stroke*p_Stroke_rec)*(1-I45)</f>
        <v>4.603614417036608E-5</v>
      </c>
      <c r="AQ46">
        <f>AO45*(1-p_recur_Stroke-H45*rr_Stroke*rr_HF)*(1-I45) + AP45*(1-p_recur_Stroke-H45*rr_Stroke*rr_HF)*(1-I45) + AQ45*(1-p_recur_Stroke-H45*rr_Stroke*rr_HF)*(1-I45)</f>
        <v>4.3370664033648299E-5</v>
      </c>
      <c r="AR46">
        <f>AR45*(1-AC45-H45*rr_DM) + AD45*(1-T45-H45)*I45</f>
        <v>6.899461825931627E-2</v>
      </c>
      <c r="AS46">
        <f>AR45*AC45*p_Other + AD45*T45*p_Other*I45 + AE45*(1-T45*p_Stroke-T45*p_MI-H45*rr_Other)*I45 + AS45*(1-AC45*p_Stroke-AC45*p_MI-H45*rr_Other*rr_DM)</f>
        <v>3.2662480776385713E-2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2.4119534033483912E-3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5.0738081577759078E-3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1.2426366436692916E-3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4.563052571806319E-3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1.1592842677397992E-4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8.9851713003724629E-5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6.4252589613856973E-5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1.0645591140810069E-3</v>
      </c>
      <c r="BB46">
        <f>AM45*(1-T45*p_Stroke - H45*rr_HF)*I45 + AN45*(1-T45*p_Stroke - H45*rr_HF)*I45 + BA45*(1-AC45*p_Stroke - H45*rr_HF*rr_DM) + BB45*(1-AC45*p_Stroke - H45*rr_HF*rr_DM)</f>
        <v>1.2725165555798036E-2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6.568724783171344E-5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2.4742901646903411E-4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1.5677312172947142E-4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0.75565302663241829</v>
      </c>
      <c r="BG46">
        <f t="shared" si="50"/>
        <v>0.94199999999999984</v>
      </c>
      <c r="BH46">
        <f>(0.9442 - 0.0007*$B46 - dis_BMI*($C46-21.75))*AD46</f>
        <v>3.1148976853512179E-2</v>
      </c>
      <c r="BI46">
        <f>0.959*(0.9442 - 0.0007*$B46 - dis_BMI*($C46-21.75))*AE46</f>
        <v>8.9886635811627959E-3</v>
      </c>
      <c r="BJ46">
        <f>(0.943*(0.9442 - 0.0007*$B46 - dis_BMI*($C46-21.75)) - 0.19*0.5)*AF46</f>
        <v>4.9358504145112221E-4</v>
      </c>
      <c r="BK46">
        <f>(0.943*(0.9442 - 0.0007*$B46 - dis_BMI*($C46-21.75)))*AG46</f>
        <v>1.355422863438591E-3</v>
      </c>
      <c r="BL46">
        <f>(0.955*(0.9442 - 0.0007*$B46 - dis_BMI*($C46-21.75)) - 0.15*0.5)*AH46</f>
        <v>2.5347027828824244E-4</v>
      </c>
      <c r="BM46">
        <f>(0.955*(0.9442 - 0.0007*$B46 - dis_BMI*($C46-21.75)))*AI46</f>
        <v>1.0539820203099796E-3</v>
      </c>
      <c r="BN46">
        <f>(0.955*0.943*(0.9442 - 0.0007*$B46 - dis_BMI*($C46-21.75)) - 0.19*0.5)*AJ46</f>
        <v>1.3791558989406408E-5</v>
      </c>
      <c r="BO46">
        <f>(0.955*0.943*(0.9442 - 0.0007*$B46 - dis_BMI*($C46-21.75)) - 0.15*0.5)*AK46</f>
        <v>1.1746842451183532E-5</v>
      </c>
      <c r="BP46">
        <f>(0.955*0.943*(0.9442 - 0.0007*$B46 - dis_BMI*($C46-21.75)))*AL46</f>
        <v>1.3398505986205335E-5</v>
      </c>
      <c r="BQ46">
        <f>(0.93*(0.9442 - 0.0007*$B46 - dis_BMI*($C46-21.75)))*AM46</f>
        <v>2.3162209688325656E-4</v>
      </c>
      <c r="BR46">
        <f>(0.93*(0.9442 - 0.0007*$B46 - dis_BMI*($C46-21.75)))*AN46</f>
        <v>2.9452289368995534E-3</v>
      </c>
      <c r="BS46">
        <f>(0.93*0.943*(0.9442 - 0.0007*$B46 - dis_BMI*($C46-21.75)))*AO46</f>
        <v>9.4028261615121969E-6</v>
      </c>
      <c r="BT46">
        <f>(0.93*0.943*(0.9442 - 0.0007*$B46 - dis_BMI*($C46-21.75))-0.19*0.5)*AP46</f>
        <v>2.9348111540578244E-5</v>
      </c>
      <c r="BU46">
        <f>(0.93*0.943*(0.9442 - 0.0007*$B46 - dis_BMI*($C46-21.75)))*AQ46</f>
        <v>3.1769077004945267E-5</v>
      </c>
      <c r="BV46">
        <f>0.962*(0.9442 - 0.0007*$B46 - dis_BMI*($C46-21.75))*AR46</f>
        <v>5.5437568350738514E-2</v>
      </c>
      <c r="BW46">
        <f>0.962*0.959*(0.9442 - 0.0007*$B46 - dis_BMI*($C46-21.75))*AS46</f>
        <v>2.5168465098054534E-2</v>
      </c>
      <c r="BX46">
        <f>0.962*(0.943*(0.9442 - 0.0007*$B46 - dis_BMI*($C46-21.75)) - 0.19*0.5)*AT46</f>
        <v>1.6071228199077861E-3</v>
      </c>
      <c r="BY46">
        <f>0.962*(0.943*(0.9442 - 0.0007*$B46 - dis_BMI*($C46-21.75)))*AU46</f>
        <v>3.844454202431102E-3</v>
      </c>
      <c r="BZ46">
        <f>0.962*(0.955*(0.9442 - 0.0007*$B46 - dis_BMI*($C46-21.75)) - 0.15*0.5)*AV46</f>
        <v>8.6387842732945383E-4</v>
      </c>
      <c r="CA46">
        <f>0.962*(0.955*(0.9442 - 0.0007*$B46 - dis_BMI*($C46-21.75)))*AW46</f>
        <v>3.5014489634808124E-3</v>
      </c>
      <c r="CB46">
        <f>0.962*(0.955*0.943*(0.9442 - 0.0007*$B46 - dis_BMI*($C46-21.75)) - 0.19*0.5)*AX46</f>
        <v>7.3292165838261339E-5</v>
      </c>
      <c r="CC46">
        <f>0.962*(0.955*0.943*(0.9442 - 0.0007*$B46 - dis_BMI*($C46-21.75)) - 0.15*0.5)*AY46</f>
        <v>5.8534716240946956E-5</v>
      </c>
      <c r="CD46">
        <f>0.962*(0.955*0.943*(0.9442 - 0.0007*$B46 - dis_BMI*($C46-21.75)))*AZ46</f>
        <v>4.6493758653335944E-5</v>
      </c>
      <c r="CE46">
        <f>0.962*(0.93*(0.9442 - 0.0007*$B46 - dis_BMI*($C46-21.75)))*BA46</f>
        <v>7.9550275412006686E-4</v>
      </c>
      <c r="CF46">
        <f>0.962*(0.93*(0.9442 - 0.0007*$B46 - dis_BMI*($C46-21.75)))*BB46</f>
        <v>9.5090109251564341E-3</v>
      </c>
      <c r="CG46">
        <f>0.962*(0.93*0.943*(0.9442 - 0.0007*$B46 - dis_BMI*($C46-21.75)))*BC46</f>
        <v>4.6287600073081685E-5</v>
      </c>
      <c r="CH46">
        <f>0.962*(0.93*0.943*(0.9442 - 0.0007*$B46 - dis_BMI*($C46-21.75))-0.19*0.5)*BD46</f>
        <v>1.5174239010235291E-4</v>
      </c>
      <c r="CI46">
        <f>0.962*(0.93*0.943*(0.9442 - 0.0007*$B46 - dis_BMI*($C46-21.75)))*BE46</f>
        <v>1.1047275993985021E-4</v>
      </c>
      <c r="CJ46">
        <f t="shared" si="51"/>
        <v>0</v>
      </c>
      <c r="CK46">
        <f t="shared" si="52"/>
        <v>0.14779468352614614</v>
      </c>
      <c r="CL46">
        <f>CK46/(1+r_)^A46</f>
        <v>4.1462754434492745E-2</v>
      </c>
      <c r="CM46">
        <f>AD46*c_LIR_2</f>
        <v>438.56828570934664</v>
      </c>
      <c r="CN46">
        <f>AE46*(c_Other+c_LIR_2)</f>
        <v>292.20452451822928</v>
      </c>
      <c r="CO46">
        <f>AF46*(c_Stroke1+c_Stroke2+c_LIR_2)</f>
        <v>25.352104925735091</v>
      </c>
      <c r="CP46">
        <f>AG46*(c_Stroke2 + c_LIR_2)</f>
        <v>31.423170584607231</v>
      </c>
      <c r="CQ46">
        <f>AH46*(c_MI1+c_MI2 + c_LIR_2)</f>
        <v>14.349399805143619</v>
      </c>
      <c r="CR46">
        <f>AI46*(c_MI2+c_LIR_2)</f>
        <v>19.657636919526379</v>
      </c>
      <c r="CS46">
        <f>AJ46*(c_Stroke1+c_Stroke2+c_MI2+c_LIR_2)</f>
        <v>0.81199475385910203</v>
      </c>
      <c r="CT46">
        <f>AK46*(c_Stroke2+c_MI1+c_MI2+c_LIR_2)</f>
        <v>0.82240960827707665</v>
      </c>
      <c r="CU46">
        <f>AL46*(c_Stroke2+c_MI2+c_LIR_2)</f>
        <v>0.38078004690706702</v>
      </c>
      <c r="CV46">
        <f>AM46*(c_HF1+c_LIR_2)</f>
        <v>11.56652592256785</v>
      </c>
      <c r="CW46">
        <f>AN46*(c_HF2+c_LIR_2)</f>
        <v>103.75706498100618</v>
      </c>
      <c r="CX46">
        <f>AO46*(c_Stroke2+c_HF1+c_LIR_2)</f>
        <v>0.58136944369219845</v>
      </c>
      <c r="CY46">
        <f>AP46*(c_Stroke1+c_Stroke2+c_HF2+c_LIR_2)</f>
        <v>2.3561758947835063</v>
      </c>
      <c r="CZ46">
        <f>AQ46*(c_Stroke2+c_HF2+c_LIR_2)</f>
        <v>1.4687475374994996</v>
      </c>
      <c r="DA46">
        <f>AR46*(c_DM+c_LIR_2)</f>
        <v>1599.6402243422476</v>
      </c>
      <c r="DB46">
        <f>AS46*(c_Other+c_DM+c_LIR_2)</f>
        <v>1223.6671798065145</v>
      </c>
      <c r="DC46">
        <f>AT46*(c_Stroke1+c_Stroke2+c_DM+c_LIR_2)</f>
        <v>113.36422191077774</v>
      </c>
      <c r="DD46">
        <f>AU46*(c_Stroke2+c_DM+c_LIR_2)</f>
        <v>150.61599516357782</v>
      </c>
      <c r="DE46">
        <f>AV46*(c_MI1+c_MI2+c_DM+c_LIR_2)</f>
        <v>65.034631383076047</v>
      </c>
      <c r="DF46">
        <f>AW46*(c_MI2+c_DM+c_LIR_2)</f>
        <v>120.01740874364981</v>
      </c>
      <c r="DG46">
        <f>AX46*(c_Stroke1+c_Stroke2+c_MI2+c_DM+c_LIR_2)</f>
        <v>5.8101008930583253</v>
      </c>
      <c r="DH46">
        <f>AY46*(c_Stroke2+c_MI1+c_MI2+c_DM+c_LIR_2)</f>
        <v>5.2865153862871423</v>
      </c>
      <c r="DI46">
        <f>AZ46*(c_Stroke2+c_MI2+c_DM+c_LIR_2)</f>
        <v>2.1076134445137362</v>
      </c>
      <c r="DJ46">
        <f>BA46*(c_HF1+c_DM+c_LIR_2)</f>
        <v>53.456835913577763</v>
      </c>
      <c r="DK46">
        <f>BB46*(c_HF2+c_DM+c_LIR_2)</f>
        <v>493.6091719094058</v>
      </c>
      <c r="DL46">
        <f>BC46*(c_Stroke2+c_HF1+c_DM+c_LIR_2)</f>
        <v>3.725452260775628</v>
      </c>
      <c r="DM46">
        <f>BD46*(c_Stroke1+c_Stroke2+c_HF2+c_DM+c_LIR_2)</f>
        <v>15.490541005060349</v>
      </c>
      <c r="DN46">
        <f>BE46*(c_Stroke2+c_HF2+c_DM+c_LIR_2)</f>
        <v>7.1002546831277602</v>
      </c>
      <c r="DO46">
        <f t="shared" si="53"/>
        <v>0</v>
      </c>
      <c r="DP46">
        <f t="shared" si="54"/>
        <v>4802.2263374968297</v>
      </c>
      <c r="DQ46">
        <f>DP46/(1+r_)^A46</f>
        <v>1347.230675826439</v>
      </c>
    </row>
    <row r="47" spans="1:121" x14ac:dyDescent="0.3">
      <c r="A47">
        <v>44</v>
      </c>
      <c r="B47">
        <v>89</v>
      </c>
      <c r="C47">
        <f t="shared" si="39"/>
        <v>36.1</v>
      </c>
      <c r="D47">
        <f t="shared" si="1"/>
        <v>125</v>
      </c>
      <c r="E47">
        <f t="shared" si="41"/>
        <v>5.5</v>
      </c>
      <c r="F47">
        <v>0.11525000000000001</v>
      </c>
      <c r="G47">
        <v>0.14443</v>
      </c>
      <c r="H47">
        <f t="shared" si="42"/>
        <v>0.121086</v>
      </c>
      <c r="I47">
        <f t="shared" si="43"/>
        <v>3.2286349135090861E-2</v>
      </c>
      <c r="J47">
        <f t="shared" si="21"/>
        <v>0.410680554891108</v>
      </c>
      <c r="K47">
        <f t="shared" si="22"/>
        <v>0.5231539022733076</v>
      </c>
      <c r="L47">
        <f t="shared" si="23"/>
        <v>0.22145392347555903</v>
      </c>
      <c r="M47">
        <f t="shared" si="24"/>
        <v>0.29572118142781445</v>
      </c>
      <c r="N47">
        <f t="shared" si="25"/>
        <v>0.77910012745160051</v>
      </c>
      <c r="O47">
        <f t="shared" si="26"/>
        <v>0.88159897625602246</v>
      </c>
      <c r="P47">
        <f t="shared" si="27"/>
        <v>0.52420896541654394</v>
      </c>
      <c r="Q47">
        <f t="shared" si="28"/>
        <v>0.64989949202259933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3.3740356767050755E-2</v>
      </c>
      <c r="U47">
        <f t="shared" si="29"/>
        <v>0.68361748221029128</v>
      </c>
      <c r="V47">
        <f t="shared" si="30"/>
        <v>0.80044993226711536</v>
      </c>
      <c r="W47">
        <f t="shared" si="31"/>
        <v>0.42003582920172433</v>
      </c>
      <c r="X47">
        <f t="shared" si="32"/>
        <v>0.53372152392940375</v>
      </c>
      <c r="Y47">
        <f t="shared" si="33"/>
        <v>0.92343180787724144</v>
      </c>
      <c r="Z47">
        <f t="shared" si="34"/>
        <v>0.9735044620393124</v>
      </c>
      <c r="AA47">
        <f t="shared" si="35"/>
        <v>0.71746355681457774</v>
      </c>
      <c r="AB47">
        <f t="shared" si="36"/>
        <v>0.83236128924212016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5.4215686598229867E-2</v>
      </c>
      <c r="AD47">
        <f t="shared" si="44"/>
        <v>3.0959469363282401E-2</v>
      </c>
      <c r="AE47">
        <f t="shared" si="45"/>
        <v>9.0999951055322544E-3</v>
      </c>
      <c r="AF47">
        <f t="shared" si="46"/>
        <v>5.8743286631164247E-4</v>
      </c>
      <c r="AG47">
        <f t="shared" si="47"/>
        <v>1.2505150601798663E-3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3.0014804101264752E-4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1.0773629805571386E-3</v>
      </c>
      <c r="AJ47">
        <f t="shared" si="48"/>
        <v>1.7283914218624134E-5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1.3758976561403201E-5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1.0104157174222937E-5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2.5282214888651806E-4</v>
      </c>
      <c r="AN47">
        <f t="shared" si="49"/>
        <v>3.1413145973762345E-3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1.0002079208018947E-5</v>
      </c>
      <c r="AP47">
        <f>AM46*T46*p_Stroke*p_Stroke_rec*(1-I46) + AN46*T46*p_Stroke*p_Stroke_rec*(1-I46) + AO46*(p_recur_Stroke*p_Stroke_rec)*(1-I46) + AP46*(p_recur_Stroke*p_Stroke_rec)*(1-I46) + AQ46*(p_recur_Stroke*p_Stroke_rec)*(1-I46)</f>
        <v>3.8526962196583819E-5</v>
      </c>
      <c r="AQ47">
        <f>AO46*(1-p_recur_Stroke-H46*rr_Stroke*rr_HF)*(1-I46) + AP46*(1-p_recur_Stroke-H46*rr_Stroke*rr_HF)*(1-I46) + AQ46*(1-p_recur_Stroke-H46*rr_Stroke*rr_HF)*(1-I46)</f>
        <v>2.5532723904120491E-5</v>
      </c>
      <c r="AR47">
        <f>AR46*(1-AC46-H46*rr_DM) + AD46*(1-T46-H46)*I46</f>
        <v>5.76921638512332E-2</v>
      </c>
      <c r="AS47">
        <f>AR46*AC46*p_Other + AD46*T46*p_Other*I46 + AE46*(1-T46*p_Stroke-T46*p_MI-H46*rr_Other)*I46 + AS46*(1-AC46*p_Stroke-AC46*p_MI-H46*rr_Other*rr_DM)</f>
        <v>2.6411929750618807E-2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1.9910975231135562E-3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3.5997234193848558E-3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1.0667290923391539E-3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3.7241831259018704E-3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9.5783837303120217E-5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7.0664263944651305E-5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2.8685628788059564E-5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9.0724546145733186E-4</v>
      </c>
      <c r="BB47">
        <f>AM46*(1-T46*p_Stroke - H46*rr_HF)*I46 + AN46*(1-T46*p_Stroke - H46*rr_HF)*I46 + BA46*(1-AC46*p_Stroke - H46*rr_HF*rr_DM) + BB46*(1-AC46*p_Stroke - H46*rr_HF*rr_DM)</f>
        <v>1.057461125995398E-2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5.0793681736668806E-5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2.0848932703209532E-4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7.8273231739945593E-5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0.78871535756905087</v>
      </c>
      <c r="BG47">
        <f t="shared" si="50"/>
        <v>0.94199999999999984</v>
      </c>
      <c r="BH47">
        <f>(0.9442 - 0.0007*$B47 - dis_BMI*($C47-21.75))*AD47</f>
        <v>2.5837070359780511E-2</v>
      </c>
      <c r="BI47">
        <f>0.959*(0.9442 - 0.0007*$B47 - dis_BMI*($C47-21.75))*AE47</f>
        <v>7.282986843317212E-3</v>
      </c>
      <c r="BJ47">
        <f>(0.943*(0.9442 - 0.0007*$B47 - dis_BMI*($C47-21.75)) - 0.19*0.5)*AF47</f>
        <v>4.0648940691572876E-4</v>
      </c>
      <c r="BK47">
        <f>(0.943*(0.9442 - 0.0007*$B47 - dis_BMI*($C47-21.75)))*AG47</f>
        <v>9.8412525871663143E-4</v>
      </c>
      <c r="BL47">
        <f>(0.955*(0.9442 - 0.0007*$B47 - dis_BMI*($C47-21.75)) - 0.15*0.5)*AH47</f>
        <v>2.1670402670104086E-4</v>
      </c>
      <c r="BM47">
        <f>(0.955*(0.9442 - 0.0007*$B47 - dis_BMI*($C47-21.75)))*AI47</f>
        <v>8.5864803362164968E-4</v>
      </c>
      <c r="BN47">
        <f>(0.955*0.943*(0.9442 - 0.0007*$B47 - dis_BMI*($C47-21.75)) - 0.19*0.5)*AJ47</f>
        <v>1.1347961597022461E-5</v>
      </c>
      <c r="BO47">
        <f>(0.955*0.943*(0.9442 - 0.0007*$B47 - dis_BMI*($C47-21.75)) - 0.15*0.5)*AK47</f>
        <v>9.3088009469657281E-6</v>
      </c>
      <c r="BP47">
        <f>(0.955*0.943*(0.9442 - 0.0007*$B47 - dis_BMI*($C47-21.75)))*AL47</f>
        <v>7.5939007552903558E-6</v>
      </c>
      <c r="BQ47">
        <f>(0.93*(0.9442 - 0.0007*$B47 - dis_BMI*($C47-21.75)))*AM47</f>
        <v>1.9622205802552429E-4</v>
      </c>
      <c r="BR47">
        <f>(0.93*(0.9442 - 0.0007*$B47 - dis_BMI*($C47-21.75)))*AN47</f>
        <v>2.4380586033206351E-3</v>
      </c>
      <c r="BS47">
        <f>(0.93*0.943*(0.9442 - 0.0007*$B47 - dis_BMI*($C47-21.75)))*AO47</f>
        <v>7.3203979421075365E-6</v>
      </c>
      <c r="BT47">
        <f>(0.93*0.943*(0.9442 - 0.0007*$B47 - dis_BMI*($C47-21.75))-0.19*0.5)*AP47</f>
        <v>2.4537345241875109E-5</v>
      </c>
      <c r="BU47">
        <f>(0.93*0.943*(0.9442 - 0.0007*$B47 - dis_BMI*($C47-21.75)))*AQ47</f>
        <v>1.868708451881413E-5</v>
      </c>
      <c r="BV47">
        <f>0.962*(0.9442 - 0.0007*$B47 - dis_BMI*($C47-21.75))*AR47</f>
        <v>4.6317132019740768E-2</v>
      </c>
      <c r="BW47">
        <f>0.962*0.959*(0.9442 - 0.0007*$B47 - dis_BMI*($C47-21.75))*AS47</f>
        <v>2.0334971693163079E-2</v>
      </c>
      <c r="BX47">
        <f>0.962*(0.943*(0.9442 - 0.0007*$B47 - dis_BMI*($C47-21.75)) - 0.19*0.5)*AT47</f>
        <v>1.325435490563845E-3</v>
      </c>
      <c r="BY47">
        <f>0.962*(0.943*(0.9442 - 0.0007*$B47 - dis_BMI*($C47-21.75)))*AU47</f>
        <v>2.7252456669707454E-3</v>
      </c>
      <c r="BZ47">
        <f>0.962*(0.955*(0.9442 - 0.0007*$B47 - dis_BMI*($C47-21.75)) - 0.15*0.5)*AV47</f>
        <v>7.4090185079944248E-4</v>
      </c>
      <c r="CA47">
        <f>0.962*(0.955*(0.9442 - 0.0007*$B47 - dis_BMI*($C47-21.75)))*AW47</f>
        <v>2.8553492163165346E-3</v>
      </c>
      <c r="CB47">
        <f>0.962*(0.955*0.943*(0.9442 - 0.0007*$B47 - dis_BMI*($C47-21.75)) - 0.19*0.5)*AX47</f>
        <v>6.0498284383171711E-5</v>
      </c>
      <c r="CC47">
        <f>0.962*(0.955*0.943*(0.9442 - 0.0007*$B47 - dis_BMI*($C47-21.75)) - 0.15*0.5)*AY47</f>
        <v>4.5992024243214142E-5</v>
      </c>
      <c r="CD47">
        <f>0.962*(0.955*0.943*(0.9442 - 0.0007*$B47 - dis_BMI*($C47-21.75)))*AZ47</f>
        <v>2.073978595322026E-5</v>
      </c>
      <c r="CE47">
        <f>0.962*(0.93*(0.9442 - 0.0007*$B47 - dis_BMI*($C47-21.75)))*BA47</f>
        <v>6.7738033481492372E-4</v>
      </c>
      <c r="CF47">
        <f>0.962*(0.93*(0.9442 - 0.0007*$B47 - dis_BMI*($C47-21.75)))*BB47</f>
        <v>7.895364617530435E-3</v>
      </c>
      <c r="CG47">
        <f>0.962*(0.93*0.943*(0.9442 - 0.0007*$B47 - dis_BMI*($C47-21.75)))*BC47</f>
        <v>3.5762606675482468E-5</v>
      </c>
      <c r="CH47">
        <f>0.962*(0.93*0.943*(0.9442 - 0.0007*$B47 - dis_BMI*($C47-21.75))-0.19*0.5)*BD47</f>
        <v>1.2773846888964067E-4</v>
      </c>
      <c r="CI47">
        <f>0.962*(0.93*0.943*(0.9442 - 0.0007*$B47 - dis_BMI*($C47-21.75)))*BE47</f>
        <v>5.5110295301034181E-5</v>
      </c>
      <c r="CJ47">
        <f t="shared" si="51"/>
        <v>0</v>
      </c>
      <c r="CK47">
        <f t="shared" si="52"/>
        <v>0.12151672243674654</v>
      </c>
      <c r="CL47">
        <f>CK47/(1+r_)^A47</f>
        <v>3.3097726290917784E-2</v>
      </c>
      <c r="CM47">
        <f>AD47*c_LIR_2</f>
        <v>364.08335971220106</v>
      </c>
      <c r="CN47">
        <f>AE47*(c_Other+c_LIR_2)</f>
        <v>236.95477255295438</v>
      </c>
      <c r="CO47">
        <f>AF47*(c_Stroke1+c_Stroke2+c_LIR_2)</f>
        <v>20.898511651902993</v>
      </c>
      <c r="CP47">
        <f>AG47*(c_Stroke2 + c_LIR_2)</f>
        <v>22.834404998884359</v>
      </c>
      <c r="CQ47">
        <f>AH47*(c_MI1+c_MI2 + c_LIR_2)</f>
        <v>12.279356505868423</v>
      </c>
      <c r="CR47">
        <f>AI47*(c_MI2+c_LIR_2)</f>
        <v>16.027929061748551</v>
      </c>
      <c r="CS47">
        <f>AJ47*(c_Stroke1+c_Stroke2+c_MI2+c_LIR_2)</f>
        <v>0.66876649286122358</v>
      </c>
      <c r="CT47">
        <f>AK47*(c_Stroke2+c_MI1+c_MI2+c_LIR_2)</f>
        <v>0.65232683775268718</v>
      </c>
      <c r="CU47">
        <f>AL47*(c_Stroke2+c_MI2+c_LIR_2)</f>
        <v>0.21599656791336372</v>
      </c>
      <c r="CV47">
        <f>AM47*(c_HF1+c_LIR_2)</f>
        <v>9.8069711553080356</v>
      </c>
      <c r="CW47">
        <f>AN47*(c_HF2+c_LIR_2)</f>
        <v>85.962073957200658</v>
      </c>
      <c r="CX47">
        <f>AO47*(c_Stroke2+c_HF1+c_LIR_2)</f>
        <v>0.45299416733117809</v>
      </c>
      <c r="CY47">
        <f>AP47*(c_Stroke1+c_Stroke2+c_HF2+c_LIR_2)</f>
        <v>1.9718484521833564</v>
      </c>
      <c r="CZ47">
        <f>AQ47*(c_Stroke2+c_HF2+c_LIR_2)</f>
        <v>0.86466569501304047</v>
      </c>
      <c r="DA47">
        <f>AR47*(c_DM+c_LIR_2)</f>
        <v>1337.5928188908417</v>
      </c>
      <c r="DB47">
        <f>AS47*(c_Other+c_DM+c_LIR_2)</f>
        <v>989.49653617718297</v>
      </c>
      <c r="DC47">
        <f>AT47*(c_Stroke1+c_Stroke2+c_DM+c_LIR_2)</f>
        <v>93.583574683860249</v>
      </c>
      <c r="DD47">
        <f>AU47*(c_Stroke2+c_DM+c_LIR_2)</f>
        <v>106.85778970443944</v>
      </c>
      <c r="DE47">
        <f>AV47*(c_MI1+c_MI2+c_DM+c_LIR_2)</f>
        <v>55.828333776661957</v>
      </c>
      <c r="DF47">
        <f>AW47*(c_MI2+c_DM+c_LIR_2)</f>
        <v>97.953464577470996</v>
      </c>
      <c r="DG47">
        <f>AX47*(c_Stroke1+c_Stroke2+c_MI2+c_DM+c_LIR_2)</f>
        <v>4.8004943579577795</v>
      </c>
      <c r="DH47">
        <f>AY47*(c_Stroke2+c_MI1+c_MI2+c_DM+c_LIR_2)</f>
        <v>4.157602633447504</v>
      </c>
      <c r="DI47">
        <f>AZ47*(c_Stroke2+c_MI2+c_DM+c_LIR_2)</f>
        <v>0.94094599550592983</v>
      </c>
      <c r="DJ47">
        <f>BA47*(c_HF1+c_DM+c_LIR_2)</f>
        <v>45.557330847079918</v>
      </c>
      <c r="DK47">
        <f>BB47*(c_HF2+c_DM+c_LIR_2)</f>
        <v>410.18917077361488</v>
      </c>
      <c r="DL47">
        <f>BC47*(c_Stroke2+c_HF1+c_DM+c_LIR_2)</f>
        <v>2.8807636596951713</v>
      </c>
      <c r="DM47">
        <f>BD47*(c_Stroke1+c_Stroke2+c_HF2+c_DM+c_LIR_2)</f>
        <v>13.05268280817136</v>
      </c>
      <c r="DN47">
        <f>BE47*(c_Stroke2+c_HF2+c_DM+c_LIR_2)</f>
        <v>3.544994665502136</v>
      </c>
      <c r="DO47">
        <f t="shared" si="53"/>
        <v>0</v>
      </c>
      <c r="DP47">
        <f t="shared" si="54"/>
        <v>3940.1104813605552</v>
      </c>
      <c r="DQ47">
        <f>DP47/(1+r_)^A47</f>
        <v>1073.1749149663744</v>
      </c>
    </row>
    <row r="48" spans="1:121" x14ac:dyDescent="0.3">
      <c r="A48">
        <v>45</v>
      </c>
      <c r="B48">
        <v>90</v>
      </c>
      <c r="C48">
        <f t="shared" si="39"/>
        <v>36.1</v>
      </c>
      <c r="D48">
        <f t="shared" si="1"/>
        <v>125</v>
      </c>
      <c r="E48">
        <f t="shared" si="41"/>
        <v>5.5</v>
      </c>
      <c r="F48">
        <v>0.12912000000000001</v>
      </c>
      <c r="G48">
        <v>0.16005</v>
      </c>
      <c r="H48">
        <f t="shared" si="42"/>
        <v>0.13530600000000001</v>
      </c>
      <c r="I48">
        <f t="shared" si="43"/>
        <v>3.2286349135090861E-2</v>
      </c>
      <c r="J48">
        <f t="shared" si="21"/>
        <v>0.42022238179876037</v>
      </c>
      <c r="K48">
        <f t="shared" si="22"/>
        <v>0.53393156197550251</v>
      </c>
      <c r="L48">
        <f t="shared" si="23"/>
        <v>0.22744707363548633</v>
      </c>
      <c r="M48">
        <f t="shared" si="24"/>
        <v>0.30330215367783997</v>
      </c>
      <c r="N48">
        <f t="shared" si="25"/>
        <v>0.79059665672654833</v>
      </c>
      <c r="O48">
        <f t="shared" si="26"/>
        <v>0.8902113702382245</v>
      </c>
      <c r="P48">
        <f t="shared" si="27"/>
        <v>0.53655460251130904</v>
      </c>
      <c r="Q48">
        <f t="shared" si="28"/>
        <v>0.66266633526522489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3.4520979648916449E-2</v>
      </c>
      <c r="U48">
        <f t="shared" si="29"/>
        <v>0.69465984618666621</v>
      </c>
      <c r="V48">
        <f t="shared" si="30"/>
        <v>0.8101352607617156</v>
      </c>
      <c r="W48">
        <f t="shared" si="31"/>
        <v>0.42970796904653585</v>
      </c>
      <c r="X48">
        <f t="shared" si="32"/>
        <v>0.54457551768116208</v>
      </c>
      <c r="Y48">
        <f t="shared" si="33"/>
        <v>0.93008829770147095</v>
      </c>
      <c r="Z48">
        <f t="shared" si="34"/>
        <v>0.9766996858594823</v>
      </c>
      <c r="AA48">
        <f t="shared" si="35"/>
        <v>0.72982476034100974</v>
      </c>
      <c r="AB48">
        <f t="shared" si="36"/>
        <v>0.84263017862271872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5.5189189435869764E-2</v>
      </c>
      <c r="AD48">
        <f t="shared" si="44"/>
        <v>2.5321318785883479E-2</v>
      </c>
      <c r="AE48">
        <f t="shared" si="45"/>
        <v>7.2024735673623715E-3</v>
      </c>
      <c r="AF48">
        <f t="shared" si="46"/>
        <v>4.7312717929392123E-4</v>
      </c>
      <c r="AG48">
        <f t="shared" si="47"/>
        <v>8.778813289257812E-4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2.5202014452098387E-4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8.6223960380233376E-4</v>
      </c>
      <c r="AJ48">
        <f t="shared" si="48"/>
        <v>1.3913127116228986E-5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1.053171762879104E-5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5.0601941934875588E-6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2.1023399993231196E-4</v>
      </c>
      <c r="AN48">
        <f t="shared" si="49"/>
        <v>2.5352251673339773E-3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7.5144730276349557E-6</v>
      </c>
      <c r="AP48">
        <f>AM47*T47*p_Stroke*p_Stroke_rec*(1-I47) + AN47*T47*p_Stroke*p_Stroke_rec*(1-I47) + AO47*(p_recur_Stroke*p_Stroke_rec)*(1-I47) + AP47*(p_recur_Stroke*p_Stroke_rec)*(1-I47) + AQ47*(p_recur_Stroke*p_Stroke_rec)*(1-I47)</f>
        <v>3.1362361428479622E-5</v>
      </c>
      <c r="AQ48">
        <f>AO47*(1-p_recur_Stroke-H47*rr_Stroke*rr_HF)*(1-I47) + AP47*(1-p_recur_Stroke-H47*rr_Stroke*rr_HF)*(1-I47) + AQ47*(1-p_recur_Stroke-H47*rr_Stroke*rr_HF)*(1-I47)</f>
        <v>1.363328493537762E-5</v>
      </c>
      <c r="AR48">
        <f>AR47*(1-AC47-H47*rr_DM) + AD47*(1-T47-H47)*I47</f>
        <v>4.7375581950237812E-2</v>
      </c>
      <c r="AS48">
        <f>AR47*AC47*p_Other + AD47*T47*p_Other*I47 + AE47*(1-T47*p_Stroke-T47*p_MI-H47*rr_Other)*I47 + AS47*(1-AC47*p_Stroke-AC47*p_MI-H47*rr_Other*rr_DM)</f>
        <v>2.0740276366618252E-2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1.5978572934464493E-3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2.4457733758616157E-3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8.9392472703135172E-4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2.9675949853691626E-3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7.696848808677526E-5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5.3257036785942316E-5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7.4392140881486383E-6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7.5427241381700991E-4</v>
      </c>
      <c r="BB48">
        <f>AM47*(1-T47*p_Stroke - H47*rr_HF)*I47 + AN47*(1-T47*p_Stroke - H47*rr_HF)*I47 + BA47*(1-AC47*p_Stroke - H47*rr_HF*rr_DM) + BB47*(1-AC47*p_Stroke - H47*rr_HF*rr_DM)</f>
        <v>8.5133851743098184E-3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3.7607906670388332E-5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1.7003287958712333E-4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2.9739450458551686E-5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0.81851975380224629</v>
      </c>
      <c r="BG48">
        <f t="shared" si="50"/>
        <v>0.94199999999999984</v>
      </c>
      <c r="BH48">
        <f>(0.9442 - 0.0007*$B48 - dis_BMI*($C48-21.75))*AD48</f>
        <v>2.111405506301501E-2</v>
      </c>
      <c r="BI48">
        <f>0.959*(0.9442 - 0.0007*$B48 - dis_BMI*($C48-21.75))*AE48</f>
        <v>5.7595109623344073E-3</v>
      </c>
      <c r="BJ48">
        <f>(0.943*(0.9442 - 0.0007*$B48 - dis_BMI*($C48-21.75)) - 0.19*0.5)*AF48</f>
        <v>3.2708031101477182E-4</v>
      </c>
      <c r="BK48">
        <f>(0.943*(0.9442 - 0.0007*$B48 - dis_BMI*($C48-21.75)))*AG48</f>
        <v>6.9029199018518525E-4</v>
      </c>
      <c r="BL48">
        <f>(0.955*(0.9442 - 0.0007*$B48 - dis_BMI*($C48-21.75)) - 0.15*0.5)*AH48</f>
        <v>1.817876683856615E-4</v>
      </c>
      <c r="BM48">
        <f>(0.955*(0.9442 - 0.0007*$B48 - dis_BMI*($C48-21.75)))*AI48</f>
        <v>6.8662034422309185E-4</v>
      </c>
      <c r="BN48">
        <f>(0.955*0.943*(0.9442 - 0.0007*$B48 - dis_BMI*($C48-21.75)) - 0.19*0.5)*AJ48</f>
        <v>9.1260600423533392E-6</v>
      </c>
      <c r="BO48">
        <f>(0.955*0.943*(0.9442 - 0.0007*$B48 - dis_BMI*($C48-21.75)) - 0.15*0.5)*AK48</f>
        <v>7.1187209837507013E-6</v>
      </c>
      <c r="BP48">
        <f>(0.955*0.943*(0.9442 - 0.0007*$B48 - dis_BMI*($C48-21.75)))*AL48</f>
        <v>3.7998598355011762E-6</v>
      </c>
      <c r="BQ48">
        <f>(0.93*(0.9442 - 0.0007*$B48 - dis_BMI*($C48-21.75)))*AM48</f>
        <v>1.6303138979640956E-4</v>
      </c>
      <c r="BR48">
        <f>(0.93*(0.9442 - 0.0007*$B48 - dis_BMI*($C48-21.75)))*AN48</f>
        <v>1.9660058915797083E-3</v>
      </c>
      <c r="BS48">
        <f>(0.93*0.943*(0.9442 - 0.0007*$B48 - dis_BMI*($C48-21.75)))*AO48</f>
        <v>5.495136693978075E-6</v>
      </c>
      <c r="BT48">
        <f>(0.93*0.943*(0.9442 - 0.0007*$B48 - dis_BMI*($C48-21.75))-0.19*0.5)*AP48</f>
        <v>1.9955046579506712E-5</v>
      </c>
      <c r="BU48">
        <f>(0.93*0.943*(0.9442 - 0.0007*$B48 - dis_BMI*($C48-21.75)))*AQ48</f>
        <v>9.9696630798115686E-6</v>
      </c>
      <c r="BV48">
        <f>0.962*(0.9442 - 0.0007*$B48 - dis_BMI*($C48-21.75))*AR48</f>
        <v>3.8002744230306799E-2</v>
      </c>
      <c r="BW48">
        <f>0.962*0.959*(0.9442 - 0.0007*$B48 - dis_BMI*($C48-21.75))*AS48</f>
        <v>1.5954880188729599E-2</v>
      </c>
      <c r="BX48">
        <f>0.962*(0.943*(0.9442 - 0.0007*$B48 - dis_BMI*($C48-21.75)) - 0.19*0.5)*AT48</f>
        <v>1.0626483351666406E-3</v>
      </c>
      <c r="BY48">
        <f>0.962*(0.943*(0.9442 - 0.0007*$B48 - dis_BMI*($C48-21.75)))*AU48</f>
        <v>1.8500706215594618E-3</v>
      </c>
      <c r="BZ48">
        <f>0.962*(0.955*(0.9442 - 0.0007*$B48 - dis_BMI*($C48-21.75)) - 0.15*0.5)*AV48</f>
        <v>6.2030486271865402E-4</v>
      </c>
      <c r="CA48">
        <f>0.962*(0.955*(0.9442 - 0.0007*$B48 - dis_BMI*($C48-21.75)))*AW48</f>
        <v>2.2733609779587954E-3</v>
      </c>
      <c r="CB48">
        <f>0.962*(0.955*0.943*(0.9442 - 0.0007*$B48 - dis_BMI*($C48-21.75)) - 0.19*0.5)*AX48</f>
        <v>4.8567594786236171E-5</v>
      </c>
      <c r="CC48">
        <f>0.962*(0.955*0.943*(0.9442 - 0.0007*$B48 - dis_BMI*($C48-21.75)) - 0.15*0.5)*AY48</f>
        <v>3.4630186899619633E-5</v>
      </c>
      <c r="CD48">
        <f>0.962*(0.955*0.943*(0.9442 - 0.0007*$B48 - dis_BMI*($C48-21.75)))*AZ48</f>
        <v>5.3740601427987186E-6</v>
      </c>
      <c r="CE48">
        <f>0.962*(0.93*(0.9442 - 0.0007*$B48 - dis_BMI*($C48-21.75)))*BA48</f>
        <v>5.626930796693182E-4</v>
      </c>
      <c r="CF48">
        <f>0.962*(0.93*(0.9442 - 0.0007*$B48 - dis_BMI*($C48-21.75)))*BB48</f>
        <v>6.3510514694571432E-3</v>
      </c>
      <c r="CG48">
        <f>0.962*(0.93*0.943*(0.9442 - 0.0007*$B48 - dis_BMI*($C48-21.75)))*BC48</f>
        <v>2.6456610444372696E-5</v>
      </c>
      <c r="CH48">
        <f>0.962*(0.93*0.943*(0.9442 - 0.0007*$B48 - dis_BMI*($C48-21.75))-0.19*0.5)*BD48</f>
        <v>1.0407633068155118E-4</v>
      </c>
      <c r="CI48">
        <f>0.962*(0.93*0.943*(0.9442 - 0.0007*$B48 - dis_BMI*($C48-21.75)))*BE48</f>
        <v>2.0921266969403976E-5</v>
      </c>
      <c r="CJ48">
        <f t="shared" si="51"/>
        <v>0</v>
      </c>
      <c r="CK48">
        <f t="shared" si="52"/>
        <v>9.7861627923239519E-2</v>
      </c>
      <c r="CL48">
        <f>CK48/(1+r_)^A48</f>
        <v>2.5878394207379255E-2</v>
      </c>
      <c r="CM48">
        <f>AD48*c_LIR_2</f>
        <v>297.77870892198973</v>
      </c>
      <c r="CN48">
        <f>AE48*(c_Other+c_LIR_2)</f>
        <v>187.5452092205488</v>
      </c>
      <c r="CO48">
        <f>AF48*(c_Stroke1+c_Stroke2+c_LIR_2)</f>
        <v>16.831972530560542</v>
      </c>
      <c r="CP48">
        <f>AG48*(c_Stroke2 + c_LIR_2)</f>
        <v>16.030113066184764</v>
      </c>
      <c r="CQ48">
        <f>AH48*(c_MI1+c_MI2 + c_LIR_2)</f>
        <v>10.310396132497971</v>
      </c>
      <c r="CR48">
        <f>AI48*(c_MI2+c_LIR_2)</f>
        <v>12.82753858576732</v>
      </c>
      <c r="CS48">
        <f>AJ48*(c_Stroke1+c_Stroke2+c_MI2+c_LIR_2)</f>
        <v>0.53834062750824818</v>
      </c>
      <c r="CT48">
        <f>AK48*(c_Stroke2+c_MI1+c_MI2+c_LIR_2)</f>
        <v>0.49931926449861203</v>
      </c>
      <c r="CU48">
        <f>AL48*(c_Stroke2+c_MI2+c_LIR_2)</f>
        <v>0.10817177127418355</v>
      </c>
      <c r="CV48">
        <f>AM48*(c_HF1+c_LIR_2)</f>
        <v>8.1549768573743808</v>
      </c>
      <c r="CW48">
        <f>AN48*(c_HF2+c_LIR_2)</f>
        <v>69.376436704094289</v>
      </c>
      <c r="CX48">
        <f>AO48*(c_Stroke2+c_HF1+c_LIR_2)</f>
        <v>0.34033048342158717</v>
      </c>
      <c r="CY48">
        <f>AP48*(c_Stroke1+c_Stroke2+c_HF2+c_LIR_2)</f>
        <v>1.6051570202710155</v>
      </c>
      <c r="CZ48">
        <f>AQ48*(c_Stroke2+c_HF2+c_LIR_2)</f>
        <v>0.46169119433656308</v>
      </c>
      <c r="DA48">
        <f>AR48*(c_DM+c_LIR_2)</f>
        <v>1098.4028675162638</v>
      </c>
      <c r="DB48">
        <f>AS48*(c_Other+c_DM+c_LIR_2)</f>
        <v>777.01371379898615</v>
      </c>
      <c r="DC48">
        <f>AT48*(c_Stroke1+c_Stroke2+c_DM+c_LIR_2)</f>
        <v>75.100890649276565</v>
      </c>
      <c r="DD48">
        <f>AU48*(c_Stroke2+c_DM+c_LIR_2)</f>
        <v>72.602782662452057</v>
      </c>
      <c r="DE48">
        <f>AV48*(c_MI1+c_MI2+c_DM+c_LIR_2)</f>
        <v>46.784444513912824</v>
      </c>
      <c r="DF48">
        <f>AW48*(c_MI2+c_DM+c_LIR_2)</f>
        <v>78.053683305179717</v>
      </c>
      <c r="DG48">
        <f>AX48*(c_Stroke1+c_Stroke2+c_MI2+c_DM+c_LIR_2)</f>
        <v>3.8575066859330023</v>
      </c>
      <c r="DH48">
        <f>AY48*(c_Stroke2+c_MI1+c_MI2+c_DM+c_LIR_2)</f>
        <v>3.1334310163377022</v>
      </c>
      <c r="DI48">
        <f>AZ48*(c_Stroke2+c_MI2+c_DM+c_LIR_2)</f>
        <v>0.24402110051945164</v>
      </c>
      <c r="DJ48">
        <f>BA48*(c_HF1+c_DM+c_LIR_2)</f>
        <v>37.875789259821154</v>
      </c>
      <c r="DK48">
        <f>BB48*(c_HF2+c_DM+c_LIR_2)</f>
        <v>330.23421091147787</v>
      </c>
      <c r="DL48">
        <f>BC48*(c_Stroke2+c_HF1+c_DM+c_LIR_2)</f>
        <v>2.1329324268110743</v>
      </c>
      <c r="DM48">
        <f>BD48*(c_Stroke1+c_Stroke2+c_HF2+c_DM+c_LIR_2)</f>
        <v>10.645078459431442</v>
      </c>
      <c r="DN48">
        <f>BE48*(c_Stroke2+c_HF2+c_DM+c_LIR_2)</f>
        <v>1.3468997112678058</v>
      </c>
      <c r="DO48">
        <f t="shared" si="53"/>
        <v>0</v>
      </c>
      <c r="DP48">
        <f t="shared" si="54"/>
        <v>3159.8366143979993</v>
      </c>
      <c r="DQ48">
        <f>DP48/(1+r_)^A48</f>
        <v>835.58284563222071</v>
      </c>
    </row>
    <row r="49" spans="1:121" x14ac:dyDescent="0.3">
      <c r="A49">
        <v>46</v>
      </c>
      <c r="B49">
        <v>91</v>
      </c>
      <c r="C49">
        <f t="shared" si="39"/>
        <v>36.1</v>
      </c>
      <c r="D49">
        <f t="shared" si="1"/>
        <v>125</v>
      </c>
      <c r="E49">
        <f t="shared" si="41"/>
        <v>5.5</v>
      </c>
      <c r="F49">
        <v>0.14421999999999999</v>
      </c>
      <c r="G49">
        <v>0.17713000000000001</v>
      </c>
      <c r="H49">
        <f t="shared" si="42"/>
        <v>0.15080199999999999</v>
      </c>
      <c r="I49">
        <f t="shared" si="43"/>
        <v>3.2286349135090861E-2</v>
      </c>
      <c r="J49">
        <f t="shared" si="21"/>
        <v>0.4297894527921986</v>
      </c>
      <c r="K49">
        <f t="shared" si="22"/>
        <v>0.54466664698889955</v>
      </c>
      <c r="L49">
        <f t="shared" si="23"/>
        <v>0.23350845712987711</v>
      </c>
      <c r="M49">
        <f t="shared" si="24"/>
        <v>0.31094551683483429</v>
      </c>
      <c r="N49">
        <f t="shared" si="25"/>
        <v>0.80174673543507191</v>
      </c>
      <c r="O49">
        <f t="shared" si="26"/>
        <v>0.89837977870595043</v>
      </c>
      <c r="P49">
        <f t="shared" si="27"/>
        <v>0.54886174044521208</v>
      </c>
      <c r="Q49">
        <f t="shared" si="28"/>
        <v>0.67525432276085495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3.5302855079016364E-2</v>
      </c>
      <c r="U49">
        <f t="shared" si="29"/>
        <v>0.70551886255513385</v>
      </c>
      <c r="V49">
        <f t="shared" si="30"/>
        <v>0.81952395048777504</v>
      </c>
      <c r="W49">
        <f t="shared" si="31"/>
        <v>0.43940086239860532</v>
      </c>
      <c r="X49">
        <f t="shared" si="32"/>
        <v>0.55537908679944903</v>
      </c>
      <c r="Y49">
        <f t="shared" si="33"/>
        <v>0.93630386903426033</v>
      </c>
      <c r="Z49">
        <f t="shared" si="34"/>
        <v>0.97957204030816414</v>
      </c>
      <c r="AA49">
        <f t="shared" si="35"/>
        <v>0.74191957047861878</v>
      </c>
      <c r="AB49">
        <f t="shared" si="36"/>
        <v>0.85249170793898221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5.6152771174832354E-2</v>
      </c>
      <c r="AD49">
        <f t="shared" si="44"/>
        <v>2.034238190664138E-2</v>
      </c>
      <c r="AE49">
        <f t="shared" si="45"/>
        <v>5.5350602016567925E-3</v>
      </c>
      <c r="AF49">
        <f t="shared" si="46"/>
        <v>3.7423994313218949E-4</v>
      </c>
      <c r="AG49">
        <f t="shared" si="47"/>
        <v>5.8688395893304838E-4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2.0794344088558177E-4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6.7303997340689432E-4</v>
      </c>
      <c r="AJ49">
        <f t="shared" si="48"/>
        <v>1.1028666528133127E-5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7.8532452208733288E-6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1.6205704136192401E-6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1.7173643381533432E-4</v>
      </c>
      <c r="AN49">
        <f t="shared" si="49"/>
        <v>1.9814637457182321E-3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5.5122153577162274E-6</v>
      </c>
      <c r="AP49">
        <f>AM48*T48*p_Stroke*p_Stroke_rec*(1-I48) + AN48*T48*p_Stroke*p_Stroke_rec*(1-I48) + AO48*(p_recur_Stroke*p_Stroke_rec)*(1-I48) + AP48*(p_recur_Stroke*p_Stroke_rec)*(1-I48) + AQ48*(p_recur_Stroke*p_Stroke_rec)*(1-I48)</f>
        <v>2.5017048884645953E-5</v>
      </c>
      <c r="AQ49">
        <f>AO48*(1-p_recur_Stroke-H48*rr_Stroke*rr_HF)*(1-I48) + AP48*(1-p_recur_Stroke-H48*rr_Stroke*rr_HF)*(1-I48) + AQ48*(1-p_recur_Stroke-H48*rr_Stroke*rr_HF)*(1-I48)</f>
        <v>5.5497766464452013E-6</v>
      </c>
      <c r="AR49">
        <f>AR48*(1-AC48-H48*rr_DM) + AD48*(1-T48-H48)*I48</f>
        <v>3.8067925207396998E-2</v>
      </c>
      <c r="AS49">
        <f>AR48*AC48*p_Other + AD48*T48*p_Other*I48 + AE48*(1-T48*p_Stroke-T48*p_MI-H48*rr_Other)*I48 + AS48*(1-AC48*p_Stroke-AC48*p_MI-H48*rr_Other*rr_DM)</f>
        <v>1.5716168782140549E-2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1.2543619998135864E-3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1.5594938741591122E-3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7.3272821476641286E-4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2.2905397746293904E-3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6.0661095134412942E-5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3.8923780522268894E-5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-5.9499918916878527E-6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6.1298237045780927E-4</v>
      </c>
      <c r="BB49">
        <f>AM48*(1-T48*p_Stroke - H48*rr_HF)*I48 + AN48*(1-T48*p_Stroke - H48*rr_HF)*I48 + BA48*(1-AC48*p_Stroke - H48*rr_HF*rr_DM) + BB48*(1-AC48*p_Stroke - H48*rr_HF*rr_DM)</f>
        <v>6.5915685523328226E-3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2.7088733283991527E-5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1.3526944171269304E-4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-1.3344967197292396E-6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0.84499024153502034</v>
      </c>
      <c r="BG49">
        <f t="shared" si="50"/>
        <v>0.94199999999999984</v>
      </c>
      <c r="BH49">
        <f>(0.9442 - 0.0007*$B49 - dis_BMI*($C49-21.75))*AD49</f>
        <v>1.6948153773608733E-2</v>
      </c>
      <c r="BI49">
        <f>0.959*(0.9442 - 0.0007*$B49 - dis_BMI*($C49-21.75))*AE49</f>
        <v>4.4224359147092647E-3</v>
      </c>
      <c r="BJ49">
        <f>(0.943*(0.9442 - 0.0007*$B49 - dis_BMI*($C49-21.75)) - 0.19*0.5)*AF49</f>
        <v>2.5847096299032053E-4</v>
      </c>
      <c r="BK49">
        <f>(0.943*(0.9442 - 0.0007*$B49 - dis_BMI*($C49-21.75)))*AG49</f>
        <v>4.610887481152539E-4</v>
      </c>
      <c r="BL49">
        <f>(0.955*(0.9442 - 0.0007*$B49 - dis_BMI*($C49-21.75)) - 0.15*0.5)*AH49</f>
        <v>1.4985516327765158E-4</v>
      </c>
      <c r="BM49">
        <f>(0.955*(0.9442 - 0.0007*$B49 - dis_BMI*($C49-21.75)))*AI49</f>
        <v>5.3550659365510299E-4</v>
      </c>
      <c r="BN49">
        <f>(0.955*0.943*(0.9442 - 0.0007*$B49 - dis_BMI*($C49-21.75)) - 0.19*0.5)*AJ49</f>
        <v>7.2270987072323186E-6</v>
      </c>
      <c r="BO49">
        <f>(0.955*0.943*(0.9442 - 0.0007*$B49 - dis_BMI*($C49-21.75)) - 0.15*0.5)*AK49</f>
        <v>5.3033061329986522E-6</v>
      </c>
      <c r="BP49">
        <f>(0.955*0.943*(0.9442 - 0.0007*$B49 - dis_BMI*($C49-21.75)))*AL49</f>
        <v>1.2159159696568705E-6</v>
      </c>
      <c r="BQ49">
        <f>(0.93*(0.9442 - 0.0007*$B49 - dis_BMI*($C49-21.75)))*AM49</f>
        <v>1.3306565657050134E-4</v>
      </c>
      <c r="BR49">
        <f>(0.93*(0.9442 - 0.0007*$B49 - dis_BMI*($C49-21.75)))*AN49</f>
        <v>1.5352873495565673E-3</v>
      </c>
      <c r="BS49">
        <f>(0.93*0.943*(0.9442 - 0.0007*$B49 - dis_BMI*($C49-21.75)))*AO49</f>
        <v>4.0275543557606931E-6</v>
      </c>
      <c r="BT49">
        <f>(0.93*0.943*(0.9442 - 0.0007*$B49 - dis_BMI*($C49-21.75))-0.19*0.5)*AP49</f>
        <v>1.5902333129926261E-5</v>
      </c>
      <c r="BU49">
        <f>(0.93*0.943*(0.9442 - 0.0007*$B49 - dis_BMI*($C49-21.75)))*AQ49</f>
        <v>4.0549988807313286E-6</v>
      </c>
      <c r="BV49">
        <f>0.962*(0.9442 - 0.0007*$B49 - dis_BMI*($C49-21.75))*AR49</f>
        <v>3.0510889688133935E-2</v>
      </c>
      <c r="BW49">
        <f>0.962*0.959*(0.9442 - 0.0007*$B49 - dis_BMI*($C49-21.75))*AS49</f>
        <v>1.207983370654828E-2</v>
      </c>
      <c r="BX49">
        <f>0.962*(0.943*(0.9442 - 0.0007*$B49 - dis_BMI*($C49-21.75)) - 0.19*0.5)*AT49</f>
        <v>8.3341168119770398E-4</v>
      </c>
      <c r="BY49">
        <f>0.962*(0.943*(0.9442 - 0.0007*$B49 - dis_BMI*($C49-21.75)))*AU49</f>
        <v>1.1786667443051165E-3</v>
      </c>
      <c r="BZ49">
        <f>0.962*(0.955*(0.9442 - 0.0007*$B49 - dis_BMI*($C49-21.75)) - 0.15*0.5)*AV49</f>
        <v>5.0797749510228724E-4</v>
      </c>
      <c r="CA49">
        <f>0.962*(0.955*(0.9442 - 0.0007*$B49 - dis_BMI*($C49-21.75)))*AW49</f>
        <v>1.7532218459198267E-3</v>
      </c>
      <c r="CB49">
        <f>0.962*(0.955*0.943*(0.9442 - 0.0007*$B49 - dis_BMI*($C49-21.75)) - 0.19*0.5)*AX49</f>
        <v>3.8240741045603543E-5</v>
      </c>
      <c r="CC49">
        <f>0.962*(0.955*0.943*(0.9442 - 0.0007*$B49 - dis_BMI*($C49-21.75)) - 0.15*0.5)*AY49</f>
        <v>2.5286436227004194E-5</v>
      </c>
      <c r="CD49">
        <f>0.962*(0.955*0.943*(0.9442 - 0.0007*$B49 - dis_BMI*($C49-21.75)))*AZ49</f>
        <v>-4.294643340299164E-6</v>
      </c>
      <c r="CE49">
        <f>0.962*(0.93*(0.9442 - 0.0007*$B49 - dis_BMI*($C49-21.75)))*BA49</f>
        <v>4.5690572225939706E-4</v>
      </c>
      <c r="CF49">
        <f>0.962*(0.93*(0.9442 - 0.0007*$B49 - dis_BMI*($C49-21.75)))*BB49</f>
        <v>4.9132332924626083E-3</v>
      </c>
      <c r="CG49">
        <f>0.962*(0.93*0.943*(0.9442 - 0.0007*$B49 - dis_BMI*($C49-21.75)))*BC49</f>
        <v>1.9040528676971857E-5</v>
      </c>
      <c r="CH49">
        <f>0.962*(0.93*0.943*(0.9442 - 0.0007*$B49 - dis_BMI*($C49-21.75))-0.19*0.5)*BD49</f>
        <v>8.2717907472959205E-5</v>
      </c>
      <c r="CI49">
        <f>0.962*(0.93*0.943*(0.9442 - 0.0007*$B49 - dis_BMI*($C49-21.75)))*BE49</f>
        <v>-9.3801075136819261E-7</v>
      </c>
      <c r="CJ49">
        <f t="shared" si="51"/>
        <v>0</v>
      </c>
      <c r="CK49">
        <f t="shared" si="52"/>
        <v>7.6875788504919731E-2</v>
      </c>
      <c r="CL49">
        <f>CK49/(1+r_)^A49</f>
        <v>1.9736823022383561E-2</v>
      </c>
      <c r="CM49">
        <f>AD49*c_LIR_2</f>
        <v>239.22641122210263</v>
      </c>
      <c r="CN49">
        <f>AE49*(c_Other+c_LIR_2)</f>
        <v>144.12743259094123</v>
      </c>
      <c r="CO49">
        <f>AF49*(c_Stroke1+c_Stroke2+c_LIR_2)</f>
        <v>13.313960216870774</v>
      </c>
      <c r="CP49">
        <f>AG49*(c_Stroke2 + c_LIR_2)</f>
        <v>10.716501090117463</v>
      </c>
      <c r="CQ49">
        <f>AH49*(c_MI1+c_MI2 + c_LIR_2)</f>
        <v>8.5071741100700358</v>
      </c>
      <c r="CR49">
        <f>AI49*(c_MI2+c_LIR_2)</f>
        <v>10.012815684374367</v>
      </c>
      <c r="CS49">
        <f>AJ49*(c_Stroke1+c_Stroke2+c_MI2+c_LIR_2)</f>
        <v>0.42673219397305506</v>
      </c>
      <c r="CT49">
        <f>AK49*(c_Stroke2+c_MI1+c_MI2+c_LIR_2)</f>
        <v>0.37233020916682541</v>
      </c>
      <c r="CU49">
        <f>AL49*(c_Stroke2+c_MI2+c_LIR_2)</f>
        <v>3.4642933731938497E-2</v>
      </c>
      <c r="CV49">
        <f>AM49*(c_HF1+c_LIR_2)</f>
        <v>6.6616562676968183</v>
      </c>
      <c r="CW49">
        <f>AN49*(c_HF2+c_LIR_2)</f>
        <v>54.22275540157942</v>
      </c>
      <c r="CX49">
        <f>AO49*(c_Stroke2+c_HF1+c_LIR_2)</f>
        <v>0.24964823355096794</v>
      </c>
      <c r="CY49">
        <f>AP49*(c_Stroke1+c_Stroke2+c_HF2+c_LIR_2)</f>
        <v>1.2803975789650646</v>
      </c>
      <c r="CZ49">
        <f>AQ49*(c_Stroke2+c_HF2+c_LIR_2)</f>
        <v>0.18794318613186675</v>
      </c>
      <c r="DA49">
        <f>AR49*(c_DM+c_LIR_2)</f>
        <v>882.6048459334994</v>
      </c>
      <c r="DB49">
        <f>AS49*(c_Other+c_DM+c_LIR_2)</f>
        <v>588.79054725411356</v>
      </c>
      <c r="DC49">
        <f>AT49*(c_Stroke1+c_Stroke2+c_DM+c_LIR_2)</f>
        <v>58.956268353238372</v>
      </c>
      <c r="DD49">
        <f>AU49*(c_Stroke2+c_DM+c_LIR_2)</f>
        <v>46.293575654413246</v>
      </c>
      <c r="DE49">
        <f>AV49*(c_MI1+c_MI2+c_DM+c_LIR_2)</f>
        <v>38.348063848014981</v>
      </c>
      <c r="DF49">
        <f>AW49*(c_MI2+c_DM+c_LIR_2)</f>
        <v>60.245777152302225</v>
      </c>
      <c r="DG49">
        <f>AX49*(c_Stroke1+c_Stroke2+c_MI2+c_DM+c_LIR_2)</f>
        <v>3.0402127659465079</v>
      </c>
      <c r="DH49">
        <f>AY49*(c_Stroke2+c_MI1+c_MI2+c_DM+c_LIR_2)</f>
        <v>2.2901195508082126</v>
      </c>
      <c r="DI49">
        <f>AZ49*(c_Stroke2+c_MI2+c_DM+c_LIR_2)</f>
        <v>-0.19517163403114496</v>
      </c>
      <c r="DJ49">
        <f>BA49*(c_HF1+c_DM+c_LIR_2)</f>
        <v>30.780909732538891</v>
      </c>
      <c r="DK49">
        <f>BB49*(c_HF2+c_DM+c_LIR_2)</f>
        <v>255.68694414499018</v>
      </c>
      <c r="DL49">
        <f>BC49*(c_Stroke2+c_HF1+c_DM+c_LIR_2)</f>
        <v>1.5363375082015793</v>
      </c>
      <c r="DM49">
        <f>BD49*(c_Stroke1+c_Stroke2+c_HF2+c_DM+c_LIR_2)</f>
        <v>8.4686786678648609</v>
      </c>
      <c r="DN49">
        <f>BE49*(c_Stroke2+c_HF2+c_DM+c_LIR_2)</f>
        <v>-6.0439356436537264E-2</v>
      </c>
      <c r="DO49">
        <f t="shared" si="53"/>
        <v>0</v>
      </c>
      <c r="DP49">
        <f t="shared" si="54"/>
        <v>2466.1270704947365</v>
      </c>
      <c r="DQ49">
        <f>DP49/(1+r_)^A49</f>
        <v>633.14490150496397</v>
      </c>
    </row>
    <row r="50" spans="1:121" x14ac:dyDescent="0.3">
      <c r="A50">
        <v>47</v>
      </c>
      <c r="B50">
        <v>92</v>
      </c>
      <c r="C50">
        <f t="shared" si="39"/>
        <v>36.1</v>
      </c>
      <c r="D50">
        <f t="shared" si="1"/>
        <v>125</v>
      </c>
      <c r="E50">
        <f t="shared" si="41"/>
        <v>5.5</v>
      </c>
      <c r="F50">
        <v>0.15822</v>
      </c>
      <c r="G50">
        <v>0.19409999999999999</v>
      </c>
      <c r="H50">
        <f t="shared" si="42"/>
        <v>0.16539599999999999</v>
      </c>
      <c r="I50">
        <f t="shared" si="43"/>
        <v>3.2286349135090861E-2</v>
      </c>
      <c r="J50">
        <f t="shared" si="21"/>
        <v>0.43937678504489219</v>
      </c>
      <c r="K50">
        <f t="shared" si="22"/>
        <v>0.55535234255140864</v>
      </c>
      <c r="L50">
        <f t="shared" si="23"/>
        <v>0.23963664465079337</v>
      </c>
      <c r="M50">
        <f t="shared" si="24"/>
        <v>0.31864854898687422</v>
      </c>
      <c r="N50">
        <f t="shared" si="25"/>
        <v>0.81254421370917773</v>
      </c>
      <c r="O50">
        <f t="shared" si="26"/>
        <v>0.90611112599232058</v>
      </c>
      <c r="P50">
        <f t="shared" si="27"/>
        <v>0.56111962970913731</v>
      </c>
      <c r="Q50">
        <f t="shared" si="28"/>
        <v>0.68765174681003605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3.6085609762872839E-2</v>
      </c>
      <c r="U50">
        <f t="shared" si="29"/>
        <v>0.71618798268967854</v>
      </c>
      <c r="V50">
        <f t="shared" si="30"/>
        <v>0.82861440408676157</v>
      </c>
      <c r="W50">
        <f t="shared" si="31"/>
        <v>0.4491093473582628</v>
      </c>
      <c r="X50">
        <f t="shared" si="32"/>
        <v>0.5661252988604184</v>
      </c>
      <c r="Y50">
        <f t="shared" si="33"/>
        <v>0.94209363406245328</v>
      </c>
      <c r="Z50">
        <f t="shared" si="34"/>
        <v>0.9821455702726487</v>
      </c>
      <c r="AA50">
        <f t="shared" si="35"/>
        <v>0.75373803266686479</v>
      </c>
      <c r="AB50">
        <f t="shared" si="36"/>
        <v>0.86194530205581743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5.710597279870417E-2</v>
      </c>
      <c r="AD50">
        <f t="shared" si="44"/>
        <v>1.6022014803788745E-2</v>
      </c>
      <c r="AE50">
        <f t="shared" si="45"/>
        <v>4.1187649042457612E-3</v>
      </c>
      <c r="AF50">
        <f t="shared" si="46"/>
        <v>2.8974773942115102E-4</v>
      </c>
      <c r="AG50">
        <f t="shared" si="47"/>
        <v>3.7224460281824338E-4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1.6799740649192774E-4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5.1110877519319102E-4</v>
      </c>
      <c r="AJ50">
        <f t="shared" si="48"/>
        <v>8.5589378273127174E-6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5.6684017297806718E-6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-3.9435459374055108E-7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1.3725732277644344E-4</v>
      </c>
      <c r="AN50">
        <f t="shared" si="49"/>
        <v>1.4948760368869896E-3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3.9171990884659753E-6</v>
      </c>
      <c r="AP50">
        <f>AM49*T49*p_Stroke*p_Stroke_rec*(1-I49) + AN49*T49*p_Stroke*p_Stroke_rec*(1-I49) + AO49*(p_recur_Stroke*p_Stroke_rec)*(1-I49) + AP49*(p_recur_Stroke*p_Stroke_rec)*(1-I49) + AQ49*(p_recur_Stroke*p_Stroke_rec)*(1-I49)</f>
        <v>1.9419799438331396E-5</v>
      </c>
      <c r="AQ50">
        <f>AO49*(1-p_recur_Stroke-H49*rr_Stroke*rr_HF)*(1-I49) + AP49*(1-p_recur_Stroke-H49*rr_Stroke*rr_HF)*(1-I49) + AQ49*(1-p_recur_Stroke-H49*rr_Stroke*rr_HF)*(1-I49)</f>
        <v>7.3114926125428961E-7</v>
      </c>
      <c r="AR50">
        <f>AR49*(1-AC49-H49*rr_DM) + AD49*(1-T49-H49)*I49</f>
        <v>2.9863029634585776E-2</v>
      </c>
      <c r="AS50">
        <f>AR49*AC49*p_Other + AD49*T49*p_Other*I49 + AE49*(1-T49*p_Stroke-T49*p_MI-H49*rr_Other)*I49 + AS49*(1-AC49*p_Stroke-AC49*p_MI-H49*rr_Other*rr_DM)</f>
        <v>1.145363330995027E-2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9.5937534282442894E-4</v>
      </c>
      <c r="AU50">
        <f>AF49*(1-p_recur_Stroke-T49*p_MI-H49*rr_Stroke)*I49 + AG49*(1-p_recur_Stroke-T49*p_MI-H49*rr_Stroke)*I49 + AT49*(1-p_recur_Stroke-AC49*p_MI-H49*rr_Stroke*rr_DM) + AU49*(1-p_recur_Stroke-AC49*p_MI-H49*rr_Stroke*rr_DM)</f>
        <v>9.2645711908697433E-4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5.8487560087199929E-4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1.7069915673966472E-3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4.6545095275963032E-5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2.7377271461598262E-5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-1.2348864073536891E-5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4.8454592751483432E-4</v>
      </c>
      <c r="BB50">
        <f>AM49*(1-T49*p_Stroke - H49*rr_HF)*I49 + AN49*(1-T49*p_Stroke - H49*rr_HF)*I49 + BA49*(1-AC49*p_Stroke - H49*rr_HF*rr_DM) + BB49*(1-AC49*p_Stroke - H49*rr_HF*rr_DM)</f>
        <v>4.887415287734901E-3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1.8796981006739852E-5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1.0402887092742111E-4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-1.7352874918193144E-5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0.86781471700598023</v>
      </c>
      <c r="BG50">
        <f t="shared" si="50"/>
        <v>0.94199999999999995</v>
      </c>
      <c r="BH50">
        <f>(0.9442 - 0.0007*$B50 - dis_BMI*($C50-21.75))*AD50</f>
        <v>1.3337446113339922E-2</v>
      </c>
      <c r="BI50">
        <f>0.959*(0.9442 - 0.0007*$B50 - dis_BMI*($C50-21.75))*AE50</f>
        <v>3.2880707954355531E-3</v>
      </c>
      <c r="BJ50">
        <f>(0.943*(0.9442 - 0.0007*$B50 - dis_BMI*($C50-21.75)) - 0.19*0.5)*AF50</f>
        <v>1.999246754517116E-4</v>
      </c>
      <c r="BK50">
        <f>(0.943*(0.9442 - 0.0007*$B50 - dis_BMI*($C50-21.75)))*AG50</f>
        <v>2.9221038836462973E-4</v>
      </c>
      <c r="BL50">
        <f>(0.955*(0.9442 - 0.0007*$B50 - dis_BMI*($C50-21.75)) - 0.15*0.5)*AH50</f>
        <v>1.2095560851315543E-4</v>
      </c>
      <c r="BM50">
        <f>(0.955*(0.9442 - 0.0007*$B50 - dis_BMI*($C50-21.75)))*AI50</f>
        <v>4.0632379686923959E-4</v>
      </c>
      <c r="BN50">
        <f>(0.955*0.943*(0.9442 - 0.0007*$B50 - dis_BMI*($C50-21.75)) - 0.19*0.5)*AJ50</f>
        <v>5.6032869435216994E-6</v>
      </c>
      <c r="BO50">
        <f>(0.955*0.943*(0.9442 - 0.0007*$B50 - dis_BMI*($C50-21.75)) - 0.15*0.5)*AK50</f>
        <v>3.8243053078820339E-6</v>
      </c>
      <c r="BP50">
        <f>(0.955*0.943*(0.9442 - 0.0007*$B50 - dis_BMI*($C50-21.75)))*AL50</f>
        <v>-2.9563613616574701E-7</v>
      </c>
      <c r="BQ50">
        <f>(0.93*(0.9442 - 0.0007*$B50 - dis_BMI*($C50-21.75)))*AM50</f>
        <v>1.0626103001453191E-4</v>
      </c>
      <c r="BR50">
        <f>(0.93*(0.9442 - 0.0007*$B50 - dis_BMI*($C50-21.75)))*AN50</f>
        <v>1.1572939367495427E-3</v>
      </c>
      <c r="BS50">
        <f>(0.93*0.943*(0.9442 - 0.0007*$B50 - dis_BMI*($C50-21.75)))*AO50</f>
        <v>2.8597352928607456E-6</v>
      </c>
      <c r="BT50">
        <f>(0.93*0.943*(0.9442 - 0.0007*$B50 - dis_BMI*($C50-21.75))-0.19*0.5)*AP50</f>
        <v>1.2332464799607524E-5</v>
      </c>
      <c r="BU50">
        <f>(0.93*0.943*(0.9442 - 0.0007*$B50 - dis_BMI*($C50-21.75)))*AQ50</f>
        <v>5.3377255011482562E-7</v>
      </c>
      <c r="BV50">
        <f>0.962*(0.9442 - 0.0007*$B50 - dis_BMI*($C50-21.75))*AR50</f>
        <v>2.3914675175404569E-2</v>
      </c>
      <c r="BW50">
        <f>0.962*0.959*(0.9442 - 0.0007*$B50 - dis_BMI*($C50-21.75))*AS50</f>
        <v>8.7961474998444616E-3</v>
      </c>
      <c r="BX50">
        <f>0.962*(0.943*(0.9442 - 0.0007*$B50 - dis_BMI*($C50-21.75)) - 0.19*0.5)*AT50</f>
        <v>6.3681013651821603E-4</v>
      </c>
      <c r="BY50">
        <f>0.962*(0.943*(0.9442 - 0.0007*$B50 - dis_BMI*($C50-21.75)))*AU50</f>
        <v>6.9962873230702783E-4</v>
      </c>
      <c r="BZ50">
        <f>0.962*(0.955*(0.9442 - 0.0007*$B50 - dis_BMI*($C50-21.75)) - 0.15*0.5)*AV50</f>
        <v>4.0509978236680282E-4</v>
      </c>
      <c r="CA50">
        <f>0.962*(0.955*(0.9442 - 0.0007*$B50 - dis_BMI*($C50-21.75)))*AW50</f>
        <v>1.3054654078878171E-3</v>
      </c>
      <c r="CB50">
        <f>0.962*(0.955*0.943*(0.9442 - 0.0007*$B50 - dis_BMI*($C50-21.75)) - 0.19*0.5)*AX50</f>
        <v>2.9313791006593873E-5</v>
      </c>
      <c r="CC50">
        <f>0.962*(0.955*0.943*(0.9442 - 0.0007*$B50 - dis_BMI*($C50-21.75)) - 0.15*0.5)*AY50</f>
        <v>1.7768761932176931E-5</v>
      </c>
      <c r="CD50">
        <f>0.962*(0.955*0.943*(0.9442 - 0.0007*$B50 - dis_BMI*($C50-21.75)))*AZ50</f>
        <v>-8.9057950356705293E-6</v>
      </c>
      <c r="CE50">
        <f>0.962*(0.93*(0.9442 - 0.0007*$B50 - dis_BMI*($C50-21.75)))*BA50</f>
        <v>3.6086812033015299E-4</v>
      </c>
      <c r="CF50">
        <f>0.962*(0.93*(0.9442 - 0.0007*$B50 - dis_BMI*($C50-21.75)))*BB50</f>
        <v>3.6399281636801117E-3</v>
      </c>
      <c r="CG50">
        <f>0.962*(0.93*0.943*(0.9442 - 0.0007*$B50 - dis_BMI*($C50-21.75)))*BC50</f>
        <v>1.3201198610780379E-5</v>
      </c>
      <c r="CH50">
        <f>0.962*(0.93*0.943*(0.9442 - 0.0007*$B50 - dis_BMI*($C50-21.75))-0.19*0.5)*BD50</f>
        <v>6.3552713919525267E-5</v>
      </c>
      <c r="CI50">
        <f>0.962*(0.93*0.943*(0.9442 - 0.0007*$B50 - dis_BMI*($C50-21.75)))*BE50</f>
        <v>-1.2186996847044663E-5</v>
      </c>
      <c r="CJ50">
        <f t="shared" si="51"/>
        <v>0</v>
      </c>
      <c r="CK50">
        <f t="shared" si="52"/>
        <v>5.8794710965421632E-2</v>
      </c>
      <c r="CL50">
        <f>CK50/(1+r_)^A50</f>
        <v>1.4655097042445277E-2</v>
      </c>
      <c r="CM50">
        <f>AD50*c_LIR_2</f>
        <v>188.41889409255563</v>
      </c>
      <c r="CN50">
        <f>AE50*(c_Other+c_LIR_2)</f>
        <v>107.24851934165538</v>
      </c>
      <c r="CO50">
        <f>AF50*(c_Stroke1+c_Stroke2+c_LIR_2)</f>
        <v>10.308065577646868</v>
      </c>
      <c r="CP50">
        <f>AG50*(c_Stroke2 + c_LIR_2)</f>
        <v>6.7971864474611241</v>
      </c>
      <c r="CQ50">
        <f>AH50*(c_MI1+c_MI2 + c_LIR_2)</f>
        <v>6.8729418969912555</v>
      </c>
      <c r="CR50">
        <f>AI50*(c_MI2+c_LIR_2)</f>
        <v>7.6037652485491032</v>
      </c>
      <c r="CS50">
        <f>AJ50*(c_Stroke1+c_Stroke2+c_MI2+c_LIR_2)</f>
        <v>0.33117098135221096</v>
      </c>
      <c r="CT50">
        <f>AK50*(c_Stroke2+c_MI1+c_MI2+c_LIR_2)</f>
        <v>0.26874459441063142</v>
      </c>
      <c r="CU50">
        <f>AL50*(c_Stroke2+c_MI2+c_LIR_2)</f>
        <v>-8.4301181503917601E-3</v>
      </c>
      <c r="CV50">
        <f>AM50*(c_HF1+c_LIR_2)</f>
        <v>5.3242115504982408</v>
      </c>
      <c r="CW50">
        <f>AN50*(c_HF2+c_LIR_2)</f>
        <v>40.907282749412467</v>
      </c>
      <c r="CX50">
        <f>AO50*(c_Stroke2+c_HF1+c_LIR_2)</f>
        <v>0.17740994671662402</v>
      </c>
      <c r="CY50">
        <f>AP50*(c_Stroke1+c_Stroke2+c_HF2+c_LIR_2)</f>
        <v>0.99392475505323918</v>
      </c>
      <c r="CZ50">
        <f>AQ50*(c_Stroke2+c_HF2+c_LIR_2)</f>
        <v>2.4760369732376518E-2</v>
      </c>
      <c r="DA50">
        <f>AR50*(c_DM+c_LIR_2)</f>
        <v>692.37434207787123</v>
      </c>
      <c r="DB50">
        <f>AS50*(c_Other+c_DM+c_LIR_2)</f>
        <v>429.09891832397693</v>
      </c>
      <c r="DC50">
        <f>AT50*(c_Stroke1+c_Stroke2+c_DM+c_LIR_2)</f>
        <v>45.091600488090982</v>
      </c>
      <c r="DD50">
        <f>AU50*(c_Stroke2+c_DM+c_LIR_2)</f>
        <v>27.501879580096833</v>
      </c>
      <c r="DE50">
        <f>AV50*(c_MI1+c_MI2+c_DM+c_LIR_2)</f>
        <v>30.610049447236953</v>
      </c>
      <c r="DF50">
        <f>AW50*(c_MI2+c_DM+c_LIR_2)</f>
        <v>44.897292205666616</v>
      </c>
      <c r="DG50">
        <f>AX50*(c_Stroke1+c_Stroke2+c_MI2+c_DM+c_LIR_2)</f>
        <v>2.3327470850407153</v>
      </c>
      <c r="DH50">
        <f>AY50*(c_Stroke2+c_MI1+c_MI2+c_DM+c_LIR_2)</f>
        <v>1.6107691437145955</v>
      </c>
      <c r="DI50">
        <f>AZ50*(c_Stroke2+c_MI2+c_DM+c_LIR_2)</f>
        <v>-0.4050674393401571</v>
      </c>
      <c r="DJ50">
        <f>BA50*(c_HF1+c_DM+c_LIR_2)</f>
        <v>24.331473750157407</v>
      </c>
      <c r="DK50">
        <f>BB50*(c_HF2+c_DM+c_LIR_2)</f>
        <v>189.58283901123681</v>
      </c>
      <c r="DL50">
        <f>BC50*(c_Stroke2+c_HF1+c_DM+c_LIR_2)</f>
        <v>1.0660707777972507</v>
      </c>
      <c r="DM50">
        <f>BD50*(c_Stroke1+c_Stroke2+c_HF2+c_DM+c_LIR_2)</f>
        <v>6.5128314932821265</v>
      </c>
      <c r="DN50">
        <f>BE50*(c_Stroke2+c_HF2+c_DM+c_LIR_2)</f>
        <v>-0.78591170504496755</v>
      </c>
      <c r="DO50">
        <f t="shared" si="53"/>
        <v>0</v>
      </c>
      <c r="DP50">
        <f t="shared" si="54"/>
        <v>1869.0882816736678</v>
      </c>
      <c r="DQ50">
        <f>DP50/(1+r_)^A50</f>
        <v>465.88663672374366</v>
      </c>
    </row>
    <row r="51" spans="1:121" x14ac:dyDescent="0.3">
      <c r="A51">
        <v>48</v>
      </c>
      <c r="B51">
        <v>93</v>
      </c>
      <c r="C51">
        <f t="shared" si="39"/>
        <v>36.1</v>
      </c>
      <c r="D51">
        <f t="shared" si="1"/>
        <v>125</v>
      </c>
      <c r="E51">
        <f t="shared" si="41"/>
        <v>5.5</v>
      </c>
      <c r="F51">
        <v>0.17560000000000001</v>
      </c>
      <c r="G51">
        <v>0.21640000000000001</v>
      </c>
      <c r="H51">
        <f t="shared" si="42"/>
        <v>0.18376000000000001</v>
      </c>
      <c r="I51">
        <f t="shared" si="43"/>
        <v>3.2286349135090861E-2</v>
      </c>
      <c r="J51">
        <f t="shared" si="21"/>
        <v>0.44897938352066591</v>
      </c>
      <c r="K51">
        <f t="shared" si="22"/>
        <v>0.56598194070361951</v>
      </c>
      <c r="L51">
        <f t="shared" si="23"/>
        <v>0.2458301637046193</v>
      </c>
      <c r="M51">
        <f t="shared" si="24"/>
        <v>0.32640847917488314</v>
      </c>
      <c r="N51">
        <f t="shared" si="25"/>
        <v>0.82298409540564876</v>
      </c>
      <c r="O51">
        <f t="shared" si="26"/>
        <v>0.91341359776409747</v>
      </c>
      <c r="P51">
        <f t="shared" si="27"/>
        <v>0.57331762500025318</v>
      </c>
      <c r="Q51">
        <f t="shared" si="28"/>
        <v>0.69984744527160325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3.6868876459039676E-2</v>
      </c>
      <c r="U51">
        <f t="shared" si="29"/>
        <v>0.72666110115412197</v>
      </c>
      <c r="V51">
        <f t="shared" si="30"/>
        <v>0.83740573667225493</v>
      </c>
      <c r="W51">
        <f t="shared" si="31"/>
        <v>0.45882825619109524</v>
      </c>
      <c r="X51">
        <f t="shared" si="32"/>
        <v>0.5768073444992935</v>
      </c>
      <c r="Y51">
        <f t="shared" si="33"/>
        <v>0.94747355319370152</v>
      </c>
      <c r="Z51">
        <f t="shared" si="34"/>
        <v>0.98444362788743789</v>
      </c>
      <c r="AA51">
        <f t="shared" si="35"/>
        <v>0.76527105741572776</v>
      </c>
      <c r="AB51">
        <f t="shared" si="36"/>
        <v>0.87099170411724114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5.8048362396330523E-2</v>
      </c>
      <c r="AD51">
        <f t="shared" si="44"/>
        <v>1.2380806003851106E-2</v>
      </c>
      <c r="AE51">
        <f t="shared" si="45"/>
        <v>2.976242795907148E-3</v>
      </c>
      <c r="AF51">
        <f t="shared" si="46"/>
        <v>2.1954830120193928E-4</v>
      </c>
      <c r="AG51">
        <f t="shared" si="47"/>
        <v>2.2701724435772135E-4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1.3263568719610545E-4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3.7871634697500794E-4</v>
      </c>
      <c r="AJ51">
        <f t="shared" si="48"/>
        <v>6.4958967317412055E-6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3.962659160686983E-6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-1.2322068885270678E-6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1.0709338924098069E-4</v>
      </c>
      <c r="AN51">
        <f t="shared" si="49"/>
        <v>1.0908854049037553E-3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2.6997325610887733E-6</v>
      </c>
      <c r="AP51">
        <f>AM50*T50*p_Stroke*p_Stroke_rec*(1-I50) + AN50*T50*p_Stroke*p_Stroke_rec*(1-I50) + AO50*(p_recur_Stroke*p_Stroke_rec)*(1-I50) + AP50*(p_recur_Stroke*p_Stroke_rec)*(1-I50) + AQ50*(p_recur_Stroke*p_Stroke_rec)*(1-I50)</f>
        <v>1.4631471122221833E-5</v>
      </c>
      <c r="AQ51">
        <f>AO50*(1-p_recur_Stroke-H50*rr_Stroke*rr_HF)*(1-I50) + AP50*(1-p_recur_Stroke-H50*rr_Stroke*rr_HF)*(1-I50) + AQ50*(1-p_recur_Stroke-H50*rr_Stroke*rr_HF)*(1-I50)</f>
        <v>-1.4485850101068344E-6</v>
      </c>
      <c r="AR51">
        <f>AR50*(1-AC50-H50*rr_DM) + AD50*(1-T50-H50)*I50</f>
        <v>2.2890630245353687E-2</v>
      </c>
      <c r="AS51">
        <f>AR50*AC50*p_Other + AD50*T50*p_Other*I50 + AE50*(1-T50*p_Stroke-T50*p_MI-H50*rr_Other)*I50 + AS50*(1-AC50*p_Stroke-AC50*p_MI-H50*rr_Other*rr_DM)</f>
        <v>8.0573144278917284E-3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7.147758249443669E-4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5.2069738850475254E-4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4.5358901773205585E-4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1.2324612059689904E-3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3.4708501540187643E-5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1.8554404390903233E-5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-1.3263514659392714E-5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3.7154800777487154E-4</v>
      </c>
      <c r="BB51">
        <f>AM50*(1-T50*p_Stroke - H50*rr_HF)*I50 + AN50*(1-T50*p_Stroke - H50*rr_HF)*I50 + BA50*(1-AC50*p_Stroke - H50*rr_HF*rr_DM) + BB50*(1-AC50*p_Stroke - H50*rr_HF*rr_DM)</f>
        <v>3.4781672855347238E-3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1.2588266559264255E-5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7.7045132905412917E-5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-2.1514620703005857E-5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0.88663464428495042</v>
      </c>
      <c r="BG51">
        <f t="shared" si="50"/>
        <v>0.94199999999999984</v>
      </c>
      <c r="BH51">
        <f>(0.9442 - 0.0007*$B51 - dis_BMI*($C51-21.75))*AD51</f>
        <v>1.0297673489673137E-2</v>
      </c>
      <c r="BI51">
        <f>0.959*(0.9442 - 0.0007*$B51 - dis_BMI*($C51-21.75))*AE51</f>
        <v>2.3739805866462372E-3</v>
      </c>
      <c r="BJ51">
        <f>(0.943*(0.9442 - 0.0007*$B51 - dis_BMI*($C51-21.75)) - 0.19*0.5)*AF51</f>
        <v>1.5134244566737993E-4</v>
      </c>
      <c r="BK51">
        <f>(0.943*(0.9442 - 0.0007*$B51 - dis_BMI*($C51-21.75)))*AG51</f>
        <v>1.7805769180753906E-4</v>
      </c>
      <c r="BL51">
        <f>(0.955*(0.9442 - 0.0007*$B51 - dis_BMI*($C51-21.75)) - 0.15*0.5)*AH51</f>
        <v>9.5407034973105198E-5</v>
      </c>
      <c r="BM51">
        <f>(0.955*(0.9442 - 0.0007*$B51 - dis_BMI*($C51-21.75)))*AI51</f>
        <v>3.0082063375406516E-4</v>
      </c>
      <c r="BN51">
        <f>(0.955*0.943*(0.9442 - 0.0007*$B51 - dis_BMI*($C51-21.75)) - 0.19*0.5)*AJ51</f>
        <v>4.2485791301518008E-6</v>
      </c>
      <c r="BO51">
        <f>(0.955*0.943*(0.9442 - 0.0007*$B51 - dis_BMI*($C51-21.75)) - 0.15*0.5)*AK51</f>
        <v>2.6709925080916484E-6</v>
      </c>
      <c r="BP51">
        <f>(0.955*0.943*(0.9442 - 0.0007*$B51 - dis_BMI*($C51-21.75)))*AL51</f>
        <v>-9.2297278493210264E-7</v>
      </c>
      <c r="BQ51">
        <f>(0.93*(0.9442 - 0.0007*$B51 - dis_BMI*($C51-21.75)))*AM51</f>
        <v>8.2839183661842717E-5</v>
      </c>
      <c r="BR51">
        <f>(0.93*(0.9442 - 0.0007*$B51 - dis_BMI*($C51-21.75)))*AN51</f>
        <v>8.4382478742455673E-4</v>
      </c>
      <c r="BS51">
        <f>(0.93*0.943*(0.9442 - 0.0007*$B51 - dis_BMI*($C51-21.75)))*AO51</f>
        <v>1.9692714498723893E-6</v>
      </c>
      <c r="BT51">
        <f>(0.93*0.943*(0.9442 - 0.0007*$B51 - dis_BMI*($C51-21.75))-0.19*0.5)*AP51</f>
        <v>9.2826741827398949E-6</v>
      </c>
      <c r="BU51">
        <f>(0.93*0.943*(0.9442 - 0.0007*$B51 - dis_BMI*($C51-21.75)))*AQ51</f>
        <v>-1.0566443299724658E-6</v>
      </c>
      <c r="BV51">
        <f>0.962*(0.9442 - 0.0007*$B51 - dis_BMI*($C51-21.75))*AR51</f>
        <v>1.8315678897791676E-2</v>
      </c>
      <c r="BW51">
        <f>0.962*0.959*(0.9442 - 0.0007*$B51 - dis_BMI*($C51-21.75))*AS51</f>
        <v>6.1826432817900798E-3</v>
      </c>
      <c r="BX51">
        <f>0.962*(0.943*(0.9442 - 0.0007*$B51 - dis_BMI*($C51-21.75)) - 0.19*0.5)*AT51</f>
        <v>4.739970014167539E-4</v>
      </c>
      <c r="BY51">
        <f>0.962*(0.943*(0.9442 - 0.0007*$B51 - dis_BMI*($C51-21.75)))*AU51</f>
        <v>3.9288220912411066E-4</v>
      </c>
      <c r="BZ51">
        <f>0.962*(0.955*(0.9442 - 0.0007*$B51 - dis_BMI*($C51-21.75)) - 0.15*0.5)*AV51</f>
        <v>3.1387563930705296E-4</v>
      </c>
      <c r="CA51">
        <f>0.962*(0.955*(0.9442 - 0.0007*$B51 - dis_BMI*($C51-21.75)))*AW51</f>
        <v>9.4176359955295478E-4</v>
      </c>
      <c r="CB51">
        <f>0.962*(0.955*0.943*(0.9442 - 0.0007*$B51 - dis_BMI*($C51-21.75)) - 0.19*0.5)*AX51</f>
        <v>2.1838134465497239E-5</v>
      </c>
      <c r="CC51">
        <f>0.962*(0.955*0.943*(0.9442 - 0.0007*$B51 - dis_BMI*($C51-21.75)) - 0.15*0.5)*AY51</f>
        <v>1.203117490866217E-5</v>
      </c>
      <c r="CD51">
        <f>0.962*(0.955*0.943*(0.9442 - 0.0007*$B51 - dis_BMI*($C51-21.75)))*AZ51</f>
        <v>-9.557382267879118E-6</v>
      </c>
      <c r="CE51">
        <f>0.962*(0.93*(0.9442 - 0.0007*$B51 - dis_BMI*($C51-21.75)))*BA51</f>
        <v>2.7647964067817885E-4</v>
      </c>
      <c r="CF51">
        <f>0.962*(0.93*(0.9442 - 0.0007*$B51 - dis_BMI*($C51-21.75)))*BB51</f>
        <v>2.5882050803672069E-3</v>
      </c>
      <c r="CG51">
        <f>0.962*(0.93*0.943*(0.9442 - 0.0007*$B51 - dis_BMI*($C51-21.75)))*BC51</f>
        <v>8.8333582194750061E-6</v>
      </c>
      <c r="CH51">
        <f>0.962*(0.93*0.943*(0.9442 - 0.0007*$B51 - dis_BMI*($C51-21.75))-0.19*0.5)*BD51</f>
        <v>4.7022465168871166E-5</v>
      </c>
      <c r="CI51">
        <f>0.962*(0.93*0.943*(0.9442 - 0.0007*$B51 - dis_BMI*($C51-21.75)))*BE51</f>
        <v>-1.5097102586052286E-5</v>
      </c>
      <c r="CJ51">
        <f t="shared" si="51"/>
        <v>0</v>
      </c>
      <c r="CK51">
        <f t="shared" si="52"/>
        <v>4.3890733751700398E-2</v>
      </c>
      <c r="CL51">
        <f>CK51/(1+r_)^A51</f>
        <v>1.0621504940681105E-2</v>
      </c>
      <c r="CM51">
        <f>AD51*c_LIR_2</f>
        <v>145.59827860528901</v>
      </c>
      <c r="CN51">
        <f>AE51*(c_Other+c_LIR_2)</f>
        <v>77.498386162626232</v>
      </c>
      <c r="CO51">
        <f>AF51*(c_Stroke1+c_Stroke2+c_LIR_2)</f>
        <v>7.8106503635601916</v>
      </c>
      <c r="CP51">
        <f>AG51*(c_Stroke2 + c_LIR_2)</f>
        <v>4.1453348819719915</v>
      </c>
      <c r="CQ51">
        <f>AH51*(c_MI1+c_MI2 + c_LIR_2)</f>
        <v>5.4262585988798699</v>
      </c>
      <c r="CR51">
        <f>AI51*(c_MI2+c_LIR_2)</f>
        <v>5.6341630939471932</v>
      </c>
      <c r="CS51">
        <f>AJ51*(c_Stroke1+c_Stroke2+c_MI2+c_LIR_2)</f>
        <v>0.25134573224126244</v>
      </c>
      <c r="CT51">
        <f>AK51*(c_Stroke2+c_MI1+c_MI2+c_LIR_2)</f>
        <v>0.18787363346733055</v>
      </c>
      <c r="CU51">
        <f>AL51*(c_Stroke2+c_MI2+c_LIR_2)</f>
        <v>-2.6340886656043127E-2</v>
      </c>
      <c r="CV51">
        <f>AM51*(c_HF1+c_LIR_2)</f>
        <v>4.1541525686576408</v>
      </c>
      <c r="CW51">
        <f>AN51*(c_HF2+c_LIR_2)</f>
        <v>29.852079105191262</v>
      </c>
      <c r="CX51">
        <f>AO51*(c_Stroke2+c_HF1+c_LIR_2)</f>
        <v>0.12227088769171054</v>
      </c>
      <c r="CY51">
        <f>AP51*(c_Stroke1+c_Stroke2+c_HF2+c_LIR_2)</f>
        <v>0.74885332350643563</v>
      </c>
      <c r="CZ51">
        <f>AQ51*(c_Stroke2+c_HF2+c_LIR_2)</f>
        <v>-4.9056331367267947E-2</v>
      </c>
      <c r="DA51">
        <f>AR51*(c_DM+c_LIR_2)</f>
        <v>530.71926223852529</v>
      </c>
      <c r="DB51">
        <f>AS51*(c_Other+c_DM+c_LIR_2)</f>
        <v>301.85922772653572</v>
      </c>
      <c r="DC51">
        <f>AT51*(c_Stroke1+c_Stroke2+c_DM+c_LIR_2)</f>
        <v>33.595178548210185</v>
      </c>
      <c r="DD51">
        <f>AU51*(c_Stroke2+c_DM+c_LIR_2)</f>
        <v>15.456901977763579</v>
      </c>
      <c r="DE51">
        <f>AV51*(c_MI1+c_MI2+c_DM+c_LIR_2)</f>
        <v>23.739034832024874</v>
      </c>
      <c r="DF51">
        <f>AW51*(c_MI2+c_DM+c_LIR_2)</f>
        <v>32.416194639396387</v>
      </c>
      <c r="DG51">
        <f>AX51*(c_Stroke1+c_Stroke2+c_MI2+c_DM+c_LIR_2)</f>
        <v>1.7395206801911243</v>
      </c>
      <c r="DH51">
        <f>AY51*(c_Stroke2+c_MI1+c_MI2+c_DM+c_LIR_2)</f>
        <v>1.0916669367431826</v>
      </c>
      <c r="DI51">
        <f>AZ51*(c_Stroke2+c_MI2+c_DM+c_LIR_2)</f>
        <v>-0.43506980785739979</v>
      </c>
      <c r="DJ51">
        <f>BA51*(c_HF1+c_DM+c_LIR_2)</f>
        <v>18.657283210415173</v>
      </c>
      <c r="DK51">
        <f>BB51*(c_HF2+c_DM+c_LIR_2)</f>
        <v>134.91810900589195</v>
      </c>
      <c r="DL51">
        <f>BC51*(c_Stroke2+c_HF1+c_DM+c_LIR_2)</f>
        <v>0.71394353790867227</v>
      </c>
      <c r="DM51">
        <f>BD51*(c_Stroke1+c_Stroke2+c_HF2+c_DM+c_LIR_2)</f>
        <v>4.8234875906762813</v>
      </c>
      <c r="DN51">
        <f>BE51*(c_Stroke2+c_HF2+c_DM+c_LIR_2)</f>
        <v>-0.97439717163913531</v>
      </c>
      <c r="DO51">
        <f t="shared" si="53"/>
        <v>0</v>
      </c>
      <c r="DP51">
        <f t="shared" si="54"/>
        <v>1379.6745936837926</v>
      </c>
      <c r="DQ51">
        <f>DP51/(1+r_)^A51</f>
        <v>333.87959737120758</v>
      </c>
    </row>
    <row r="52" spans="1:121" x14ac:dyDescent="0.3">
      <c r="A52">
        <v>49</v>
      </c>
      <c r="B52">
        <v>94</v>
      </c>
      <c r="C52">
        <f t="shared" si="39"/>
        <v>36.1</v>
      </c>
      <c r="D52">
        <f t="shared" si="1"/>
        <v>125</v>
      </c>
      <c r="E52">
        <f t="shared" si="41"/>
        <v>5.5</v>
      </c>
      <c r="F52">
        <v>0.19406999999999999</v>
      </c>
      <c r="G52">
        <v>0.23441000000000001</v>
      </c>
      <c r="H52">
        <f t="shared" si="42"/>
        <v>0.20213799999999998</v>
      </c>
      <c r="I52">
        <f t="shared" si="43"/>
        <v>3.2286349135090861E-2</v>
      </c>
      <c r="J52">
        <f t="shared" si="21"/>
        <v>0.45859224758212658</v>
      </c>
      <c r="K52">
        <f t="shared" si="22"/>
        <v>0.5765488512425635</v>
      </c>
      <c r="L52">
        <f t="shared" si="23"/>
        <v>0.25208749950042575</v>
      </c>
      <c r="M52">
        <f t="shared" si="24"/>
        <v>0.33422248989590853</v>
      </c>
      <c r="N52">
        <f t="shared" si="25"/>
        <v>0.83306253209241299</v>
      </c>
      <c r="O52">
        <f t="shared" si="26"/>
        <v>0.92029654220957269</v>
      </c>
      <c r="P52">
        <f t="shared" si="27"/>
        <v>0.58544521109200276</v>
      </c>
      <c r="Q52">
        <f t="shared" si="28"/>
        <v>0.71183083198459451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3.7652294468223282E-2</v>
      </c>
      <c r="U52">
        <f t="shared" si="29"/>
        <v>0.7369325632576873</v>
      </c>
      <c r="V52">
        <f t="shared" si="30"/>
        <v>0.8458977575493325</v>
      </c>
      <c r="W52">
        <f t="shared" si="31"/>
        <v>0.46855242232508532</v>
      </c>
      <c r="X52">
        <f t="shared" si="32"/>
        <v>0.58741854865614684</v>
      </c>
      <c r="Y52">
        <f t="shared" si="33"/>
        <v>0.95246028730838495</v>
      </c>
      <c r="Z52">
        <f t="shared" si="34"/>
        <v>0.98648874891863447</v>
      </c>
      <c r="AA52">
        <f t="shared" si="35"/>
        <v>0.77651043997967995</v>
      </c>
      <c r="AB52">
        <f t="shared" si="36"/>
        <v>0.87963292976605956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5.8979535109004069E-2</v>
      </c>
      <c r="AD52">
        <f t="shared" si="44"/>
        <v>9.3377038673287584E-3</v>
      </c>
      <c r="AE52">
        <f t="shared" si="45"/>
        <v>2.0697296770625451E-3</v>
      </c>
      <c r="AF52">
        <f t="shared" si="46"/>
        <v>1.6364826521805416E-4</v>
      </c>
      <c r="AG52">
        <f t="shared" si="47"/>
        <v>1.2822684867732463E-4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1.0250058808715593E-4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2.7071803199791189E-4</v>
      </c>
      <c r="AJ52">
        <f t="shared" si="48"/>
        <v>4.8461923231569184E-6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2.7167628524981734E-6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-1.6327187612843932E-6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8.1719531078761217E-5</v>
      </c>
      <c r="AN52">
        <f t="shared" si="49"/>
        <v>7.6174960210226305E-4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1.8309833134716132E-6</v>
      </c>
      <c r="AP52">
        <f>AM51*T51*p_Stroke*p_Stroke_rec*(1-I51) + AN51*T51*p_Stroke*p_Stroke_rec*(1-I51) + AO51*(p_recur_Stroke*p_Stroke_rec)*(1-I51) + AP51*(p_recur_Stroke*p_Stroke_rec)*(1-I51) + AQ51*(p_recur_Stroke*p_Stroke_rec)*(1-I51)</f>
        <v>1.0741058186524347E-5</v>
      </c>
      <c r="AQ52">
        <f>AO51*(1-p_recur_Stroke-H51*rr_Stroke*rr_HF)*(1-I51) + AP51*(1-p_recur_Stroke-H51*rr_Stroke*rr_HF)*(1-I51) + AQ51*(1-p_recur_Stroke-H51*rr_Stroke*rr_HF)*(1-I51)</f>
        <v>-2.5637980358479957E-6</v>
      </c>
      <c r="AR52">
        <f>AR51*(1-AC51-H51*rr_DM) + AD51*(1-T51-H51)*I51</f>
        <v>1.7036065917657217E-2</v>
      </c>
      <c r="AS52">
        <f>AR51*AC51*p_Other + AD51*T51*p_Other*I51 + AE51*(1-T51*p_Stroke-T51*p_MI-H51*rr_Other)*I51 + AS51*(1-AC51*p_Stroke-AC51*p_MI-H51*rr_Other*rr_DM)</f>
        <v>5.4115792128259996E-3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5.21990768190428E-4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2.5852025314990321E-4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3.42564997439365E-4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8.497927840881961E-4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2.5287430259811873E-5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1.2310254117973218E-5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-1.2821547360072619E-5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2.7701371844841588E-4</v>
      </c>
      <c r="BB52">
        <f>AM51*(1-T51*p_Stroke - H51*rr_HF)*I51 + AN51*(1-T51*p_Stroke - H51*rr_HF)*I51 + BA51*(1-AC51*p_Stroke - H51*rr_HF*rr_DM) + BB51*(1-AC51*p_Stroke - H51*rr_HF*rr_DM)</f>
        <v>2.3430941627102129E-3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8.2838252154572079E-6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5.5164854703721429E-5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-2.2144325583296838E-5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0.90196136280270522</v>
      </c>
      <c r="BG52">
        <f t="shared" si="50"/>
        <v>0.94199999999999984</v>
      </c>
      <c r="BH52">
        <f>(0.9442 - 0.0007*$B52 - dis_BMI*($C52-21.75))*AD52</f>
        <v>7.7600521104242287E-3</v>
      </c>
      <c r="BI52">
        <f>0.959*(0.9442 - 0.0007*$B52 - dis_BMI*($C52-21.75))*AE52</f>
        <v>1.6495169209959906E-3</v>
      </c>
      <c r="BJ52">
        <f>(0.943*(0.9442 - 0.0007*$B52 - dis_BMI*($C52-21.75)) - 0.19*0.5)*AF52</f>
        <v>1.1270054023603882E-4</v>
      </c>
      <c r="BK52">
        <f>(0.943*(0.9442 - 0.0007*$B52 - dis_BMI*($C52-21.75)))*AG52</f>
        <v>1.0048823141588155E-4</v>
      </c>
      <c r="BL52">
        <f>(0.955*(0.9442 - 0.0007*$B52 - dis_BMI*($C52-21.75)) - 0.15*0.5)*AH52</f>
        <v>7.3661840065143735E-5</v>
      </c>
      <c r="BM52">
        <f>(0.955*(0.9442 - 0.0007*$B52 - dis_BMI*($C52-21.75)))*AI52</f>
        <v>2.1485481789112795E-4</v>
      </c>
      <c r="BN52">
        <f>(0.955*0.943*(0.9442 - 0.0007*$B52 - dis_BMI*($C52-21.75)) - 0.19*0.5)*AJ52</f>
        <v>3.1665507217812868E-6</v>
      </c>
      <c r="BO52">
        <f>(0.955*0.943*(0.9442 - 0.0007*$B52 - dis_BMI*($C52-21.75)) - 0.15*0.5)*AK52</f>
        <v>1.8294953823259334E-6</v>
      </c>
      <c r="BP52">
        <f>(0.955*0.943*(0.9442 - 0.0007*$B52 - dis_BMI*($C52-21.75)))*AL52</f>
        <v>-1.2219431141355088E-6</v>
      </c>
      <c r="BQ52">
        <f>(0.93*(0.9442 - 0.0007*$B52 - dis_BMI*($C52-21.75)))*AM52</f>
        <v>6.315872516597468E-5</v>
      </c>
      <c r="BR52">
        <f>(0.93*(0.9442 - 0.0007*$B52 - dis_BMI*($C52-21.75)))*AN52</f>
        <v>5.8873482421353991E-4</v>
      </c>
      <c r="BS52">
        <f>(0.93*0.943*(0.9442 - 0.0007*$B52 - dis_BMI*($C52-21.75)))*AO52</f>
        <v>1.3344538795362254E-6</v>
      </c>
      <c r="BT52">
        <f>(0.93*0.943*(0.9442 - 0.0007*$B52 - dis_BMI*($C52-21.75))-0.19*0.5)*AP52</f>
        <v>6.8078776776970326E-6</v>
      </c>
      <c r="BU52">
        <f>(0.93*0.943*(0.9442 - 0.0007*$B52 - dis_BMI*($C52-21.75)))*AQ52</f>
        <v>-1.8685425531256513E-6</v>
      </c>
      <c r="BV52">
        <f>0.962*(0.9442 - 0.0007*$B52 - dis_BMI*($C52-21.75))*AR52</f>
        <v>1.3619743379318943E-2</v>
      </c>
      <c r="BW52">
        <f>0.962*0.959*(0.9442 - 0.0007*$B52 - dis_BMI*($C52-21.75))*AS52</f>
        <v>4.1489885852055725E-3</v>
      </c>
      <c r="BX52">
        <f>0.962*(0.943*(0.9442 - 0.0007*$B52 - dis_BMI*($C52-21.75)) - 0.19*0.5)*AT52</f>
        <v>3.4582189501424513E-4</v>
      </c>
      <c r="BY52">
        <f>0.962*(0.943*(0.9442 - 0.0007*$B52 - dis_BMI*($C52-21.75)))*AU52</f>
        <v>1.948973249135052E-4</v>
      </c>
      <c r="BZ52">
        <f>0.962*(0.955*(0.9442 - 0.0007*$B52 - dis_BMI*($C52-21.75)) - 0.15*0.5)*AV52</f>
        <v>2.3682866333048398E-4</v>
      </c>
      <c r="CA52">
        <f>0.962*(0.955*(0.9442 - 0.0007*$B52 - dis_BMI*($C52-21.75)))*AW52</f>
        <v>6.4880774201528304E-4</v>
      </c>
      <c r="CB52">
        <f>0.962*(0.955*0.943*(0.9442 - 0.0007*$B52 - dis_BMI*($C52-21.75)) - 0.19*0.5)*AX52</f>
        <v>1.5895184516832341E-5</v>
      </c>
      <c r="CC52">
        <f>0.962*(0.955*0.943*(0.9442 - 0.0007*$B52 - dis_BMI*($C52-21.75)) - 0.15*0.5)*AY52</f>
        <v>7.9748344717437666E-6</v>
      </c>
      <c r="CD52">
        <f>0.962*(0.955*0.943*(0.9442 - 0.0007*$B52 - dis_BMI*($C52-21.75)))*AZ52</f>
        <v>-9.2311353364966077E-6</v>
      </c>
      <c r="CE52">
        <f>0.962*(0.93*(0.9442 - 0.0007*$B52 - dis_BMI*($C52-21.75)))*BA52</f>
        <v>2.0596045306060727E-4</v>
      </c>
      <c r="CF52">
        <f>0.962*(0.93*(0.9442 - 0.0007*$B52 - dis_BMI*($C52-21.75)))*BB52</f>
        <v>1.7420968824882377E-3</v>
      </c>
      <c r="CG52">
        <f>0.962*(0.93*0.943*(0.9442 - 0.0007*$B52 - dis_BMI*($C52-21.75)))*BC52</f>
        <v>5.807980922310796E-6</v>
      </c>
      <c r="CH52">
        <f>0.962*(0.93*0.943*(0.9442 - 0.0007*$B52 - dis_BMI*($C52-21.75))-0.19*0.5)*BD52</f>
        <v>3.3635835920967007E-5</v>
      </c>
      <c r="CI52">
        <f>0.962*(0.93*0.943*(0.9442 - 0.0007*$B52 - dis_BMI*($C52-21.75)))*BE52</f>
        <v>-1.5525897418168591E-5</v>
      </c>
      <c r="CJ52">
        <f t="shared" si="51"/>
        <v>0</v>
      </c>
      <c r="CK52">
        <f t="shared" si="52"/>
        <v>3.1754917630826072E-2</v>
      </c>
      <c r="CL52">
        <f>CK52/(1+r_)^A52</f>
        <v>7.4608271756238659E-3</v>
      </c>
      <c r="CM52">
        <f>AD52*c_LIR_2</f>
        <v>109.81139747978619</v>
      </c>
      <c r="CN52">
        <f>AE52*(c_Other+c_LIR_2)</f>
        <v>53.89369106103161</v>
      </c>
      <c r="CO52">
        <f>AF52*(c_Stroke1+c_Stroke2+c_LIR_2)</f>
        <v>5.8219506833974943</v>
      </c>
      <c r="CP52">
        <f>AG52*(c_Stroke2 + c_LIR_2)</f>
        <v>2.3414222568479475</v>
      </c>
      <c r="CQ52">
        <f>AH52*(c_MI1+c_MI2 + c_LIR_2)</f>
        <v>4.193401559233636</v>
      </c>
      <c r="CR52">
        <f>AI52*(c_MI2+c_LIR_2)</f>
        <v>4.027472162032935</v>
      </c>
      <c r="CS52">
        <f>AJ52*(c_Stroke1+c_Stroke2+c_MI2+c_LIR_2)</f>
        <v>0.18751371955991064</v>
      </c>
      <c r="CT52">
        <f>AK52*(c_Stroke2+c_MI1+c_MI2+c_LIR_2)</f>
        <v>0.1288044435997909</v>
      </c>
      <c r="CU52">
        <f>AL52*(c_Stroke2+c_MI2+c_LIR_2)</f>
        <v>-3.4902628959976471E-2</v>
      </c>
      <c r="CV52">
        <f>AM52*(c_HF1+c_LIR_2)</f>
        <v>3.1699006105451475</v>
      </c>
      <c r="CW52">
        <f>AN52*(c_HF2+c_LIR_2)</f>
        <v>20.84527786152843</v>
      </c>
      <c r="CX52">
        <f>AO52*(c_Stroke2+c_HF1+c_LIR_2)</f>
        <v>8.2925234267129361E-2</v>
      </c>
      <c r="CY52">
        <f>AP52*(c_Stroke1+c_Stroke2+c_HF2+c_LIR_2)</f>
        <v>0.54973809904450266</v>
      </c>
      <c r="CZ52">
        <f>AQ52*(c_Stroke2+c_HF2+c_LIR_2)</f>
        <v>-8.6823020483992375E-2</v>
      </c>
      <c r="DA52">
        <f>AR52*(c_DM+c_LIR_2)</f>
        <v>394.98118830088259</v>
      </c>
      <c r="DB52">
        <f>AS52*(c_Other+c_DM+c_LIR_2)</f>
        <v>202.73940362931324</v>
      </c>
      <c r="DC52">
        <f>AT52*(c_Stroke1+c_Stroke2+c_DM+c_LIR_2)</f>
        <v>24.534088095718307</v>
      </c>
      <c r="DD52">
        <f>AU52*(c_Stroke2+c_DM+c_LIR_2)</f>
        <v>7.6741737147548763</v>
      </c>
      <c r="DE52">
        <f>AV52*(c_MI1+c_MI2+c_DM+c_LIR_2)</f>
        <v>17.928481705986606</v>
      </c>
      <c r="DF52">
        <f>AW52*(c_MI2+c_DM+c_LIR_2)</f>
        <v>22.351249807087733</v>
      </c>
      <c r="DG52">
        <f>AX52*(c_Stroke1+c_Stroke2+c_MI2+c_DM+c_LIR_2)</f>
        <v>1.2673554297612515</v>
      </c>
      <c r="DH52">
        <f>AY52*(c_Stroke2+c_MI1+c_MI2+c_DM+c_LIR_2)</f>
        <v>0.72428611128507225</v>
      </c>
      <c r="DI52">
        <f>AZ52*(c_Stroke2+c_MI2+c_DM+c_LIR_2)</f>
        <v>-0.42057239650510209</v>
      </c>
      <c r="DJ52">
        <f>BA52*(c_HF1+c_DM+c_LIR_2)</f>
        <v>13.910243871887204</v>
      </c>
      <c r="DK52">
        <f>BB52*(c_HF2+c_DM+c_LIR_2)</f>
        <v>90.888622571529154</v>
      </c>
      <c r="DL52">
        <f>BC52*(c_Stroke2+c_HF1+c_DM+c_LIR_2)</f>
        <v>0.46981714709465555</v>
      </c>
      <c r="DM52">
        <f>BD52*(c_Stroke1+c_Stroke2+c_HF2+c_DM+c_LIR_2)</f>
        <v>3.4536508935811838</v>
      </c>
      <c r="DN52">
        <f>BE52*(c_Stroke2+c_HF2+c_DM+c_LIR_2)</f>
        <v>-1.0029165056675138</v>
      </c>
      <c r="DO52">
        <f t="shared" si="53"/>
        <v>0</v>
      </c>
      <c r="DP52">
        <f t="shared" si="54"/>
        <v>984.43084189813999</v>
      </c>
      <c r="DQ52">
        <f>DP52/(1+r_)^A52</f>
        <v>231.29231393836432</v>
      </c>
    </row>
    <row r="53" spans="1:121" x14ac:dyDescent="0.3">
      <c r="A53">
        <v>50</v>
      </c>
      <c r="B53">
        <v>95</v>
      </c>
      <c r="C53">
        <f t="shared" si="39"/>
        <v>36.1</v>
      </c>
      <c r="D53">
        <f t="shared" si="1"/>
        <v>125</v>
      </c>
      <c r="E53">
        <f t="shared" si="41"/>
        <v>5.5</v>
      </c>
      <c r="F53">
        <v>0.21340000000000001</v>
      </c>
      <c r="G53">
        <v>0.25403999999999999</v>
      </c>
      <c r="H53">
        <f t="shared" si="42"/>
        <v>0.221528</v>
      </c>
      <c r="I53">
        <f t="shared" si="43"/>
        <v>3.2286349135090861E-2</v>
      </c>
      <c r="J53">
        <f t="shared" si="21"/>
        <v>0.4682103776147859</v>
      </c>
      <c r="K53">
        <f t="shared" si="22"/>
        <v>0.58704661237069744</v>
      </c>
      <c r="L53">
        <f t="shared" si="23"/>
        <v>0.25840709588062583</v>
      </c>
      <c r="M53">
        <f t="shared" si="24"/>
        <v>0.34208771967246332</v>
      </c>
      <c r="N53">
        <f t="shared" si="25"/>
        <v>0.84277681086791278</v>
      </c>
      <c r="O53">
        <f t="shared" si="26"/>
        <v>0.92677036682420422</v>
      </c>
      <c r="P53">
        <f t="shared" si="27"/>
        <v>0.59749202840186744</v>
      </c>
      <c r="Q53">
        <f t="shared" si="28"/>
        <v>0.72359192466394029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3.8435510088888653E-2</v>
      </c>
      <c r="U53">
        <f t="shared" si="29"/>
        <v>0.7469971710632497</v>
      </c>
      <c r="V53">
        <f t="shared" si="30"/>
        <v>0.85409094952247311</v>
      </c>
      <c r="W53">
        <f t="shared" si="31"/>
        <v>0.47827668734999429</v>
      </c>
      <c r="X53">
        <f t="shared" si="32"/>
        <v>0.59795238146537699</v>
      </c>
      <c r="Y53">
        <f t="shared" si="33"/>
        <v>0.95707105218816058</v>
      </c>
      <c r="Z53">
        <f t="shared" si="34"/>
        <v>0.98830254882065305</v>
      </c>
      <c r="AA53">
        <f t="shared" si="35"/>
        <v>0.7874488755852328</v>
      </c>
      <c r="AB53">
        <f t="shared" si="36"/>
        <v>0.88787221472428945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5.9899112991160637E-2</v>
      </c>
      <c r="AD53">
        <f t="shared" si="44"/>
        <v>6.869424806166903E-3</v>
      </c>
      <c r="AE53">
        <f t="shared" si="45"/>
        <v>1.386858011375494E-3</v>
      </c>
      <c r="AF53">
        <f t="shared" si="46"/>
        <v>1.1913388060371297E-4</v>
      </c>
      <c r="AG53">
        <f t="shared" si="47"/>
        <v>6.7512851822028915E-5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7.7069845066033267E-5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1.8703554851898444E-4</v>
      </c>
      <c r="AJ53">
        <f t="shared" si="48"/>
        <v>3.5110731941270987E-6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1.8027353562515765E-6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-1.571007225857128E-6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6.0572516343150062E-5</v>
      </c>
      <c r="AN53">
        <f t="shared" si="49"/>
        <v>5.0888173522613072E-4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1.2001033079855976E-6</v>
      </c>
      <c r="AP53">
        <f>AM52*T52*p_Stroke*p_Stroke_rec*(1-I52) + AN52*T52*p_Stroke*p_Stroke_rec*(1-I52) + AO52*(p_recur_Stroke*p_Stroke_rec)*(1-I52) + AP52*(p_recur_Stroke*p_Stroke_rec)*(1-I52) + AQ52*(p_recur_Stroke*p_Stroke_rec)*(1-I52)</f>
        <v>7.5723775814622729E-6</v>
      </c>
      <c r="AQ53">
        <f>AO52*(1-p_recur_Stroke-H52*rr_Stroke*rr_HF)*(1-I52) + AP52*(1-p_recur_Stroke-H52*rr_Stroke*rr_HF)*(1-I52) + AQ52*(1-p_recur_Stroke-H52*rr_Stroke*rr_HF)*(1-I52)</f>
        <v>-2.6295019212415658E-6</v>
      </c>
      <c r="AR53">
        <f>AR52*(1-AC52-H52*rr_DM) + AD52*(1-T52-H52)*I52</f>
        <v>1.2300293234572567E-2</v>
      </c>
      <c r="AS53">
        <f>AR52*AC52*p_Other + AD52*T52*p_Other*I52 + AE52*(1-T52*p_Stroke-T52*p_MI-H52*rr_Other)*I52 + AS52*(1-AC52*p_Stroke-AC52*p_MI-H52*rr_Other*rr_DM)</f>
        <v>3.4767102238070086E-3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3.7029131849581487E-4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1.1107816012859582E-4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2.5008557064460122E-4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5.6074610694620091E-4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1.7733135479549835E-5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7.8603024643223811E-6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-1.0550094703945988E-5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1.9914852126201062E-4</v>
      </c>
      <c r="BB53">
        <f>AM52*(1-T52*p_Stroke - H52*rr_HF)*I52 + AN52*(1-T52*p_Stroke - H52*rr_HF)*I52 + BA52*(1-AC52*p_Stroke - H52*rr_HF*rr_DM) + BB52*(1-AC52*p_Stroke - H52*rr_HF*rr_DM)</f>
        <v>1.4930417370230631E-3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5.2283300879212737E-6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3.7511770802518852E-5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-1.8436124499610156E-5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0.91391288283207406</v>
      </c>
      <c r="BG53">
        <f t="shared" si="50"/>
        <v>0.94199999999999984</v>
      </c>
      <c r="BH53">
        <f>(0.9442 - 0.0007*$B53 - dis_BMI*($C53-21.75))*AD53</f>
        <v>5.7039925406766568E-3</v>
      </c>
      <c r="BI53">
        <f>0.959*(0.9442 - 0.0007*$B53 - dis_BMI*($C53-21.75))*AE53</f>
        <v>1.1043562202219055E-3</v>
      </c>
      <c r="BJ53">
        <f>(0.943*(0.9442 - 0.0007*$B53 - dis_BMI*($C53-21.75)) - 0.19*0.5)*AF53</f>
        <v>8.1965936773413579E-5</v>
      </c>
      <c r="BK53">
        <f>(0.943*(0.9442 - 0.0007*$B53 - dis_BMI*($C53-21.75)))*AG53</f>
        <v>5.2863598286231333E-5</v>
      </c>
      <c r="BL53">
        <f>(0.955*(0.9442 - 0.0007*$B53 - dis_BMI*($C53-21.75)) - 0.15*0.5)*AH53</f>
        <v>5.5334566898841911E-5</v>
      </c>
      <c r="BM53">
        <f>(0.955*(0.9442 - 0.0007*$B53 - dis_BMI*($C53-21.75)))*AI53</f>
        <v>1.483153510709213E-4</v>
      </c>
      <c r="BN53">
        <f>(0.955*0.943*(0.9442 - 0.0007*$B53 - dis_BMI*($C53-21.75)) - 0.19*0.5)*AJ53</f>
        <v>2.2919571129679728E-6</v>
      </c>
      <c r="BO53">
        <f>(0.955*0.943*(0.9442 - 0.0007*$B53 - dis_BMI*($C53-21.75)) - 0.15*0.5)*AK53</f>
        <v>1.212843652872679E-6</v>
      </c>
      <c r="BP53">
        <f>(0.955*0.943*(0.9442 - 0.0007*$B53 - dis_BMI*($C53-21.75)))*AL53</f>
        <v>-1.1747672255260523E-6</v>
      </c>
      <c r="BQ53">
        <f>(0.93*(0.9442 - 0.0007*$B53 - dis_BMI*($C53-21.75)))*AM53</f>
        <v>4.677536005714624E-5</v>
      </c>
      <c r="BR53">
        <f>(0.93*(0.9442 - 0.0007*$B53 - dis_BMI*($C53-21.75)))*AN53</f>
        <v>3.9296908612579764E-4</v>
      </c>
      <c r="BS53">
        <f>(0.93*0.943*(0.9442 - 0.0007*$B53 - dis_BMI*($C53-21.75)))*AO53</f>
        <v>8.7392034317536441E-7</v>
      </c>
      <c r="BT53">
        <f>(0.93*0.943*(0.9442 - 0.0007*$B53 - dis_BMI*($C53-21.75))-0.19*0.5)*AP53</f>
        <v>4.7948617546475944E-6</v>
      </c>
      <c r="BU53">
        <f>(0.93*0.943*(0.9442 - 0.0007*$B53 - dis_BMI*($C53-21.75)))*AQ53</f>
        <v>-1.9148145048020207E-6</v>
      </c>
      <c r="BV53">
        <f>0.962*(0.9442 - 0.0007*$B53 - dis_BMI*($C53-21.75))*AR53</f>
        <v>9.8253744803984324E-3</v>
      </c>
      <c r="BW53">
        <f>0.962*0.959*(0.9442 - 0.0007*$B53 - dis_BMI*($C53-21.75))*AS53</f>
        <v>2.6633040455001809E-3</v>
      </c>
      <c r="BX53">
        <f>0.962*(0.943*(0.9442 - 0.0007*$B53 - dis_BMI*($C53-21.75)) - 0.19*0.5)*AT53</f>
        <v>2.4508499353187517E-4</v>
      </c>
      <c r="BY53">
        <f>0.962*(0.943*(0.9442 - 0.0007*$B53 - dis_BMI*($C53-21.75)))*AU53</f>
        <v>8.3670818459233604E-5</v>
      </c>
      <c r="BZ53">
        <f>0.962*(0.955*(0.9442 - 0.0007*$B53 - dis_BMI*($C53-21.75)) - 0.15*0.5)*AV53</f>
        <v>1.7273316706125971E-4</v>
      </c>
      <c r="CA53">
        <f>0.962*(0.955*(0.9442 - 0.0007*$B53 - dis_BMI*($C53-21.75)))*AW53</f>
        <v>4.277630676617015E-4</v>
      </c>
      <c r="CB53">
        <f>0.962*(0.955*0.943*(0.9442 - 0.0007*$B53 - dis_BMI*($C53-21.75)) - 0.19*0.5)*AX53</f>
        <v>1.1135948346241056E-5</v>
      </c>
      <c r="CC53">
        <f>0.962*(0.955*0.943*(0.9442 - 0.0007*$B53 - dis_BMI*($C53-21.75)) - 0.15*0.5)*AY53</f>
        <v>5.0872979439138175E-6</v>
      </c>
      <c r="CD53">
        <f>0.962*(0.955*0.943*(0.9442 - 0.0007*$B53 - dis_BMI*($C53-21.75)))*AZ53</f>
        <v>-7.5893585209194627E-6</v>
      </c>
      <c r="CE53">
        <f>0.962*(0.93*(0.9442 - 0.0007*$B53 - dis_BMI*($C53-21.75)))*BA53</f>
        <v>1.4794274803131557E-4</v>
      </c>
      <c r="CF53">
        <f>0.962*(0.93*(0.9442 - 0.0007*$B53 - dis_BMI*($C53-21.75)))*BB53</f>
        <v>1.109145556797948E-3</v>
      </c>
      <c r="CG53">
        <f>0.962*(0.93*0.943*(0.9442 - 0.0007*$B53 - dis_BMI*($C53-21.75)))*BC53</f>
        <v>3.6626151452834126E-6</v>
      </c>
      <c r="CH53">
        <f>0.962*(0.93*0.943*(0.9442 - 0.0007*$B53 - dis_BMI*($C53-21.75))-0.19*0.5)*BD53</f>
        <v>2.2850013831485016E-5</v>
      </c>
      <c r="CI53">
        <f>0.962*(0.93*0.943*(0.9442 - 0.0007*$B53 - dis_BMI*($C53-21.75)))*BE53</f>
        <v>-1.2915104378853345E-5</v>
      </c>
      <c r="CJ53">
        <f t="shared" si="51"/>
        <v>0</v>
      </c>
      <c r="CK53">
        <f t="shared" si="52"/>
        <v>2.2289906951053342E-2</v>
      </c>
      <c r="CL53">
        <f>CK53/(1+r_)^A53</f>
        <v>5.0844855833901163E-3</v>
      </c>
      <c r="CM53">
        <f>AD53*c_LIR_2</f>
        <v>80.784435720522779</v>
      </c>
      <c r="CN53">
        <f>AE53*(c_Other+c_LIR_2)</f>
        <v>36.112395758206489</v>
      </c>
      <c r="CO53">
        <f>AF53*(c_Stroke1+c_Stroke2+c_LIR_2)</f>
        <v>4.2383069363576924</v>
      </c>
      <c r="CP53">
        <f>AG53*(c_Stroke2 + c_LIR_2)</f>
        <v>1.232784674270248</v>
      </c>
      <c r="CQ53">
        <f>AH53*(c_MI1+c_MI2 + c_LIR_2)</f>
        <v>3.1530044314964871</v>
      </c>
      <c r="CR53">
        <f>AI53*(c_MI2+c_LIR_2)</f>
        <v>2.7825278553169315</v>
      </c>
      <c r="CS53">
        <f>AJ53*(c_Stroke1+c_Stroke2+c_MI2+c_LIR_2)</f>
        <v>0.13585395510035983</v>
      </c>
      <c r="CT53">
        <f>AK53*(c_Stroke2+c_MI1+c_MI2+c_LIR_2)</f>
        <v>8.5469485975243495E-2</v>
      </c>
      <c r="CU53">
        <f>AL53*(c_Stroke2+c_MI2+c_LIR_2)</f>
        <v>-3.3583421467147823E-2</v>
      </c>
      <c r="CV53">
        <f>AM53*(c_HF1+c_LIR_2)</f>
        <v>2.3496079089507909</v>
      </c>
      <c r="CW53">
        <f>AN53*(c_HF2+c_LIR_2)</f>
        <v>13.925548684463067</v>
      </c>
      <c r="CX53">
        <f>AO53*(c_Stroke2+c_HF1+c_LIR_2)</f>
        <v>5.4352678818667712E-2</v>
      </c>
      <c r="CY53">
        <f>AP53*(c_Stroke1+c_Stroke2+c_HF2+c_LIR_2)</f>
        <v>0.38756185699682061</v>
      </c>
      <c r="CZ53">
        <f>AQ53*(c_Stroke2+c_HF2+c_LIR_2)</f>
        <v>-8.9048082562845632E-2</v>
      </c>
      <c r="DA53">
        <f>AR53*(c_DM+c_LIR_2)</f>
        <v>285.18229864356493</v>
      </c>
      <c r="DB53">
        <f>AS53*(c_Other+c_DM+c_LIR_2)</f>
        <v>130.25147182470576</v>
      </c>
      <c r="DC53">
        <f>AT53*(c_Stroke1+c_Stroke2+c_DM+c_LIR_2)</f>
        <v>17.404062260621796</v>
      </c>
      <c r="DD53">
        <f>AU53*(c_Stroke2+c_DM+c_LIR_2)</f>
        <v>3.2973551834173667</v>
      </c>
      <c r="DE53">
        <f>AV53*(c_MI1+c_MI2+c_DM+c_LIR_2)</f>
        <v>13.08847842525585</v>
      </c>
      <c r="DF53">
        <f>AW53*(c_MI2+c_DM+c_LIR_2)</f>
        <v>14.748744104898977</v>
      </c>
      <c r="DG53">
        <f>AX53*(c_Stroke1+c_Stroke2+c_MI2+c_DM+c_LIR_2)</f>
        <v>0.8887492839640786</v>
      </c>
      <c r="DH53">
        <f>AY53*(c_Stroke2+c_MI1+c_MI2+c_DM+c_LIR_2)</f>
        <v>0.4624687557908716</v>
      </c>
      <c r="DI53">
        <f>AZ53*(c_Stroke2+c_MI2+c_DM+c_LIR_2)</f>
        <v>-0.34606420647883629</v>
      </c>
      <c r="DJ53">
        <f>BA53*(c_HF1+c_DM+c_LIR_2)</f>
        <v>10.000242995171863</v>
      </c>
      <c r="DK53">
        <f>BB53*(c_HF2+c_DM+c_LIR_2)</f>
        <v>57.915088979124619</v>
      </c>
      <c r="DL53">
        <f>BC53*(c_Stroke2+c_HF1+c_DM+c_LIR_2)</f>
        <v>0.29652474093645503</v>
      </c>
      <c r="DM53">
        <f>BD53*(c_Stroke1+c_Stroke2+c_HF2+c_DM+c_LIR_2)</f>
        <v>2.3484619228624952</v>
      </c>
      <c r="DN53">
        <f>BE53*(c_Stroke2+c_HF2+c_DM+c_LIR_2)</f>
        <v>-0.83497207858734401</v>
      </c>
      <c r="DO53">
        <f t="shared" si="53"/>
        <v>0</v>
      </c>
      <c r="DP53">
        <f t="shared" si="54"/>
        <v>679.82212927769456</v>
      </c>
      <c r="DQ53">
        <f>DP53/(1+r_)^A53</f>
        <v>155.07224068598751</v>
      </c>
    </row>
    <row r="54" spans="1:121" x14ac:dyDescent="0.3">
      <c r="A54">
        <v>51</v>
      </c>
      <c r="B54">
        <v>96</v>
      </c>
      <c r="C54">
        <f t="shared" si="39"/>
        <v>36.1</v>
      </c>
      <c r="D54">
        <f t="shared" si="1"/>
        <v>125</v>
      </c>
      <c r="E54">
        <f t="shared" si="41"/>
        <v>5.5</v>
      </c>
      <c r="F54">
        <v>0.23330999999999999</v>
      </c>
      <c r="G54">
        <v>0.27490999999999999</v>
      </c>
      <c r="H54">
        <f t="shared" si="42"/>
        <v>0.24162999999999998</v>
      </c>
      <c r="I54">
        <f t="shared" si="43"/>
        <v>3.2286349135090861E-2</v>
      </c>
      <c r="J54">
        <f t="shared" si="21"/>
        <v>0.47782878165346288</v>
      </c>
      <c r="K54">
        <f t="shared" si="22"/>
        <v>0.59746890101161054</v>
      </c>
      <c r="L54">
        <f t="shared" si="23"/>
        <v>0.26478735629339034</v>
      </c>
      <c r="M54">
        <f t="shared" si="24"/>
        <v>0.35000126568480627</v>
      </c>
      <c r="N54">
        <f t="shared" si="25"/>
        <v>0.85212533618838671</v>
      </c>
      <c r="O54">
        <f t="shared" si="26"/>
        <v>0.93284643187263039</v>
      </c>
      <c r="P54">
        <f t="shared" si="27"/>
        <v>0.60944789815331757</v>
      </c>
      <c r="Q54">
        <f t="shared" si="28"/>
        <v>0.73512137012676648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3.9218177038806298E-2</v>
      </c>
      <c r="U54">
        <f t="shared" si="29"/>
        <v>0.7568501878434819</v>
      </c>
      <c r="V54">
        <f t="shared" si="30"/>
        <v>0.86198644595956608</v>
      </c>
      <c r="W54">
        <f t="shared" si="31"/>
        <v>0.48799590800437687</v>
      </c>
      <c r="X54">
        <f t="shared" si="32"/>
        <v>0.60840246875924864</v>
      </c>
      <c r="Y54">
        <f t="shared" si="33"/>
        <v>0.96132347651659789</v>
      </c>
      <c r="Z54">
        <f t="shared" si="34"/>
        <v>0.98990563820099842</v>
      </c>
      <c r="AA54">
        <f t="shared" si="35"/>
        <v>0.79807997015234489</v>
      </c>
      <c r="AB54">
        <f t="shared" si="36"/>
        <v>0.89571395630105299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6.0806744789349262E-2</v>
      </c>
      <c r="AD54">
        <f t="shared" si="44"/>
        <v>4.9194933289556557E-3</v>
      </c>
      <c r="AE54">
        <f t="shared" si="45"/>
        <v>8.9451035582284726E-4</v>
      </c>
      <c r="AF54">
        <f t="shared" si="46"/>
        <v>8.4920518325517361E-5</v>
      </c>
      <c r="AG54">
        <f t="shared" si="47"/>
        <v>3.21796440282299E-5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5.6396637746177625E-5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1.2447833069317323E-4</v>
      </c>
      <c r="AJ54">
        <f t="shared" si="48"/>
        <v>2.4784716870708975E-6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1.1707840318229921E-6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-1.3388378267863968E-6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4.3627711626319003E-5</v>
      </c>
      <c r="AN54">
        <f t="shared" si="49"/>
        <v>3.2401672523453778E-4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7.7099931088528214E-7</v>
      </c>
      <c r="AP54">
        <f>AM53*T53*p_Stroke*p_Stroke_rec*(1-I53) + AN53*T53*p_Stroke*p_Stroke_rec*(1-I53) + AO53*(p_recur_Stroke*p_Stroke_rec)*(1-I53) + AP53*(p_recur_Stroke*p_Stroke_rec)*(1-I53) + AQ53*(p_recur_Stroke*p_Stroke_rec)*(1-I53)</f>
        <v>5.1381047323688411E-6</v>
      </c>
      <c r="AQ54">
        <f>AO53*(1-p_recur_Stroke-H53*rr_Stroke*rr_HF)*(1-I53) + AP53*(1-p_recur_Stroke-H53*rr_Stroke*rr_HF)*(1-I53) + AQ53*(1-p_recur_Stroke-H53*rr_Stroke*rr_HF)*(1-I53)</f>
        <v>-2.270595080952081E-6</v>
      </c>
      <c r="AR54">
        <f>AR53*(1-AC53-H53*rr_DM) + AD53*(1-T53-H53)*I53</f>
        <v>8.5940600089802616E-3</v>
      </c>
      <c r="AS54">
        <f>AR53*AC53*p_Other + AD53*T53*p_Other*I53 + AE53*(1-T53*p_Stroke-T53*p_MI-H53*rr_Other)*I53 + AS53*(1-AC53*p_Stroke-AC53*p_MI-H53*rr_Other*rr_DM)</f>
        <v>2.1352058482207851E-3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2.5594447251398635E-4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3.4496148954827832E-5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1.7661035413231254E-4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3.5249186231676896E-4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1.2020485267335159E-5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4.9017458168668435E-6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-8.0774564781200204E-6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1.381431341650401E-4</v>
      </c>
      <c r="BB54">
        <f>AM53*(1-T53*p_Stroke - H53*rr_HF)*I53 + AN53*(1-T53*p_Stroke - H53*rr_HF)*I53 + BA53*(1-AC53*p_Stroke - H53*rr_HF*rr_DM) + BB53*(1-AC53*p_Stroke - H53*rr_HF*rr_DM)</f>
        <v>8.9508991520587567E-4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3.2279628055724959E-6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2.430250749958384E-5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-1.3959398325368884E-5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0.92290997022963728</v>
      </c>
      <c r="BG54">
        <f t="shared" si="50"/>
        <v>0.94199999999999984</v>
      </c>
      <c r="BH54">
        <f>(0.9442 - 0.0007*$B54 - dis_BMI*($C54-21.75))*AD54</f>
        <v>4.0814330429014148E-3</v>
      </c>
      <c r="BI54">
        <f>0.959*(0.9442 - 0.0007*$B54 - dis_BMI*($C54-21.75))*AE54</f>
        <v>7.1169887634622364E-4</v>
      </c>
      <c r="BJ54">
        <f>(0.943*(0.9442 - 0.0007*$B54 - dis_BMI*($C54-21.75)) - 0.19*0.5)*AF54</f>
        <v>5.8370562829957789E-5</v>
      </c>
      <c r="BK54">
        <f>(0.943*(0.9442 - 0.0007*$B54 - dis_BMI*($C54-21.75)))*AG54</f>
        <v>2.5175912965922146E-5</v>
      </c>
      <c r="BL54">
        <f>(0.955*(0.9442 - 0.0007*$B54 - dis_BMI*($C54-21.75)) - 0.15*0.5)*AH54</f>
        <v>4.045392720843247E-5</v>
      </c>
      <c r="BM54">
        <f>(0.955*(0.9442 - 0.0007*$B54 - dis_BMI*($C54-21.75)))*AI54</f>
        <v>9.8625547557880492E-5</v>
      </c>
      <c r="BN54">
        <f>(0.955*0.943*(0.9442 - 0.0007*$B54 - dis_BMI*($C54-21.75)) - 0.19*0.5)*AJ54</f>
        <v>1.6163334504443991E-6</v>
      </c>
      <c r="BO54">
        <f>(0.955*0.943*(0.9442 - 0.0007*$B54 - dis_BMI*($C54-21.75)) - 0.15*0.5)*AK54</f>
        <v>7.8694160822859946E-7</v>
      </c>
      <c r="BP54">
        <f>(0.955*0.943*(0.9442 - 0.0007*$B54 - dis_BMI*($C54-21.75)))*AL54</f>
        <v>-1.0003116773852544E-6</v>
      </c>
      <c r="BQ54">
        <f>(0.93*(0.9442 - 0.0007*$B54 - dis_BMI*($C54-21.75)))*AM54</f>
        <v>3.3661826915362209E-5</v>
      </c>
      <c r="BR54">
        <f>(0.93*(0.9442 - 0.0007*$B54 - dis_BMI*($C54-21.75)))*AN54</f>
        <v>2.5000153608670353E-4</v>
      </c>
      <c r="BS54">
        <f>(0.93*0.943*(0.9442 - 0.0007*$B54 - dis_BMI*($C54-21.75)))*AO54</f>
        <v>5.6097167275881844E-7</v>
      </c>
      <c r="BT54">
        <f>(0.93*0.943*(0.9442 - 0.0007*$B54 - dis_BMI*($C54-21.75))-0.19*0.5)*AP54</f>
        <v>3.2503155662977045E-6</v>
      </c>
      <c r="BU54">
        <f>(0.93*0.943*(0.9442 - 0.0007*$B54 - dis_BMI*($C54-21.75)))*AQ54</f>
        <v>-1.6520631117777418E-6</v>
      </c>
      <c r="BV54">
        <f>0.962*(0.9442 - 0.0007*$B54 - dis_BMI*($C54-21.75))*AR54</f>
        <v>6.8590781973367123E-3</v>
      </c>
      <c r="BW54">
        <f>0.962*0.959*(0.9442 - 0.0007*$B54 - dis_BMI*($C54-21.75))*AS54</f>
        <v>1.6342772294568749E-3</v>
      </c>
      <c r="BX54">
        <f>0.962*(0.943*(0.9442 - 0.0007*$B54 - dis_BMI*($C54-21.75)) - 0.19*0.5)*AT54</f>
        <v>1.6923963167583364E-4</v>
      </c>
      <c r="BY54">
        <f>0.962*(0.943*(0.9442 - 0.0007*$B54 - dis_BMI*($C54-21.75)))*AU54</f>
        <v>2.5962689498707657E-5</v>
      </c>
      <c r="BZ54">
        <f>0.962*(0.955*(0.9442 - 0.0007*$B54 - dis_BMI*($C54-21.75)) - 0.15*0.5)*AV54</f>
        <v>1.2187053259567008E-4</v>
      </c>
      <c r="CA54">
        <f>0.962*(0.955*(0.9442 - 0.0007*$B54 - dis_BMI*($C54-21.75)))*AW54</f>
        <v>2.6867041060951789E-4</v>
      </c>
      <c r="CB54">
        <f>0.962*(0.955*0.943*(0.9442 - 0.0007*$B54 - dis_BMI*($C54-21.75)) - 0.19*0.5)*AX54</f>
        <v>7.5412627279138513E-6</v>
      </c>
      <c r="CC54">
        <f>0.962*(0.955*0.943*(0.9442 - 0.0007*$B54 - dis_BMI*($C54-21.75)) - 0.15*0.5)*AY54</f>
        <v>3.1695059903553733E-6</v>
      </c>
      <c r="CD54">
        <f>0.962*(0.955*0.943*(0.9442 - 0.0007*$B54 - dis_BMI*($C54-21.75)))*AZ54</f>
        <v>-5.8057330541846379E-6</v>
      </c>
      <c r="CE54">
        <f>0.962*(0.93*(0.9442 - 0.0007*$B54 - dis_BMI*($C54-21.75)))*BA54</f>
        <v>1.0253676836861237E-4</v>
      </c>
      <c r="CF54">
        <f>0.962*(0.93*(0.9442 - 0.0007*$B54 - dis_BMI*($C54-21.75)))*BB54</f>
        <v>6.6438066473065757E-4</v>
      </c>
      <c r="CG54">
        <f>0.962*(0.93*0.943*(0.9442 - 0.0007*$B54 - dis_BMI*($C54-21.75)))*BC54</f>
        <v>2.2593865307720413E-6</v>
      </c>
      <c r="CH54">
        <f>0.962*(0.93*0.943*(0.9442 - 0.0007*$B54 - dis_BMI*($C54-21.75))-0.19*0.5)*BD54</f>
        <v>1.4789337953168548E-5</v>
      </c>
      <c r="CI54">
        <f>0.962*(0.93*0.943*(0.9442 - 0.0007*$B54 - dis_BMI*($C54-21.75)))*BE54</f>
        <v>-9.7707682689443267E-6</v>
      </c>
      <c r="CJ54">
        <f t="shared" si="51"/>
        <v>0</v>
      </c>
      <c r="CK54">
        <f t="shared" si="52"/>
        <v>1.5161182536472129E-2</v>
      </c>
      <c r="CL54">
        <f>CK54/(1+r_)^A54</f>
        <v>3.3576437617029828E-3</v>
      </c>
      <c r="CM54">
        <f>AD54*c_LIR_2</f>
        <v>57.853241548518511</v>
      </c>
      <c r="CN54">
        <f>AE54*(c_Other+c_LIR_2)</f>
        <v>23.292155155271121</v>
      </c>
      <c r="CO54">
        <f>AF54*(c_Stroke1+c_Stroke2+c_LIR_2)</f>
        <v>3.0211323599486057</v>
      </c>
      <c r="CP54">
        <f>AG54*(c_Stroke2 + c_LIR_2)</f>
        <v>0.58760029995547802</v>
      </c>
      <c r="CQ54">
        <f>AH54*(c_MI1+c_MI2 + c_LIR_2)</f>
        <v>2.3072428468338728</v>
      </c>
      <c r="CR54">
        <f>AI54*(c_MI2+c_LIR_2)</f>
        <v>1.8518641257223381</v>
      </c>
      <c r="CS54">
        <f>AJ54*(c_Stroke1+c_Stroke2+c_MI2+c_LIR_2)</f>
        <v>9.5899504987834241E-2</v>
      </c>
      <c r="CT54">
        <f>AK54*(c_Stroke2+c_MI1+c_MI2+c_LIR_2)</f>
        <v>5.5508041732759882E-2</v>
      </c>
      <c r="CU54">
        <f>AL54*(c_Stroke2+c_MI2+c_LIR_2)</f>
        <v>-2.8620336223212806E-2</v>
      </c>
      <c r="CV54">
        <f>AM54*(c_HF1+c_LIR_2)</f>
        <v>1.6923189339849141</v>
      </c>
      <c r="CW54">
        <f>AN54*(c_HF2+c_LIR_2)</f>
        <v>8.8667176860431258</v>
      </c>
      <c r="CX54">
        <f>AO54*(c_Stroke2+c_HF1+c_LIR_2)</f>
        <v>3.4918558789994426E-2</v>
      </c>
      <c r="CY54">
        <f>AP54*(c_Stroke1+c_Stroke2+c_HF2+c_LIR_2)</f>
        <v>0.26297333830736963</v>
      </c>
      <c r="CZ54">
        <f>AQ54*(c_Stroke2+c_HF2+c_LIR_2)</f>
        <v>-7.6893702416442222E-2</v>
      </c>
      <c r="DA54">
        <f>AR54*(c_DM+c_LIR_2)</f>
        <v>199.25328130820736</v>
      </c>
      <c r="DB54">
        <f>AS54*(c_Other+c_DM+c_LIR_2)</f>
        <v>79.993351897743494</v>
      </c>
      <c r="DC54">
        <f>AT54*(c_Stroke1+c_Stroke2+c_DM+c_LIR_2)</f>
        <v>12.029646152629873</v>
      </c>
      <c r="DD54">
        <f>AU54*(c_Stroke2+c_DM+c_LIR_2)</f>
        <v>1.0240181817240641</v>
      </c>
      <c r="DE54">
        <f>AV54*(c_MI1+c_MI2+c_DM+c_LIR_2)</f>
        <v>9.2430794938687093</v>
      </c>
      <c r="DF54">
        <f>AW54*(c_MI2+c_DM+c_LIR_2)</f>
        <v>9.2712409626556571</v>
      </c>
      <c r="DG54">
        <f>AX54*(c_Stroke1+c_Stroke2+c_MI2+c_DM+c_LIR_2)</f>
        <v>0.60244268062830353</v>
      </c>
      <c r="DH54">
        <f>AY54*(c_Stroke2+c_MI1+c_MI2+c_DM+c_LIR_2)</f>
        <v>0.28839911688117759</v>
      </c>
      <c r="DI54">
        <f>AZ54*(c_Stroke2+c_MI2+c_DM+c_LIR_2)</f>
        <v>-0.26495672739529291</v>
      </c>
      <c r="DJ54">
        <f>BA54*(c_HF1+c_DM+c_LIR_2)</f>
        <v>6.9368574820974889</v>
      </c>
      <c r="DK54">
        <f>BB54*(c_HF2+c_DM+c_LIR_2)</f>
        <v>34.720537810835914</v>
      </c>
      <c r="DL54">
        <f>BC54*(c_Stroke2+c_HF1+c_DM+c_LIR_2)</f>
        <v>0.18307391051804411</v>
      </c>
      <c r="DM54">
        <f>BD54*(c_Stroke1+c_Stroke2+c_HF2+c_DM+c_LIR_2)</f>
        <v>1.5214827845189458</v>
      </c>
      <c r="DN54">
        <f>BE54*(c_Stroke2+c_HF2+c_DM+c_LIR_2)</f>
        <v>-0.6322211501559567</v>
      </c>
      <c r="DO54">
        <f t="shared" si="53"/>
        <v>0</v>
      </c>
      <c r="DP54">
        <f t="shared" si="54"/>
        <v>453.98629226621409</v>
      </c>
      <c r="DQ54">
        <f>DP54/(1+r_)^A54</f>
        <v>100.54124989652803</v>
      </c>
    </row>
    <row r="55" spans="1:121" x14ac:dyDescent="0.3">
      <c r="A55">
        <v>52</v>
      </c>
      <c r="B55">
        <v>97</v>
      </c>
      <c r="C55">
        <f t="shared" si="39"/>
        <v>36.1</v>
      </c>
      <c r="D55">
        <f t="shared" si="1"/>
        <v>125</v>
      </c>
      <c r="E55">
        <f t="shared" si="41"/>
        <v>5.5</v>
      </c>
      <c r="F55">
        <v>0.25402999999999998</v>
      </c>
      <c r="G55">
        <v>0.29626000000000002</v>
      </c>
      <c r="H55">
        <f t="shared" si="42"/>
        <v>0.26247599999999999</v>
      </c>
      <c r="I55">
        <f t="shared" si="43"/>
        <v>3.2286349135090861E-2</v>
      </c>
      <c r="J55">
        <f t="shared" si="21"/>
        <v>0.4874424819974521</v>
      </c>
      <c r="K55">
        <f t="shared" si="22"/>
        <v>0.60780954276502475</v>
      </c>
      <c r="L55">
        <f t="shared" si="23"/>
        <v>0.27122664480623415</v>
      </c>
      <c r="M55">
        <f t="shared" si="24"/>
        <v>0.35796018646290984</v>
      </c>
      <c r="N55">
        <f t="shared" si="25"/>
        <v>0.86110760592586888</v>
      </c>
      <c r="O55">
        <f t="shared" si="26"/>
        <v>0.93853694160849388</v>
      </c>
      <c r="P55">
        <f t="shared" si="27"/>
        <v>0.62130284702897809</v>
      </c>
      <c r="Q55">
        <f t="shared" si="28"/>
        <v>0.74641046672226785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3.9999956842178115E-2</v>
      </c>
      <c r="U55">
        <f t="shared" si="29"/>
        <v>0.76648734098745785</v>
      </c>
      <c r="V55">
        <f t="shared" si="30"/>
        <v>0.8695860057898428</v>
      </c>
      <c r="W55">
        <f t="shared" si="31"/>
        <v>0.49770496313556156</v>
      </c>
      <c r="X55">
        <f t="shared" si="32"/>
        <v>0.61876260215715306</v>
      </c>
      <c r="Y55">
        <f t="shared" si="33"/>
        <v>0.96523546473959176</v>
      </c>
      <c r="Z55">
        <f t="shared" si="34"/>
        <v>0.99131755713448422</v>
      </c>
      <c r="AA55">
        <f t="shared" si="35"/>
        <v>0.80839824648270275</v>
      </c>
      <c r="AB55">
        <f t="shared" si="36"/>
        <v>0.90316364944106708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6.1702105644430259E-2</v>
      </c>
      <c r="AD55">
        <f t="shared" si="44"/>
        <v>3.4236379286115368E-3</v>
      </c>
      <c r="AE55">
        <f t="shared" si="45"/>
        <v>5.5563245048461263E-4</v>
      </c>
      <c r="AF55">
        <f t="shared" si="46"/>
        <v>5.9200611034316348E-5</v>
      </c>
      <c r="AG55">
        <f t="shared" si="47"/>
        <v>1.3039677758132791E-5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4.010695656655732E-5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7.9659282153873132E-5</v>
      </c>
      <c r="AJ55">
        <f t="shared" si="48"/>
        <v>1.6993758584462388E-6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7.4549312567596866E-7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-1.0487284021410807E-6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3.0488495618174441E-5</v>
      </c>
      <c r="AN55">
        <f t="shared" si="49"/>
        <v>1.9610762965004033E-4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4.8529552436662593E-7</v>
      </c>
      <c r="AP55">
        <f>AM54*T54*p_Stroke*p_Stroke_rec*(1-I54) + AN54*T54*p_Stroke*p_Stroke_rec*(1-I54) + AO54*(p_recur_Stroke*p_Stroke_rec)*(1-I54) + AP54*(p_recur_Stroke*p_Stroke_rec)*(1-I54) + AQ54*(p_recur_Stroke*p_Stroke_rec)*(1-I54)</f>
        <v>3.3411408370898269E-6</v>
      </c>
      <c r="AQ55">
        <f>AO54*(1-p_recur_Stroke-H54*rr_Stroke*rr_HF)*(1-I54) + AP54*(1-p_recur_Stroke-H54*rr_Stroke*rr_HF)*(1-I54) + AQ54*(1-p_recur_Stroke-H54*rr_Stroke*rr_HF)*(1-I54)</f>
        <v>-1.7480862345917464E-6</v>
      </c>
      <c r="AR55">
        <f>AR54*(1-AC54-H54*rr_DM) + AD54*(1-T54-H54)*I54</f>
        <v>5.7976377342968156E-3</v>
      </c>
      <c r="AS55">
        <f>AR54*AC54*p_Other + AD54*T54*p_Other*I54 + AE54*(1-T54*p_Stroke-T54*p_MI-H54*rr_Other)*I54 + AS54*(1-AC54*p_Stroke-AC54*p_MI-H54*rr_Other*rr_DM)</f>
        <v>1.2554286570663144E-3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1.72090108549868E-4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-4.724810066847434E-7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1.2048266974876921E-4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2.1052755214797091E-4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7.8409636005381404E-6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2.9854494513055978E-6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-5.7690615497899808E-6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9.2318912075519012E-5</v>
      </c>
      <c r="BB55">
        <f>AM54*(1-T54*p_Stroke - H54*rr_HF)*I54 + AN54*(1-T54*p_Stroke - H54*rr_HF)*I54 + BA54*(1-AC54*p_Stroke - H54*rr_HF*rr_DM) + BB54*(1-AC54*p_Stroke - H54*rr_HF*rr_DM)</f>
        <v>5.0278696659639003E-4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1.9406974991558022E-6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1.4904025731805448E-5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-9.5979700020091095E-6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0.92943554825320784</v>
      </c>
      <c r="BG55">
        <f t="shared" si="50"/>
        <v>0.94199999999999995</v>
      </c>
      <c r="BH55">
        <f>(0.9442 - 0.0007*$B55 - dis_BMI*($C55-21.75))*AD55</f>
        <v>2.8380075427328903E-3</v>
      </c>
      <c r="BI55">
        <f>0.959*(0.9442 - 0.0007*$B55 - dis_BMI*($C55-21.75))*AE55</f>
        <v>4.4170460325862162E-4</v>
      </c>
      <c r="BJ55">
        <f>(0.943*(0.9442 - 0.0007*$B55 - dis_BMI*($C55-21.75)) - 0.19*0.5)*AF55</f>
        <v>4.0652771586292352E-5</v>
      </c>
      <c r="BK55">
        <f>(0.943*(0.9442 - 0.0007*$B55 - dis_BMI*($C55-21.75)))*AG55</f>
        <v>1.019305266550011E-5</v>
      </c>
      <c r="BL55">
        <f>(0.955*(0.9442 - 0.0007*$B55 - dis_BMI*($C55-21.75)) - 0.15*0.5)*AH55</f>
        <v>2.874234861857514E-5</v>
      </c>
      <c r="BM55">
        <f>(0.955*(0.9442 - 0.0007*$B55 - dis_BMI*($C55-21.75)))*AI55</f>
        <v>6.3061671281015459E-5</v>
      </c>
      <c r="BN55">
        <f>(0.955*0.943*(0.9442 - 0.0007*$B55 - dis_BMI*($C55-21.75)) - 0.19*0.5)*AJ55</f>
        <v>1.1071754116827065E-6</v>
      </c>
      <c r="BO55">
        <f>(0.955*0.943*(0.9442 - 0.0007*$B55 - dis_BMI*($C55-21.75)) - 0.15*0.5)*AK55</f>
        <v>5.0061268936289241E-7</v>
      </c>
      <c r="BP55">
        <f>(0.955*0.943*(0.9442 - 0.0007*$B55 - dis_BMI*($C55-21.75)))*AL55</f>
        <v>-7.8289552484495604E-7</v>
      </c>
      <c r="BQ55">
        <f>(0.93*(0.9442 - 0.0007*$B55 - dis_BMI*($C55-21.75)))*AM55</f>
        <v>2.3504155980193081E-5</v>
      </c>
      <c r="BR55">
        <f>(0.93*(0.9442 - 0.0007*$B55 - dis_BMI*($C55-21.75)))*AN55</f>
        <v>1.5118306832603501E-4</v>
      </c>
      <c r="BS55">
        <f>(0.93*0.943*(0.9442 - 0.0007*$B55 - dis_BMI*($C55-21.75)))*AO55</f>
        <v>3.5279842990423891E-7</v>
      </c>
      <c r="BT55">
        <f>(0.93*0.943*(0.9442 - 0.0007*$B55 - dis_BMI*($C55-21.75))-0.19*0.5)*AP55</f>
        <v>2.1115224105402061E-6</v>
      </c>
      <c r="BU55">
        <f>(0.93*0.943*(0.9442 - 0.0007*$B55 - dis_BMI*($C55-21.75)))*AQ55</f>
        <v>-1.2708175697809784E-6</v>
      </c>
      <c r="BV55">
        <f>0.962*(0.9442 - 0.0007*$B55 - dis_BMI*($C55-21.75))*AR55</f>
        <v>4.6232977448137204E-3</v>
      </c>
      <c r="BW55">
        <f>0.962*0.959*(0.9442 - 0.0007*$B55 - dis_BMI*($C55-21.75))*AS55</f>
        <v>9.6008886626749025E-4</v>
      </c>
      <c r="BX55">
        <f>0.962*(0.943*(0.9442 - 0.0007*$B55 - dis_BMI*($C55-21.75)) - 0.19*0.5)*AT55</f>
        <v>1.1368284959054925E-4</v>
      </c>
      <c r="BY55">
        <f>0.962*(0.943*(0.9442 - 0.0007*$B55 - dis_BMI*($C55-21.75)))*AU55</f>
        <v>-3.5530133234176247E-7</v>
      </c>
      <c r="BZ55">
        <f>0.962*(0.955*(0.9442 - 0.0007*$B55 - dis_BMI*($C55-21.75)) - 0.15*0.5)*AV55</f>
        <v>8.3061964694917709E-5</v>
      </c>
      <c r="CA55">
        <f>0.962*(0.955*(0.9442 - 0.0007*$B55 - dis_BMI*($C55-21.75)))*AW55</f>
        <v>1.6032937544546301E-4</v>
      </c>
      <c r="CB55">
        <f>0.962*(0.955*0.943*(0.9442 - 0.0007*$B55 - dis_BMI*($C55-21.75)) - 0.19*0.5)*AX55</f>
        <v>4.9144112651800203E-6</v>
      </c>
      <c r="CC55">
        <f>0.962*(0.955*0.943*(0.9442 - 0.0007*$B55 - dis_BMI*($C55-21.75)) - 0.15*0.5)*AY55</f>
        <v>1.9286037414200682E-6</v>
      </c>
      <c r="CD55">
        <f>0.962*(0.955*0.943*(0.9442 - 0.0007*$B55 - dis_BMI*($C55-21.75)))*AZ55</f>
        <v>-4.1430581141498644E-6</v>
      </c>
      <c r="CE55">
        <f>0.962*(0.93*(0.9442 - 0.0007*$B55 - dis_BMI*($C55-21.75)))*BA55</f>
        <v>6.8465914728350847E-5</v>
      </c>
      <c r="CF55">
        <f>0.962*(0.93*(0.9442 - 0.0007*$B55 - dis_BMI*($C55-21.75)))*BB55</f>
        <v>3.7287884798030527E-4</v>
      </c>
      <c r="CG55">
        <f>0.962*(0.93*0.943*(0.9442 - 0.0007*$B55 - dis_BMI*($C55-21.75)))*BC55</f>
        <v>1.3572294537792749E-6</v>
      </c>
      <c r="CH55">
        <f>0.962*(0.93*0.943*(0.9442 - 0.0007*$B55 - dis_BMI*($C55-21.75))-0.19*0.5)*BD55</f>
        <v>9.0610718946601862E-6</v>
      </c>
      <c r="CI55">
        <f>0.962*(0.93*0.943*(0.9442 - 0.0007*$B55 - dis_BMI*($C55-21.75)))*BE55</f>
        <v>-6.7123534651243914E-6</v>
      </c>
      <c r="CJ55">
        <f t="shared" si="51"/>
        <v>0</v>
      </c>
      <c r="CK55">
        <f t="shared" si="52"/>
        <v>9.9869237772602076E-3</v>
      </c>
      <c r="CL55">
        <f>CK55/(1+r_)^A55</f>
        <v>2.1473164472746585E-3</v>
      </c>
      <c r="CM55">
        <f>AD55*c_LIR_2</f>
        <v>40.261982040471672</v>
      </c>
      <c r="CN55">
        <f>AE55*(c_Other+c_LIR_2)</f>
        <v>14.468113378168828</v>
      </c>
      <c r="CO55">
        <f>AF55*(c_Stroke1+c_Stroke2+c_LIR_2)</f>
        <v>2.1061209381568382</v>
      </c>
      <c r="CP55">
        <f>AG55*(c_Stroke2 + c_LIR_2)</f>
        <v>0.23810451586350476</v>
      </c>
      <c r="CQ55">
        <f>AH55*(c_MI1+c_MI2 + c_LIR_2)</f>
        <v>1.6408157000944266</v>
      </c>
      <c r="CR55">
        <f>AI55*(c_MI2+c_LIR_2)</f>
        <v>1.1850911406031706</v>
      </c>
      <c r="CS55">
        <f>AJ55*(c_Stroke1+c_Stroke2+c_MI2+c_LIR_2)</f>
        <v>6.5753950090860325E-2</v>
      </c>
      <c r="CT55">
        <f>AK55*(c_Stroke2+c_MI1+c_MI2+c_LIR_2)</f>
        <v>3.5344574581423351E-2</v>
      </c>
      <c r="CU55">
        <f>AL55*(c_Stroke2+c_MI2+c_LIR_2)</f>
        <v>-2.2418667052569882E-2</v>
      </c>
      <c r="CV55">
        <f>AM55*(c_HF1+c_LIR_2)</f>
        <v>1.1826487450289866</v>
      </c>
      <c r="CW55">
        <f>AN55*(c_HF2+c_LIR_2)</f>
        <v>5.3664852853733533</v>
      </c>
      <c r="CX55">
        <f>AO55*(c_Stroke2+c_HF1+c_LIR_2)</f>
        <v>2.1979034298564487E-2</v>
      </c>
      <c r="CY55">
        <f>AP55*(c_Stroke1+c_Stroke2+c_HF2+c_LIR_2)</f>
        <v>0.17100292918309443</v>
      </c>
      <c r="CZ55">
        <f>AQ55*(c_Stroke2+c_HF2+c_LIR_2)</f>
        <v>-5.9198940334449494E-2</v>
      </c>
      <c r="DA55">
        <f>AR55*(c_DM+c_LIR_2)</f>
        <v>134.41823086967167</v>
      </c>
      <c r="DB55">
        <f>AS55*(c_Other+c_DM+c_LIR_2)</f>
        <v>47.033379208332406</v>
      </c>
      <c r="DC55">
        <f>AT55*(c_Stroke1+c_Stroke2+c_DM+c_LIR_2)</f>
        <v>8.0884071919523457</v>
      </c>
      <c r="DD55">
        <f>AU55*(c_Stroke2+c_DM+c_LIR_2)</f>
        <v>-1.4025598683436608E-2</v>
      </c>
      <c r="DE55">
        <f>AV55*(c_MI1+c_MI2+c_DM+c_LIR_2)</f>
        <v>6.3055810039715849</v>
      </c>
      <c r="DF55">
        <f>AW55*(c_MI2+c_DM+c_LIR_2)</f>
        <v>5.5372956765959307</v>
      </c>
      <c r="DG55">
        <f>AX55*(c_Stroke1+c_Stroke2+c_MI2+c_DM+c_LIR_2)</f>
        <v>0.39297341373177053</v>
      </c>
      <c r="DH55">
        <f>AY55*(c_Stroke2+c_MI1+c_MI2+c_DM+c_LIR_2)</f>
        <v>0.17565190391701616</v>
      </c>
      <c r="DI55">
        <f>AZ55*(c_Stroke2+c_MI2+c_DM+c_LIR_2)</f>
        <v>-0.18923675695621095</v>
      </c>
      <c r="DJ55">
        <f>BA55*(c_HF1+c_DM+c_LIR_2)</f>
        <v>4.6357941698721872</v>
      </c>
      <c r="DK55">
        <f>BB55*(c_HF2+c_DM+c_LIR_2)</f>
        <v>19.50310643427397</v>
      </c>
      <c r="DL55">
        <f>BC55*(c_Stroke2+c_HF1+c_DM+c_LIR_2)</f>
        <v>0.11006665866462133</v>
      </c>
      <c r="DM55">
        <f>BD55*(c_Stroke1+c_Stroke2+c_HF2+c_DM+c_LIR_2)</f>
        <v>0.93308143496541185</v>
      </c>
      <c r="DN55">
        <f>BE55*(c_Stroke2+c_HF2+c_DM+c_LIR_2)</f>
        <v>-0.43469206139099259</v>
      </c>
      <c r="DO55">
        <f t="shared" si="53"/>
        <v>0</v>
      </c>
      <c r="DP55">
        <f t="shared" si="54"/>
        <v>293.157438173446</v>
      </c>
      <c r="DQ55">
        <f>DP55/(1+r_)^A55</f>
        <v>63.032601697040356</v>
      </c>
    </row>
    <row r="56" spans="1:121" x14ac:dyDescent="0.3">
      <c r="A56">
        <v>53</v>
      </c>
      <c r="B56">
        <v>98</v>
      </c>
      <c r="C56">
        <f t="shared" si="39"/>
        <v>36.1</v>
      </c>
      <c r="D56">
        <f t="shared" si="1"/>
        <v>125</v>
      </c>
      <c r="E56">
        <f t="shared" si="41"/>
        <v>5.5</v>
      </c>
      <c r="F56">
        <v>0.27543000000000001</v>
      </c>
      <c r="G56">
        <v>0.31792999999999999</v>
      </c>
      <c r="H56">
        <f t="shared" si="42"/>
        <v>0.28393000000000002</v>
      </c>
      <c r="I56">
        <f t="shared" si="43"/>
        <v>3.2286349135090861E-2</v>
      </c>
      <c r="J56">
        <f t="shared" si="21"/>
        <v>0.49704652180084818</v>
      </c>
      <c r="K56">
        <f t="shared" si="22"/>
        <v>0.61806252147476082</v>
      </c>
      <c r="L56">
        <f t="shared" si="23"/>
        <v>0.2777232871601063</v>
      </c>
      <c r="M56">
        <f t="shared" si="24"/>
        <v>0.3659615046346818</v>
      </c>
      <c r="N56">
        <f t="shared" si="25"/>
        <v>0.86972418192511036</v>
      </c>
      <c r="O56">
        <f t="shared" si="26"/>
        <v>0.94385483432240114</v>
      </c>
      <c r="P56">
        <f t="shared" si="27"/>
        <v>0.63304713121318312</v>
      </c>
      <c r="Q56">
        <f t="shared" si="28"/>
        <v>0.75745118385530541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4.0780519182150934E-2</v>
      </c>
      <c r="U56">
        <f t="shared" si="29"/>
        <v>0.77590482336751232</v>
      </c>
      <c r="V56">
        <f t="shared" si="30"/>
        <v>0.87689198662224099</v>
      </c>
      <c r="W56">
        <f t="shared" si="31"/>
        <v>0.50739876061788469</v>
      </c>
      <c r="X56">
        <f t="shared" si="32"/>
        <v>0.62902674871355557</v>
      </c>
      <c r="Y56">
        <f t="shared" si="33"/>
        <v>0.96882506595090134</v>
      </c>
      <c r="Z56">
        <f t="shared" si="34"/>
        <v>0.99255672750711132</v>
      </c>
      <c r="AA56">
        <f t="shared" si="35"/>
        <v>0.81839914592088481</v>
      </c>
      <c r="AB56">
        <f t="shared" si="36"/>
        <v>0.91022781796569507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6.2584896722105043E-2</v>
      </c>
      <c r="AD56">
        <f t="shared" si="44"/>
        <v>2.3109677159115802E-3</v>
      </c>
      <c r="AE56">
        <f t="shared" si="45"/>
        <v>3.3275287015999019E-4</v>
      </c>
      <c r="AF56">
        <f t="shared" si="46"/>
        <v>4.0310921166243231E-5</v>
      </c>
      <c r="AG56">
        <f t="shared" si="47"/>
        <v>3.4709369632871721E-6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2.7693765401466705E-5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4.8908158065106468E-5</v>
      </c>
      <c r="AJ56">
        <f t="shared" si="48"/>
        <v>1.1301291660446781E-6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4.6637745206655243E-7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-7.7300983185276506E-7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2.0655280812611948E-5</v>
      </c>
      <c r="AN56">
        <f t="shared" si="49"/>
        <v>1.125112682974618E-4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2.997863052556589E-7</v>
      </c>
      <c r="AP56">
        <f>AM55*T55*p_Stroke*p_Stroke_rec*(1-I55) + AN55*T55*p_Stroke*p_Stroke_rec*(1-I55) + AO55*(p_recur_Stroke*p_Stroke_rec)*(1-I55) + AP55*(p_recur_Stroke*p_Stroke_rec)*(1-I55) + AQ55*(p_recur_Stroke*p_Stroke_rec)*(1-I55)</f>
        <v>2.0780270585783557E-6</v>
      </c>
      <c r="AQ56">
        <f>AO55*(1-p_recur_Stroke-H55*rr_Stroke*rr_HF)*(1-I55) + AP55*(1-p_recur_Stroke-H55*rr_Stroke*rr_HF)*(1-I55) + AQ55*(1-p_recur_Stroke-H55*rr_Stroke*rr_HF)*(1-I55)</f>
        <v>-1.2373614367667936E-6</v>
      </c>
      <c r="AR56">
        <f>AR55*(1-AC55-H55*rr_DM) + AD55*(1-T55-H55)*I55</f>
        <v>3.7670114564497229E-3</v>
      </c>
      <c r="AS56">
        <f>AR55*AC55*p_Other + AD55*T55*p_Other*I55 + AE55*(1-T55*p_Stroke-T55*p_MI-H55*rr_Other)*I55 + AS55*(1-AC55*p_Stroke-AC55*p_MI-H55*rr_Other*rr_DM)</f>
        <v>7.0842088950815764E-4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1.1237750341794656E-4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-1.3331609719815205E-5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7.9339641976144384E-5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1.1907074115577443E-4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4.9177609681035943E-6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1.7788072346807381E-6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-3.9040513521059394E-6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5.9402162995657049E-5</v>
      </c>
      <c r="BB56">
        <f>AM55*(1-T55*p_Stroke - H55*rr_HF)*I55 + AN55*(1-T55*p_Stroke - H55*rr_HF)*I55 + BA55*(1-AC55*p_Stroke - H55*rr_HF*rr_DM) + BB55*(1-AC55*p_Stroke - H55*rr_HF*rr_DM)</f>
        <v>2.634855014710345E-4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1.139360386694546E-6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8.639172761168147E-6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-6.1249603423580494E-6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0.93399854275759797</v>
      </c>
      <c r="BG56">
        <f t="shared" si="50"/>
        <v>0.94199999999999984</v>
      </c>
      <c r="BH56">
        <f>(0.9442 - 0.0007*$B56 - dis_BMI*($C56-21.75))*AD56</f>
        <v>1.9140474558651866E-3</v>
      </c>
      <c r="BI56">
        <f>0.959*(0.9442 - 0.0007*$B56 - dis_BMI*($C56-21.75))*AE56</f>
        <v>2.6430126400688898E-4</v>
      </c>
      <c r="BJ56">
        <f>(0.943*(0.9442 - 0.0007*$B56 - dis_BMI*($C56-21.75)) - 0.19*0.5)*AF56</f>
        <v>2.7654704213165913E-5</v>
      </c>
      <c r="BK56">
        <f>(0.943*(0.9442 - 0.0007*$B56 - dis_BMI*($C56-21.75)))*AG56</f>
        <v>2.7109233726037899E-6</v>
      </c>
      <c r="BL56">
        <f>(0.955*(0.9442 - 0.0007*$B56 - dis_BMI*($C56-21.75)) - 0.15*0.5)*AH56</f>
        <v>1.9828015297205587E-5</v>
      </c>
      <c r="BM56">
        <f>(0.955*(0.9442 - 0.0007*$B56 - dis_BMI*($C56-21.75)))*AI56</f>
        <v>3.8685080194685575E-5</v>
      </c>
      <c r="BN56">
        <f>(0.955*0.943*(0.9442 - 0.0007*$B56 - dis_BMI*($C56-21.75)) - 0.19*0.5)*AJ56</f>
        <v>7.3558803070795139E-7</v>
      </c>
      <c r="BO56">
        <f>(0.955*0.943*(0.9442 - 0.0007*$B56 - dis_BMI*($C56-21.75)) - 0.15*0.5)*AK56</f>
        <v>3.1288724986110869E-7</v>
      </c>
      <c r="BP56">
        <f>(0.955*0.943*(0.9442 - 0.0007*$B56 - dis_BMI*($C56-21.75)))*AL56</f>
        <v>-5.7657911182802738E-7</v>
      </c>
      <c r="BQ56">
        <f>(0.93*(0.9442 - 0.0007*$B56 - dis_BMI*($C56-21.75)))*AM56</f>
        <v>1.5910098742676858E-5</v>
      </c>
      <c r="BR56">
        <f>(0.93*(0.9442 - 0.0007*$B56 - dis_BMI*($C56-21.75)))*AN56</f>
        <v>8.6663812732259063E-5</v>
      </c>
      <c r="BS56">
        <f>(0.93*0.943*(0.9442 - 0.0007*$B56 - dis_BMI*($C56-21.75)))*AO56</f>
        <v>2.1775355489862305E-7</v>
      </c>
      <c r="BT56">
        <f>(0.93*0.943*(0.9442 - 0.0007*$B56 - dis_BMI*($C56-21.75))-0.19*0.5)*AP56</f>
        <v>1.311988530312811E-6</v>
      </c>
      <c r="BU56">
        <f>(0.93*0.943*(0.9442 - 0.0007*$B56 - dis_BMI*($C56-21.75)))*AQ56</f>
        <v>-8.987730487577068E-7</v>
      </c>
      <c r="BV56">
        <f>0.962*(0.9442 - 0.0007*$B56 - dis_BMI*($C56-21.75))*AR56</f>
        <v>3.0014480844048072E-3</v>
      </c>
      <c r="BW56">
        <f>0.962*0.959*(0.9442 - 0.0007*$B56 - dis_BMI*($C56-21.75))*AS56</f>
        <v>5.4130727128076455E-4</v>
      </c>
      <c r="BX56">
        <f>0.962*(0.943*(0.9442 - 0.0007*$B56 - dis_BMI*($C56-21.75)) - 0.19*0.5)*AT56</f>
        <v>7.4165298119902929E-5</v>
      </c>
      <c r="BY56">
        <f>0.962*(0.943*(0.9442 - 0.0007*$B56 - dis_BMI*($C56-21.75)))*AU56</f>
        <v>-1.0016781002085563E-5</v>
      </c>
      <c r="BZ56">
        <f>0.962*(0.955*(0.9442 - 0.0007*$B56 - dis_BMI*($C56-21.75)) - 0.15*0.5)*AV56</f>
        <v>5.4646524324788948E-5</v>
      </c>
      <c r="CA56">
        <f>0.962*(0.955*(0.9442 - 0.0007*$B56 - dis_BMI*($C56-21.75)))*AW56</f>
        <v>9.0602946855528185E-5</v>
      </c>
      <c r="CB56">
        <f>0.962*(0.955*0.943*(0.9442 - 0.0007*$B56 - dis_BMI*($C56-21.75)) - 0.19*0.5)*AX56</f>
        <v>3.0792791289251836E-6</v>
      </c>
      <c r="CC56">
        <f>0.962*(0.955*0.943*(0.9442 - 0.0007*$B56 - dis_BMI*($C56-21.75)) - 0.15*0.5)*AY56</f>
        <v>1.1480327562568101E-6</v>
      </c>
      <c r="CD56">
        <f>0.962*(0.955*0.943*(0.9442 - 0.0007*$B56 - dis_BMI*($C56-21.75)))*AZ56</f>
        <v>-2.8013313445382309E-6</v>
      </c>
      <c r="CE56">
        <f>0.962*(0.93*(0.9442 - 0.0007*$B56 - dis_BMI*($C56-21.75)))*BA56</f>
        <v>4.4016864473725778E-5</v>
      </c>
      <c r="CF56">
        <f>0.962*(0.93*(0.9442 - 0.0007*$B56 - dis_BMI*($C56-21.75)))*BB56</f>
        <v>1.9524214311674351E-4</v>
      </c>
      <c r="CG56">
        <f>0.962*(0.93*0.943*(0.9442 - 0.0007*$B56 - dis_BMI*($C56-21.75)))*BC56</f>
        <v>7.9614038032310171E-7</v>
      </c>
      <c r="CH56">
        <f>0.962*(0.93*0.943*(0.9442 - 0.0007*$B56 - dis_BMI*($C56-21.75))-0.19*0.5)*BD56</f>
        <v>5.2471813094144407E-6</v>
      </c>
      <c r="CI56">
        <f>0.962*(0.93*0.943*(0.9442 - 0.0007*$B56 - dis_BMI*($C56-21.75)))*BE56</f>
        <v>-4.2798822158244475E-6</v>
      </c>
      <c r="CJ56">
        <f t="shared" si="51"/>
        <v>0</v>
      </c>
      <c r="CK56">
        <f t="shared" si="52"/>
        <v>6.3655059912185999E-3</v>
      </c>
      <c r="CL56">
        <f>CK56/(1+r_)^A56</f>
        <v>1.3288012312691628E-3</v>
      </c>
      <c r="CM56">
        <f>AD56*c_LIR_2</f>
        <v>27.176980339120181</v>
      </c>
      <c r="CN56">
        <f>AE56*(c_Other+c_LIR_2)</f>
        <v>8.6645519860959848</v>
      </c>
      <c r="CO56">
        <f>AF56*(c_Stroke1+c_Stroke2+c_LIR_2)</f>
        <v>1.4341013314102693</v>
      </c>
      <c r="CP56">
        <f>AG56*(c_Stroke2 + c_LIR_2)</f>
        <v>6.3379308949623764E-2</v>
      </c>
      <c r="CQ56">
        <f>AH56*(c_MI1+c_MI2 + c_LIR_2)</f>
        <v>1.1329796363394045</v>
      </c>
      <c r="CR56">
        <f>AI56*(c_MI2+c_LIR_2)</f>
        <v>0.72760666753458891</v>
      </c>
      <c r="CS56">
        <f>AJ56*(c_Stroke1+c_Stroke2+c_MI2+c_LIR_2)</f>
        <v>4.372808782176673E-2</v>
      </c>
      <c r="CT56">
        <f>AK56*(c_Stroke2+c_MI1+c_MI2+c_LIR_2)</f>
        <v>2.2111421379927318E-2</v>
      </c>
      <c r="CU56">
        <f>AL56*(c_Stroke2+c_MI2+c_LIR_2)</f>
        <v>-1.6524631175516558E-2</v>
      </c>
      <c r="CV56">
        <f>AM56*(c_HF1+c_LIR_2)</f>
        <v>0.8012183427212175</v>
      </c>
      <c r="CW56">
        <f>AN56*(c_HF2+c_LIR_2)</f>
        <v>3.0788708569600423</v>
      </c>
      <c r="CX56">
        <f>AO56*(c_Stroke2+c_HF1+c_LIR_2)</f>
        <v>1.3577321765028792E-2</v>
      </c>
      <c r="CY56">
        <f>AP56*(c_Stroke1+c_Stroke2+c_HF2+c_LIR_2)</f>
        <v>0.10635550288509882</v>
      </c>
      <c r="CZ56">
        <f>AQ56*(c_Stroke2+c_HF2+c_LIR_2)</f>
        <v>-4.1903245056107465E-2</v>
      </c>
      <c r="DA56">
        <f>AR56*(c_DM+c_LIR_2)</f>
        <v>87.338160617786826</v>
      </c>
      <c r="DB56">
        <f>AS56*(c_Other+c_DM+c_LIR_2)</f>
        <v>26.540280204533619</v>
      </c>
      <c r="DC56">
        <f>AT56*(c_Stroke1+c_Stroke2+c_DM+c_LIR_2)</f>
        <v>5.2818550381469063</v>
      </c>
      <c r="DD56">
        <f>AU56*(c_Stroke2+c_DM+c_LIR_2)</f>
        <v>-0.39574883453271437</v>
      </c>
      <c r="DE56">
        <f>AV56*(c_MI1+c_MI2+c_DM+c_LIR_2)</f>
        <v>4.1523195024634925</v>
      </c>
      <c r="DF56">
        <f>AW56*(c_MI2+c_DM+c_LIR_2)</f>
        <v>3.1317986338791792</v>
      </c>
      <c r="DG56">
        <f>AX56*(c_Stroke1+c_Stroke2+c_MI2+c_DM+c_LIR_2)</f>
        <v>0.24646834419941593</v>
      </c>
      <c r="DH56">
        <f>AY56*(c_Stroke2+c_MI1+c_MI2+c_DM+c_LIR_2)</f>
        <v>0.10465790245967591</v>
      </c>
      <c r="DI56">
        <f>AZ56*(c_Stroke2+c_MI2+c_DM+c_LIR_2)</f>
        <v>-0.12806069245177903</v>
      </c>
      <c r="DJ56">
        <f>BA56*(c_HF1+c_DM+c_LIR_2)</f>
        <v>2.9828796148269188</v>
      </c>
      <c r="DK56">
        <f>BB56*(c_HF2+c_DM+c_LIR_2)</f>
        <v>10.220602602061428</v>
      </c>
      <c r="DL56">
        <f>BC56*(c_Stroke2+c_HF1+c_DM+c_LIR_2)</f>
        <v>6.4618824331381178E-2</v>
      </c>
      <c r="DM56">
        <f>BD56*(c_Stroke1+c_Stroke2+c_HF2+c_DM+c_LIR_2)</f>
        <v>0.54086404988569303</v>
      </c>
      <c r="DN56">
        <f>BE56*(c_Stroke2+c_HF2+c_DM+c_LIR_2)</f>
        <v>-0.27739945390539605</v>
      </c>
      <c r="DO56">
        <f t="shared" si="53"/>
        <v>0</v>
      </c>
      <c r="DP56">
        <f t="shared" si="54"/>
        <v>183.01032928043617</v>
      </c>
      <c r="DQ56">
        <f>DP56/(1+r_)^A56</f>
        <v>38.203459586448957</v>
      </c>
    </row>
    <row r="57" spans="1:121" x14ac:dyDescent="0.3">
      <c r="A57">
        <v>54</v>
      </c>
      <c r="B57">
        <v>99</v>
      </c>
      <c r="C57">
        <f t="shared" si="39"/>
        <v>36.1</v>
      </c>
      <c r="D57">
        <f t="shared" si="1"/>
        <v>125</v>
      </c>
      <c r="E57">
        <f t="shared" si="41"/>
        <v>5.5</v>
      </c>
      <c r="F57">
        <v>0.29732999999999998</v>
      </c>
      <c r="G57">
        <v>0.33972999999999998</v>
      </c>
      <c r="H57">
        <f t="shared" si="42"/>
        <v>0.30580999999999997</v>
      </c>
      <c r="I57">
        <f t="shared" si="43"/>
        <v>3.2286349135090861E-2</v>
      </c>
      <c r="J57">
        <f t="shared" si="21"/>
        <v>0.50663597162442042</v>
      </c>
      <c r="K57">
        <f t="shared" si="22"/>
        <v>0.62822198838461074</v>
      </c>
      <c r="L57">
        <f t="shared" si="23"/>
        <v>0.28427557186325436</v>
      </c>
      <c r="M57">
        <f t="shared" si="24"/>
        <v>0.37400220972690723</v>
      </c>
      <c r="N57">
        <f t="shared" si="25"/>
        <v>0.8779766553700713</v>
      </c>
      <c r="O57">
        <f t="shared" si="26"/>
        <v>0.94881367226381896</v>
      </c>
      <c r="P57">
        <f t="shared" si="27"/>
        <v>0.64467125972390737</v>
      </c>
      <c r="Q57">
        <f t="shared" si="28"/>
        <v>0.76823617851202541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4.1559542218696524E-2</v>
      </c>
      <c r="U57">
        <f t="shared" si="29"/>
        <v>0.78509929318334937</v>
      </c>
      <c r="V57">
        <f t="shared" si="30"/>
        <v>0.88390731617790608</v>
      </c>
      <c r="W57">
        <f t="shared" si="31"/>
        <v>0.51707224421448261</v>
      </c>
      <c r="X57">
        <f t="shared" si="32"/>
        <v>0.63918906009913556</v>
      </c>
      <c r="Y57">
        <f t="shared" si="33"/>
        <v>0.97211034983388356</v>
      </c>
      <c r="Z57">
        <f t="shared" si="34"/>
        <v>0.99364042234526506</v>
      </c>
      <c r="AA57">
        <f t="shared" si="35"/>
        <v>0.82807902552740742</v>
      </c>
      <c r="AB57">
        <f t="shared" si="36"/>
        <v>0.91691394168943463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6.3454844777000738E-2</v>
      </c>
      <c r="AD57">
        <f t="shared" si="44"/>
        <v>1.5101870105180841E-3</v>
      </c>
      <c r="AE57">
        <f t="shared" si="45"/>
        <v>1.9254657221363613E-4</v>
      </c>
      <c r="AF57">
        <f t="shared" si="46"/>
        <v>2.6753991648711472E-5</v>
      </c>
      <c r="AG57">
        <f t="shared" si="47"/>
        <v>-7.4875865237933722E-7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1.8546696703005273E-5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2.8755354601380179E-5</v>
      </c>
      <c r="AJ57">
        <f t="shared" si="48"/>
        <v>7.2764724994590732E-7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2.8633705249594849E-7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-5.4050153009962833E-7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1.355378699053161E-5</v>
      </c>
      <c r="AN57">
        <f t="shared" si="49"/>
        <v>6.1065973589671663E-5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1.814495517795269E-7</v>
      </c>
      <c r="AP57">
        <f>AM56*T56*p_Stroke*p_Stroke_rec*(1-I56) + AN56*T56*p_Stroke*p_Stroke_rec*(1-I56) + AO56*(p_recur_Stroke*p_Stroke_rec)*(1-I56) + AP56*(p_recur_Stroke*p_Stroke_rec)*(1-I56) + AQ56*(p_recur_Stroke*p_Stroke_rec)*(1-I56)</f>
        <v>1.2338552912405301E-6</v>
      </c>
      <c r="AQ57">
        <f>AO56*(1-p_recur_Stroke-H56*rr_Stroke*rr_HF)*(1-I56) + AP56*(1-p_recur_Stroke-H56*rr_Stroke*rr_HF)*(1-I56) + AQ56*(1-p_recur_Stroke-H56*rr_Stroke*rr_HF)*(1-I56)</f>
        <v>-8.1385675536702381E-7</v>
      </c>
      <c r="AR57">
        <f>AR56*(1-AC56-H56*rr_DM) + AD56*(1-T56-H56)*I56</f>
        <v>2.3516359147892521E-3</v>
      </c>
      <c r="AS57">
        <f>AR56*AC56*p_Other + AD56*T56*p_Other*I56 + AE56*(1-T56*p_Stroke-T56*p_MI-H56*rr_Other)*I56 + AS56*(1-AC56*p_Stroke-AC56*p_MI-H56*rr_Other*rr_DM)</f>
        <v>3.8506528911454006E-4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7.1095264522359186E-5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-1.54538268294111E-5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5.038137484665528E-5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6.3578622559300397E-5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2.9601123355526405E-6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1.0336212185159424E-6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-2.5002161975853836E-6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3.6779595045490429E-5</v>
      </c>
      <c r="BB57">
        <f>AM56*(1-T56*p_Stroke - H56*rr_HF)*I56 + AN56*(1-T56*p_Stroke - H56*rr_HF)*I56 + BA56*(1-AC56*p_Stroke - H56*rr_HF*rr_DM) + BB56*(1-AC56*p_Stroke - H56*rr_HF*rr_DM)</f>
        <v>1.2839623016908572E-4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6.5039107388583115E-7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4.7205099768833331E-6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-3.607840761132517E-6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0.93707352939966382</v>
      </c>
      <c r="BG57">
        <f t="shared" si="50"/>
        <v>0.94199999999999984</v>
      </c>
      <c r="BH57">
        <f>(0.9442 - 0.0007*$B57 - dis_BMI*($C57-21.75))*AD57</f>
        <v>1.2497477096191879E-3</v>
      </c>
      <c r="BI57">
        <f>0.959*(0.9442 - 0.0007*$B57 - dis_BMI*($C57-21.75))*AE57</f>
        <v>1.5280797402532963E-4</v>
      </c>
      <c r="BJ57">
        <f>(0.943*(0.9442 - 0.0007*$B57 - dis_BMI*($C57-21.75)) - 0.19*0.5)*AF57</f>
        <v>1.8336515287226166E-5</v>
      </c>
      <c r="BK57">
        <f>(0.943*(0.9442 - 0.0007*$B57 - dis_BMI*($C57-21.75)))*AG57</f>
        <v>-5.8431248468121283E-7</v>
      </c>
      <c r="BL57">
        <f>(0.955*(0.9442 - 0.0007*$B57 - dis_BMI*($C57-21.75)) - 0.15*0.5)*AH57</f>
        <v>1.3266553694824121E-5</v>
      </c>
      <c r="BM57">
        <f>(0.955*(0.9442 - 0.0007*$B57 - dis_BMI*($C57-21.75)))*AI57</f>
        <v>2.2725514177037197E-5</v>
      </c>
      <c r="BN57">
        <f>(0.955*0.943*(0.9442 - 0.0007*$B57 - dis_BMI*($C57-21.75)) - 0.19*0.5)*AJ57</f>
        <v>4.73158491242529E-7</v>
      </c>
      <c r="BO57">
        <f>(0.955*0.943*(0.9442 - 0.0007*$B57 - dis_BMI*($C57-21.75)) - 0.15*0.5)*AK57</f>
        <v>1.9191971814958848E-7</v>
      </c>
      <c r="BP57">
        <f>(0.955*0.943*(0.9442 - 0.0007*$B57 - dis_BMI*($C57-21.75)))*AL57</f>
        <v>-4.0281312333004754E-7</v>
      </c>
      <c r="BQ57">
        <f>(0.93*(0.9442 - 0.0007*$B57 - dis_BMI*($C57-21.75)))*AM57</f>
        <v>1.0431222849223918E-5</v>
      </c>
      <c r="BR57">
        <f>(0.93*(0.9442 - 0.0007*$B57 - dis_BMI*($C57-21.75)))*AN57</f>
        <v>4.6997402236266299E-5</v>
      </c>
      <c r="BS57">
        <f>(0.93*0.943*(0.9442 - 0.0007*$B57 - dis_BMI*($C57-21.75)))*AO57</f>
        <v>1.3168677442342654E-7</v>
      </c>
      <c r="BT57">
        <f>(0.93*0.943*(0.9442 - 0.0007*$B57 - dis_BMI*($C57-21.75))-0.19*0.5)*AP57</f>
        <v>7.7825260804429808E-7</v>
      </c>
      <c r="BU57">
        <f>(0.93*0.943*(0.9442 - 0.0007*$B57 - dis_BMI*($C57-21.75)))*AQ57</f>
        <v>-5.9065547368903246E-7</v>
      </c>
      <c r="BV57">
        <f>0.962*(0.9442 - 0.0007*$B57 - dis_BMI*($C57-21.75))*AR57</f>
        <v>1.8721333304663093E-3</v>
      </c>
      <c r="BW57">
        <f>0.962*0.959*(0.9442 - 0.0007*$B57 - dis_BMI*($C57-21.75))*AS57</f>
        <v>2.9398127565614083E-4</v>
      </c>
      <c r="BX57">
        <f>0.962*(0.943*(0.9442 - 0.0007*$B57 - dis_BMI*($C57-21.75)) - 0.19*0.5)*AT57</f>
        <v>4.6875289633388576E-5</v>
      </c>
      <c r="BY57">
        <f>0.962*(0.943*(0.9442 - 0.0007*$B57 - dis_BMI*($C57-21.75)))*AU57</f>
        <v>-1.1601507501417829E-5</v>
      </c>
      <c r="BZ57">
        <f>0.962*(0.955*(0.9442 - 0.0007*$B57 - dis_BMI*($C57-21.75)) - 0.15*0.5)*AV57</f>
        <v>3.4668626481737893E-5</v>
      </c>
      <c r="CA57">
        <f>0.962*(0.955*(0.9442 - 0.0007*$B57 - dis_BMI*($C57-21.75)))*AW57</f>
        <v>4.8337165228513808E-5</v>
      </c>
      <c r="CB57">
        <f>0.962*(0.955*0.943*(0.9442 - 0.0007*$B57 - dis_BMI*($C57-21.75)) - 0.19*0.5)*AX57</f>
        <v>1.8516931106492969E-6</v>
      </c>
      <c r="CC57">
        <f>0.962*(0.955*0.943*(0.9442 - 0.0007*$B57 - dis_BMI*($C57-21.75)) - 0.15*0.5)*AY57</f>
        <v>6.6646682340328808E-7</v>
      </c>
      <c r="CD57">
        <f>0.962*(0.955*0.943*(0.9442 - 0.0007*$B57 - dis_BMI*($C57-21.75)))*AZ57</f>
        <v>-1.7925006416545564E-6</v>
      </c>
      <c r="CE57">
        <f>0.962*(0.93*(0.9442 - 0.0007*$B57 - dis_BMI*($C57-21.75)))*BA57</f>
        <v>2.7230560632024886E-5</v>
      </c>
      <c r="CF57">
        <f>0.962*(0.93*(0.9442 - 0.0007*$B57 - dis_BMI*($C57-21.75)))*BB57</f>
        <v>9.5060897930451661E-5</v>
      </c>
      <c r="CG57">
        <f>0.962*(0.93*0.943*(0.9442 - 0.0007*$B57 - dis_BMI*($C57-21.75)))*BC57</f>
        <v>4.5408369172408812E-7</v>
      </c>
      <c r="CH57">
        <f>0.962*(0.93*0.943*(0.9442 - 0.0007*$B57 - dis_BMI*($C57-21.75))-0.19*0.5)*BD57</f>
        <v>2.8643121736136426E-6</v>
      </c>
      <c r="CI57">
        <f>0.962*(0.93*0.943*(0.9442 - 0.0007*$B57 - dis_BMI*($C57-21.75)))*BE57</f>
        <v>-2.5188870477261129E-6</v>
      </c>
      <c r="CJ57">
        <f t="shared" si="51"/>
        <v>0</v>
      </c>
      <c r="CK57">
        <f t="shared" si="52"/>
        <v>3.9225209350364125E-3</v>
      </c>
      <c r="CL57">
        <f>CK57/(1+r_)^A57</f>
        <v>7.949780472223326E-4</v>
      </c>
      <c r="CM57">
        <f>AD57*c_LIR_2</f>
        <v>17.759799243692669</v>
      </c>
      <c r="CN57">
        <f>AE57*(c_Other+c_LIR_2)</f>
        <v>5.0137201938708715</v>
      </c>
      <c r="CO57">
        <f>AF57*(c_Stroke1+c_Stroke2+c_LIR_2)</f>
        <v>0.95180000689455935</v>
      </c>
      <c r="CP57">
        <f>AG57*(c_Stroke2 + c_LIR_2)</f>
        <v>-1.3672332992446698E-2</v>
      </c>
      <c r="CQ57">
        <f>AH57*(c_MI1+c_MI2 + c_LIR_2)</f>
        <v>0.75876390881664868</v>
      </c>
      <c r="CR57">
        <f>AI57*(c_MI2+c_LIR_2)</f>
        <v>0.4277934104047329</v>
      </c>
      <c r="CS57">
        <f>AJ57*(c_Stroke1+c_Stroke2+c_MI2+c_LIR_2)</f>
        <v>2.8154855042156993E-2</v>
      </c>
      <c r="CT57">
        <f>AK57*(c_Stroke2+c_MI1+c_MI2+c_LIR_2)</f>
        <v>1.3575525995885414E-2</v>
      </c>
      <c r="CU57">
        <f>AL57*(c_Stroke2+c_MI2+c_LIR_2)</f>
        <v>-1.1554301208939756E-2</v>
      </c>
      <c r="CV57">
        <f>AM57*(c_HF1+c_LIR_2)</f>
        <v>0.52575139736272114</v>
      </c>
      <c r="CW57">
        <f>AN57*(c_HF2+c_LIR_2)</f>
        <v>1.6710703672813652</v>
      </c>
      <c r="CX57">
        <f>AO57*(c_Stroke2+c_HF1+c_LIR_2)</f>
        <v>8.2178502000947729E-3</v>
      </c>
      <c r="CY57">
        <f>AP57*(c_Stroke1+c_Stroke2+c_HF2+c_LIR_2)</f>
        <v>6.3149947660981573E-2</v>
      </c>
      <c r="CZ57">
        <f>AQ57*(c_Stroke2+c_HF2+c_LIR_2)</f>
        <v>-2.7561259020504263E-2</v>
      </c>
      <c r="DA57">
        <f>AR57*(c_DM+c_LIR_2)</f>
        <v>54.522678684388808</v>
      </c>
      <c r="DB57">
        <f>AS57*(c_Other+c_DM+c_LIR_2)</f>
        <v>14.426085991387129</v>
      </c>
      <c r="DC57">
        <f>AT57*(c_Stroke1+c_Stroke2+c_DM+c_LIR_2)</f>
        <v>3.3415485278154042</v>
      </c>
      <c r="DD57">
        <f>AU57*(c_Stroke2+c_DM+c_LIR_2)</f>
        <v>-0.45874684943106847</v>
      </c>
      <c r="DE57">
        <f>AV57*(c_MI1+c_MI2+c_DM+c_LIR_2)</f>
        <v>2.6367596339745507</v>
      </c>
      <c r="DF57">
        <f>AW57*(c_MI2+c_DM+c_LIR_2)</f>
        <v>1.6722449305547191</v>
      </c>
      <c r="DG57">
        <f>AX57*(c_Stroke1+c_Stroke2+c_MI2+c_DM+c_LIR_2)</f>
        <v>0.14835491003322723</v>
      </c>
      <c r="DH57">
        <f>AY57*(c_Stroke2+c_MI1+c_MI2+c_DM+c_LIR_2)</f>
        <v>6.0814138012603991E-2</v>
      </c>
      <c r="DI57">
        <f>AZ57*(c_Stroke2+c_MI2+c_DM+c_LIR_2)</f>
        <v>-8.2012091713195748E-2</v>
      </c>
      <c r="DJ57">
        <f>BA57*(c_HF1+c_DM+c_LIR_2)</f>
        <v>1.8468873652093019</v>
      </c>
      <c r="DK57">
        <f>BB57*(c_HF2+c_DM+c_LIR_2)</f>
        <v>4.9804897682588347</v>
      </c>
      <c r="DL57">
        <f>BC57*(c_Stroke2+c_HF1+c_DM+c_LIR_2)</f>
        <v>3.6886929755434915E-2</v>
      </c>
      <c r="DM57">
        <f>BD57*(c_Stroke1+c_Stroke2+c_HF2+c_DM+c_LIR_2)</f>
        <v>0.29553224761275793</v>
      </c>
      <c r="DN57">
        <f>BE57*(c_Stroke2+c_HF2+c_DM+c_LIR_2)</f>
        <v>-0.1633991080716917</v>
      </c>
      <c r="DO57">
        <f t="shared" si="53"/>
        <v>0</v>
      </c>
      <c r="DP57">
        <f t="shared" si="54"/>
        <v>110.43313389178762</v>
      </c>
      <c r="DQ57">
        <f>DP57/(1+r_)^A57</f>
        <v>22.381503778799015</v>
      </c>
    </row>
    <row r="58" spans="1:121" x14ac:dyDescent="0.3">
      <c r="A58">
        <v>55</v>
      </c>
      <c r="B58">
        <v>100</v>
      </c>
      <c r="C58">
        <f t="shared" si="39"/>
        <v>36.1</v>
      </c>
      <c r="D58">
        <f t="shared" si="1"/>
        <v>125</v>
      </c>
      <c r="E58">
        <f t="shared" si="41"/>
        <v>5.5</v>
      </c>
      <c r="F58">
        <v>0.31955</v>
      </c>
      <c r="G58">
        <v>0.36148000000000002</v>
      </c>
      <c r="H58">
        <f t="shared" si="42"/>
        <v>0.32793600000000001</v>
      </c>
      <c r="I58">
        <f t="shared" si="43"/>
        <v>3.2286349135090861E-2</v>
      </c>
      <c r="J58">
        <f t="shared" si="21"/>
        <v>0.51620593593542408</v>
      </c>
      <c r="K58">
        <f t="shared" si="22"/>
        <v>0.63828227085840861</v>
      </c>
      <c r="L58">
        <f t="shared" si="23"/>
        <v>0.29088175132406857</v>
      </c>
      <c r="M58">
        <f t="shared" si="24"/>
        <v>0.3820792610152034</v>
      </c>
      <c r="N58">
        <f t="shared" si="25"/>
        <v>0.88586760730960967</v>
      </c>
      <c r="O58">
        <f t="shared" si="26"/>
        <v>0.95342753244545453</v>
      </c>
      <c r="P58">
        <f t="shared" si="27"/>
        <v>0.65616601693644649</v>
      </c>
      <c r="Q58">
        <f t="shared" si="28"/>
        <v>0.77875880871476222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4.2336712871994496E-2</v>
      </c>
      <c r="U58">
        <f t="shared" si="29"/>
        <v>0.7940678723073884</v>
      </c>
      <c r="V58">
        <f t="shared" si="30"/>
        <v>0.89063546223613588</v>
      </c>
      <c r="W58">
        <f t="shared" si="31"/>
        <v>0.5267204003680237</v>
      </c>
      <c r="X58">
        <f t="shared" si="32"/>
        <v>0.6492438812911514</v>
      </c>
      <c r="Y58">
        <f t="shared" si="33"/>
        <v>0.97510929054704409</v>
      </c>
      <c r="Z58">
        <f t="shared" si="34"/>
        <v>0.99458475090016196</v>
      </c>
      <c r="AA58">
        <f t="shared" si="35"/>
        <v>0.83743515083526887</v>
      </c>
      <c r="AB58">
        <f t="shared" si="36"/>
        <v>0.92323038011736913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6.4311701655621611E-2</v>
      </c>
      <c r="AD58">
        <f t="shared" si="44"/>
        <v>9.5377280672857465E-4</v>
      </c>
      <c r="AE58">
        <f t="shared" si="45"/>
        <v>1.0798524303157249E-4</v>
      </c>
      <c r="AF58">
        <f t="shared" si="46"/>
        <v>1.7268671434466333E-5</v>
      </c>
      <c r="AG58">
        <f t="shared" si="47"/>
        <v>-2.172507602297551E-6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1.2034313184758309E-5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1.6165911667609719E-5</v>
      </c>
      <c r="AJ58">
        <f t="shared" si="48"/>
        <v>4.5312871993254568E-7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1.7215672538525833E-7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-3.6034931252351852E-7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8.6086067908246174E-6</v>
      </c>
      <c r="AN58">
        <f t="shared" si="49"/>
        <v>3.1329787045400096E-5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1.0741946674654155E-7</v>
      </c>
      <c r="AP58">
        <f>AM57*T57*p_Stroke*p_Stroke_rec*(1-I57) + AN57*T57*p_Stroke*p_Stroke_rec*(1-I57) + AO57*(p_recur_Stroke*p_Stroke_rec)*(1-I57) + AP57*(p_recur_Stroke*p_Stroke_rec)*(1-I57) + AQ57*(p_recur_Stroke*p_Stroke_rec)*(1-I57)</f>
        <v>6.9927566984207268E-7</v>
      </c>
      <c r="AQ58">
        <f>AO57*(1-p_recur_Stroke-H57*rr_Stroke*rr_HF)*(1-I57) + AP57*(1-p_recur_Stroke-H57*rr_Stroke*rr_HF)*(1-I57) + AQ57*(1-p_recur_Stroke-H57*rr_Stroke*rr_HF)*(1-I57)</f>
        <v>-5.0175440975133644E-7</v>
      </c>
      <c r="AR58">
        <f>AR57*(1-AC57-H57*rr_DM) + AD57*(1-T57-H57)*I57</f>
        <v>1.4072076101585447E-3</v>
      </c>
      <c r="AS58">
        <f>AR57*AC57*p_Other + AD57*T57*p_Other*I57 + AE57*(1-T57*p_Stroke-T57*p_MI-H57*rr_Other)*I57 + AS57*(1-AC57*p_Stroke-AC57*p_MI-H57*rr_Other*rr_DM)</f>
        <v>2.0244647994972878E-4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4.3464769300762046E-5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-1.313281666496963E-5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3.0816632308279355E-5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3.1952267504611928E-5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1.710148323484373E-6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5.8434666335661086E-7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-1.5254121628137722E-6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2.1905935928294231E-5</v>
      </c>
      <c r="BB58">
        <f>AM57*(1-T57*p_Stroke - H57*rr_HF)*I57 + AN57*(1-T57*p_Stroke - H57*rr_HF)*I57 + BA57*(1-AC57*p_Stroke - H57*rr_HF*rr_DM) + BB57*(1-AC57*p_Stroke - H57*rr_HF*rr_DM)</f>
        <v>5.8087927034177478E-5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3.608959242079911E-7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2.4357954285328892E-6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-1.9973425423718058E-6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0.93907012005370549</v>
      </c>
      <c r="BG58">
        <f t="shared" si="50"/>
        <v>0.94199999999999984</v>
      </c>
      <c r="BH58">
        <f>(0.9442 - 0.0007*$B58 - dis_BMI*($C58-21.75))*AD58</f>
        <v>7.8862227637948831E-4</v>
      </c>
      <c r="BI58">
        <f>0.959*(0.9442 - 0.0007*$B58 - dis_BMI*($C58-21.75))*AE58</f>
        <v>8.5626288885188499E-5</v>
      </c>
      <c r="BJ58">
        <f>(0.943*(0.9442 - 0.0007*$B58 - dis_BMI*($C58-21.75)) - 0.19*0.5)*AF58</f>
        <v>1.182411551191983E-5</v>
      </c>
      <c r="BK58">
        <f>(0.943*(0.9442 - 0.0007*$B58 - dis_BMI*($C58-21.75)))*AG58</f>
        <v>-1.6939364066616807E-6</v>
      </c>
      <c r="BL58">
        <f>(0.955*(0.9442 - 0.0007*$B58 - dis_BMI*($C58-21.75)) - 0.15*0.5)*AH58</f>
        <v>8.6001651705582937E-6</v>
      </c>
      <c r="BM58">
        <f>(0.955*(0.9442 - 0.0007*$B58 - dis_BMI*($C58-21.75)))*AI58</f>
        <v>1.2765201587328543E-5</v>
      </c>
      <c r="BN58">
        <f>(0.955*0.943*(0.9442 - 0.0007*$B58 - dis_BMI*($C58-21.75)) - 0.19*0.5)*AJ58</f>
        <v>2.9436495337305577E-7</v>
      </c>
      <c r="BO58">
        <f>(0.955*0.943*(0.9442 - 0.0007*$B58 - dis_BMI*($C58-21.75)) - 0.15*0.5)*AK58</f>
        <v>1.1528090645125682E-7</v>
      </c>
      <c r="BP58">
        <f>(0.955*0.943*(0.9442 - 0.0007*$B58 - dis_BMI*($C58-21.75)))*AL58</f>
        <v>-2.6832606804258993E-7</v>
      </c>
      <c r="BQ58">
        <f>(0.93*(0.9442 - 0.0007*$B58 - dis_BMI*($C58-21.75)))*AM58</f>
        <v>6.6197246382222243E-6</v>
      </c>
      <c r="BR58">
        <f>(0.93*(0.9442 - 0.0007*$B58 - dis_BMI*($C58-21.75)))*AN58</f>
        <v>2.4091536325685076E-5</v>
      </c>
      <c r="BS58">
        <f>(0.93*0.943*(0.9442 - 0.0007*$B58 - dis_BMI*($C58-21.75)))*AO58</f>
        <v>7.7893593164762918E-8</v>
      </c>
      <c r="BT58">
        <f>(0.93*0.943*(0.9442 - 0.0007*$B58 - dis_BMI*($C58-21.75))-0.19*0.5)*AP58</f>
        <v>4.4063793194829957E-7</v>
      </c>
      <c r="BU58">
        <f>(0.93*0.943*(0.9442 - 0.0007*$B58 - dis_BMI*($C58-21.75)))*AQ58</f>
        <v>-3.6383958183310076E-7</v>
      </c>
      <c r="BV58">
        <f>0.962*(0.9442 - 0.0007*$B58 - dis_BMI*($C58-21.75))*AR58</f>
        <v>1.1193279585175234E-3</v>
      </c>
      <c r="BW58">
        <f>0.962*0.959*(0.9442 - 0.0007*$B58 - dis_BMI*($C58-21.75))*AS58</f>
        <v>1.5442869931405929E-4</v>
      </c>
      <c r="BX58">
        <f>0.962*(0.943*(0.9442 - 0.0007*$B58 - dis_BMI*($C58-21.75)) - 0.19*0.5)*AT58</f>
        <v>2.8630055391161146E-5</v>
      </c>
      <c r="BY58">
        <f>0.962*(0.943*(0.9442 - 0.0007*$B58 - dis_BMI*($C58-21.75)))*AU58</f>
        <v>-9.8507376038095879E-6</v>
      </c>
      <c r="BZ58">
        <f>0.962*(0.955*(0.9442 - 0.0007*$B58 - dis_BMI*($C58-21.75)) - 0.15*0.5)*AV58</f>
        <v>2.1185842106561937E-5</v>
      </c>
      <c r="CA58">
        <f>0.962*(0.955*(0.9442 - 0.0007*$B58 - dis_BMI*($C58-21.75)))*AW58</f>
        <v>2.4271925566176723E-5</v>
      </c>
      <c r="CB58">
        <f>0.962*(0.955*0.943*(0.9442 - 0.0007*$B58 - dis_BMI*($C58-21.75)) - 0.19*0.5)*AX58</f>
        <v>1.0687431990151622E-6</v>
      </c>
      <c r="CC58">
        <f>0.962*(0.955*0.943*(0.9442 - 0.0007*$B58 - dis_BMI*($C58-21.75)) - 0.15*0.5)*AY58</f>
        <v>3.7642549481132839E-7</v>
      </c>
      <c r="CD58">
        <f>0.962*(0.955*0.943*(0.9442 - 0.0007*$B58 - dis_BMI*($C58-21.75)))*AZ58</f>
        <v>-1.0927012648327491E-6</v>
      </c>
      <c r="CE58">
        <f>0.962*(0.93*(0.9442 - 0.0007*$B58 - dis_BMI*($C58-21.75)))*BA58</f>
        <v>1.6204809808782751E-5</v>
      </c>
      <c r="CF58">
        <f>0.962*(0.93*(0.9442 - 0.0007*$B58 - dis_BMI*($C58-21.75)))*BB58</f>
        <v>4.297026216348444E-5</v>
      </c>
      <c r="CG58">
        <f>0.962*(0.93*0.943*(0.9442 - 0.0007*$B58 - dis_BMI*($C58-21.75)))*BC58</f>
        <v>2.5175366125838704E-7</v>
      </c>
      <c r="CH58">
        <f>0.962*(0.93*0.943*(0.9442 - 0.0007*$B58 - dis_BMI*($C58-21.75))-0.19*0.5)*BD58</f>
        <v>1.4765540374377449E-6</v>
      </c>
      <c r="CI58">
        <f>0.962*(0.93*0.943*(0.9442 - 0.0007*$B58 - dis_BMI*($C58-21.75)))*BE58</f>
        <v>-1.3933055601355087E-6</v>
      </c>
      <c r="CJ58">
        <f t="shared" si="51"/>
        <v>0</v>
      </c>
      <c r="CK58">
        <f t="shared" si="52"/>
        <v>2.3346076686582853E-3</v>
      </c>
      <c r="CL58">
        <f>CK58/(1+r_)^A58</f>
        <v>4.5937414590589275E-4</v>
      </c>
      <c r="CM58">
        <f>AD58*c_LIR_2</f>
        <v>11.216368207128038</v>
      </c>
      <c r="CN58">
        <f>AE58*(c_Other+c_LIR_2)</f>
        <v>2.8118277432991161</v>
      </c>
      <c r="CO58">
        <f>AF58*(c_Stroke1+c_Stroke2+c_LIR_2)</f>
        <v>0.61435025495257423</v>
      </c>
      <c r="CP58">
        <f>AG58*(c_Stroke2 + c_LIR_2)</f>
        <v>-3.9669988817953285E-2</v>
      </c>
      <c r="CQ58">
        <f>AH58*(c_MI1+c_MI2 + c_LIR_2)</f>
        <v>0.49233578670164718</v>
      </c>
      <c r="CR58">
        <f>AI58*(c_MI2+c_LIR_2)</f>
        <v>0.24050026787902978</v>
      </c>
      <c r="CS58">
        <f>AJ58*(c_Stroke1+c_Stroke2+c_MI2+c_LIR_2)</f>
        <v>1.7532909560349991E-2</v>
      </c>
      <c r="CT58">
        <f>AK58*(c_Stroke2+c_MI1+c_MI2+c_LIR_2)</f>
        <v>8.1621225072404831E-3</v>
      </c>
      <c r="CU58">
        <f>AL58*(c_Stroke2+c_MI2+c_LIR_2)</f>
        <v>-7.7031872538152555E-3</v>
      </c>
      <c r="CV58">
        <f>AM58*(c_HF1+c_LIR_2)</f>
        <v>0.33392785741608688</v>
      </c>
      <c r="CW58">
        <f>AN58*(c_HF2+c_LIR_2)</f>
        <v>0.85733962249737361</v>
      </c>
      <c r="CX58">
        <f>AO58*(c_Stroke2+c_HF1+c_LIR_2)</f>
        <v>4.8650276489508671E-3</v>
      </c>
      <c r="CY58">
        <f>AP58*(c_Stroke1+c_Stroke2+c_HF2+c_LIR_2)</f>
        <v>3.5789628058187119E-2</v>
      </c>
      <c r="CZ58">
        <f>AQ58*(c_Stroke2+c_HF2+c_LIR_2)</f>
        <v>-1.6991913086229007E-2</v>
      </c>
      <c r="DA58">
        <f>AR58*(c_DM+c_LIR_2)</f>
        <v>32.626108441525858</v>
      </c>
      <c r="DB58">
        <f>AS58*(c_Other+c_DM+c_LIR_2)</f>
        <v>7.5844549248366393</v>
      </c>
      <c r="DC58">
        <f>AT58*(c_Stroke1+c_Stroke2+c_DM+c_LIR_2)</f>
        <v>2.0428876219051171</v>
      </c>
      <c r="DD58">
        <f>AU58*(c_Stroke2+c_DM+c_LIR_2)</f>
        <v>-0.38984766269962345</v>
      </c>
      <c r="DE58">
        <f>AV58*(c_MI1+c_MI2+c_DM+c_LIR_2)</f>
        <v>1.6128192684861082</v>
      </c>
      <c r="DF58">
        <f>AW58*(c_MI2+c_DM+c_LIR_2)</f>
        <v>0.84040853990630293</v>
      </c>
      <c r="DG58">
        <f>AX58*(c_Stroke1+c_Stroke2+c_MI2+c_DM+c_LIR_2)</f>
        <v>8.5709213676389812E-2</v>
      </c>
      <c r="DH58">
        <f>AY58*(c_Stroke2+c_MI1+c_MI2+c_DM+c_LIR_2)</f>
        <v>3.4380620285249554E-2</v>
      </c>
      <c r="DI58">
        <f>AZ58*(c_Stroke2+c_MI2+c_DM+c_LIR_2)</f>
        <v>-5.0036569764617359E-2</v>
      </c>
      <c r="DJ58">
        <f>BA58*(c_HF1+c_DM+c_LIR_2)</f>
        <v>1.1000065726392949</v>
      </c>
      <c r="DK58">
        <f>BB58*(c_HF2+c_DM+c_LIR_2)</f>
        <v>2.2532306896557444</v>
      </c>
      <c r="DL58">
        <f>BC58*(c_Stroke2+c_HF1+c_DM+c_LIR_2)</f>
        <v>2.0468212341456217E-2</v>
      </c>
      <c r="DM58">
        <f>BD58*(c_Stroke1+c_Stroke2+c_HF2+c_DM+c_LIR_2)</f>
        <v>0.15249540859873006</v>
      </c>
      <c r="DN58">
        <f>BE58*(c_Stroke2+c_HF2+c_DM+c_LIR_2)</f>
        <v>-9.0459643744019089E-2</v>
      </c>
      <c r="DO58">
        <f t="shared" si="53"/>
        <v>0</v>
      </c>
      <c r="DP58">
        <f t="shared" si="54"/>
        <v>64.391259976139224</v>
      </c>
      <c r="DQ58">
        <f>DP58/(1+r_)^A58</f>
        <v>12.670086050193991</v>
      </c>
    </row>
    <row r="59" spans="1:121" x14ac:dyDescent="0.3">
      <c r="A59">
        <v>56</v>
      </c>
      <c r="B59">
        <v>101</v>
      </c>
      <c r="C59">
        <f t="shared" si="39"/>
        <v>36.1</v>
      </c>
      <c r="D59">
        <f t="shared" si="1"/>
        <v>125</v>
      </c>
      <c r="E59">
        <f t="shared" si="41"/>
        <v>5.5</v>
      </c>
      <c r="F59">
        <v>0.34189000000000003</v>
      </c>
      <c r="G59">
        <v>0.38297999999999999</v>
      </c>
      <c r="H59">
        <f t="shared" si="42"/>
        <v>0.35010800000000003</v>
      </c>
      <c r="I59">
        <f t="shared" si="43"/>
        <v>3.2286349135090861E-2</v>
      </c>
      <c r="J59">
        <f t="shared" si="21"/>
        <v>0.52575155954178254</v>
      </c>
      <c r="K59">
        <f t="shared" si="22"/>
        <v>0.6482378806420187</v>
      </c>
      <c r="L59">
        <f t="shared" si="23"/>
        <v>0.29754004302203618</v>
      </c>
      <c r="M59">
        <f t="shared" si="24"/>
        <v>0.390189590419177</v>
      </c>
      <c r="N59">
        <f t="shared" si="25"/>
        <v>0.89340056472706353</v>
      </c>
      <c r="O59">
        <f t="shared" si="26"/>
        <v>0.9577108992895349</v>
      </c>
      <c r="P59">
        <f t="shared" si="27"/>
        <v>0.66752248420418825</v>
      </c>
      <c r="Q59">
        <f t="shared" si="28"/>
        <v>0.78901314385302979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4.3111727071605009E-2</v>
      </c>
      <c r="U59">
        <f t="shared" si="29"/>
        <v>0.80280814316214155</v>
      </c>
      <c r="V59">
        <f t="shared" si="30"/>
        <v>0.89708040129708311</v>
      </c>
      <c r="W59">
        <f t="shared" si="31"/>
        <v>0.53633826490583791</v>
      </c>
      <c r="X59">
        <f t="shared" si="32"/>
        <v>0.65918575875078111</v>
      </c>
      <c r="Y59">
        <f t="shared" si="33"/>
        <v>0.97783965929124983</v>
      </c>
      <c r="Z59">
        <f t="shared" si="34"/>
        <v>0.9954046581116307</v>
      </c>
      <c r="AA59">
        <f t="shared" si="35"/>
        <v>0.84646568429351465</v>
      </c>
      <c r="AB59">
        <f t="shared" si="36"/>
        <v>0.92918629344330017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6.5155243743535651E-2</v>
      </c>
      <c r="AD59">
        <f t="shared" si="44"/>
        <v>5.8122503963953058E-4</v>
      </c>
      <c r="AE59">
        <f t="shared" si="45"/>
        <v>5.8888734087870619E-5</v>
      </c>
      <c r="AF59">
        <f t="shared" si="46"/>
        <v>1.0817414053391034E-5</v>
      </c>
      <c r="AG59">
        <f t="shared" si="47"/>
        <v>-2.2753698470239328E-6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7.5580992149100103E-6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8.6787842429975423E-6</v>
      </c>
      <c r="AJ59">
        <f t="shared" si="48"/>
        <v>2.7277835892968024E-7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1.0110243081918162E-7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-2.2968642569242629E-7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5.2898827620436068E-6</v>
      </c>
      <c r="AN59">
        <f t="shared" si="49"/>
        <v>1.5205224355309549E-5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6.2068025873857139E-8</v>
      </c>
      <c r="AP59">
        <f>AM58*T58*p_Stroke*p_Stroke_rec*(1-I58) + AN58*T58*p_Stroke*p_Stroke_rec*(1-I58) + AO58*(p_recur_Stroke*p_Stroke_rec)*(1-I58) + AP58*(p_recur_Stroke*p_Stroke_rec)*(1-I58) + AQ58*(p_recur_Stroke*p_Stroke_rec)*(1-I58)</f>
        <v>3.7881295860423781E-7</v>
      </c>
      <c r="AQ59">
        <f>AO58*(1-p_recur_Stroke-H58*rr_Stroke*rr_HF)*(1-I58) + AP58*(1-p_recur_Stroke-H58*rr_Stroke*rr_HF)*(1-I58) + AQ58*(1-p_recur_Stroke-H58*rr_Stroke*rr_HF)*(1-I58)</f>
        <v>-2.9158963606554572E-7</v>
      </c>
      <c r="AR59">
        <f>AR58*(1-AC58-H58*rr_DM) + AD58*(1-T58-H58)*I58</f>
        <v>8.0540427657293102E-4</v>
      </c>
      <c r="AS59">
        <f>AR58*AC58*p_Other + AD58*T58*p_Other*I58 + AE58*(1-T58*p_Stroke-T58*p_MI-H58*rr_Other)*I58 + AS58*(1-AC58*p_Stroke-AC58*p_MI-H58*rr_Other*rr_DM)</f>
        <v>1.0326628207590411E-4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2.5614300761402212E-5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-9.6169576724145796E-6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1.8133581832636016E-5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1.5055850522005622E-5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9.4818913314116074E-7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3.203383215113447E-7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-8.8375685053959204E-7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1.2548031445444524E-5</v>
      </c>
      <c r="BB59">
        <f>AM58*(1-T58*p_Stroke - H58*rr_HF)*I58 + AN58*(1-T58*p_Stroke - H58*rr_HF)*I58 + BA58*(1-AC58*p_Stroke - H58*rr_HF*rr_DM) + BB58*(1-AC58*p_Stroke - H58*rr_HF*rr_DM)</f>
        <v>2.4412526916617793E-5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1.9388373856232439E-7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1.1894716190443698E-6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-1.0235731327669445E-6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0.94031875626049488</v>
      </c>
      <c r="BG59">
        <f t="shared" si="50"/>
        <v>0.94199999999999984</v>
      </c>
      <c r="BH59">
        <f>(0.9442 - 0.0007*$B59 - dis_BMI*($C59-21.75))*AD59</f>
        <v>4.80176160373E-4</v>
      </c>
      <c r="BI59">
        <f>0.959*(0.9442 - 0.0007*$B59 - dis_BMI*($C59-21.75))*AE59</f>
        <v>4.6655957260879891E-5</v>
      </c>
      <c r="BJ59">
        <f>(0.943*(0.9442 - 0.0007*$B59 - dis_BMI*($C59-21.75)) - 0.19*0.5)*AF59</f>
        <v>7.39970330367768E-6</v>
      </c>
      <c r="BK59">
        <f>(0.943*(0.9442 - 0.0007*$B59 - dis_BMI*($C59-21.75)))*AG59</f>
        <v>-1.7726376532002205E-6</v>
      </c>
      <c r="BL59">
        <f>(0.955*(0.9442 - 0.0007*$B59 - dis_BMI*($C59-21.75)) - 0.15*0.5)*AH59</f>
        <v>5.3962445703679975E-6</v>
      </c>
      <c r="BM59">
        <f>(0.955*(0.9442 - 0.0007*$B59 - dis_BMI*($C59-21.75)))*AI59</f>
        <v>6.8472871690518003E-6</v>
      </c>
      <c r="BN59">
        <f>(0.955*0.943*(0.9442 - 0.0007*$B59 - dis_BMI*($C59-21.75)) - 0.19*0.5)*AJ59</f>
        <v>1.7703241078554095E-7</v>
      </c>
      <c r="BO59">
        <f>(0.955*0.943*(0.9442 - 0.0007*$B59 - dis_BMI*($C59-21.75)) - 0.15*0.5)*AK59</f>
        <v>6.7637250403018547E-8</v>
      </c>
      <c r="BP59">
        <f>(0.955*0.943*(0.9442 - 0.0007*$B59 - dis_BMI*($C59-21.75)))*AL59</f>
        <v>-1.7088607411336939E-7</v>
      </c>
      <c r="BQ59">
        <f>(0.93*(0.9442 - 0.0007*$B59 - dis_BMI*($C59-21.75)))*AM59</f>
        <v>4.06429548083712E-6</v>
      </c>
      <c r="BR59">
        <f>(0.93*(0.9442 - 0.0007*$B59 - dis_BMI*($C59-21.75)))*AN59</f>
        <v>1.1682399669766005E-5</v>
      </c>
      <c r="BS59">
        <f>(0.93*0.943*(0.9442 - 0.0007*$B59 - dis_BMI*($C59-21.75)))*AO59</f>
        <v>4.4969582187691758E-8</v>
      </c>
      <c r="BT59">
        <f>(0.93*0.943*(0.9442 - 0.0007*$B59 - dis_BMI*($C59-21.75))-0.19*0.5)*AP59</f>
        <v>2.3847067597698856E-7</v>
      </c>
      <c r="BU59">
        <f>(0.93*0.943*(0.9442 - 0.0007*$B59 - dis_BMI*($C59-21.75)))*AQ59</f>
        <v>-2.1126278658802488E-7</v>
      </c>
      <c r="BV59">
        <f>0.962*(0.9442 - 0.0007*$B59 - dis_BMI*($C59-21.75))*AR59</f>
        <v>6.4009624885870908E-4</v>
      </c>
      <c r="BW59">
        <f>0.962*0.959*(0.9442 - 0.0007*$B59 - dis_BMI*($C59-21.75))*AS59</f>
        <v>7.8706119253175086E-5</v>
      </c>
      <c r="BX59">
        <f>0.962*(0.943*(0.9442 - 0.0007*$B59 - dis_BMI*($C59-21.75)) - 0.19*0.5)*AT59</f>
        <v>1.6855763538208341E-5</v>
      </c>
      <c r="BY59">
        <f>0.962*(0.943*(0.9442 - 0.0007*$B59 - dis_BMI*($C59-21.75)))*AU59</f>
        <v>-7.2074352273715686E-6</v>
      </c>
      <c r="BZ59">
        <f>0.962*(0.955*(0.9442 - 0.0007*$B59 - dis_BMI*($C59-21.75)) - 0.15*0.5)*AV59</f>
        <v>1.2454827148176117E-5</v>
      </c>
      <c r="CA59">
        <f>0.962*(0.955*(0.9442 - 0.0007*$B59 - dis_BMI*($C59-21.75)))*AW59</f>
        <v>1.1427204951980089E-5</v>
      </c>
      <c r="CB59">
        <f>0.962*(0.955*0.943*(0.9442 - 0.0007*$B59 - dis_BMI*($C59-21.75)) - 0.19*0.5)*AX59</f>
        <v>5.9198801857179727E-7</v>
      </c>
      <c r="CC59">
        <f>0.962*(0.955*0.943*(0.9442 - 0.0007*$B59 - dis_BMI*($C59-21.75)) - 0.15*0.5)*AY59</f>
        <v>2.0616185558312646E-7</v>
      </c>
      <c r="CD59">
        <f>0.962*(0.955*0.943*(0.9442 - 0.0007*$B59 - dis_BMI*($C59-21.75)))*AZ59</f>
        <v>-6.3252720378431998E-7</v>
      </c>
      <c r="CE59">
        <f>0.962*(0.93*(0.9442 - 0.0007*$B59 - dis_BMI*($C59-21.75)))*BA59</f>
        <v>9.2744870196855185E-6</v>
      </c>
      <c r="CF59">
        <f>0.962*(0.93*(0.9442 - 0.0007*$B59 - dis_BMI*($C59-21.75)))*BB59</f>
        <v>1.80437596917318E-5</v>
      </c>
      <c r="CG59">
        <f>0.962*(0.93*0.943*(0.9442 - 0.0007*$B59 - dis_BMI*($C59-21.75)))*BC59</f>
        <v>1.3513485423184782E-7</v>
      </c>
      <c r="CH59">
        <f>0.962*(0.93*0.943*(0.9442 - 0.0007*$B59 - dis_BMI*($C59-21.75))-0.19*0.5)*BD59</f>
        <v>7.2034295292991318E-7</v>
      </c>
      <c r="CI59">
        <f>0.962*(0.93*0.943*(0.9442 - 0.0007*$B59 - dis_BMI*($C59-21.75)))*BE59</f>
        <v>-7.1341932602374195E-7</v>
      </c>
      <c r="CJ59">
        <f t="shared" si="51"/>
        <v>0</v>
      </c>
      <c r="CK59">
        <f t="shared" si="52"/>
        <v>1.3405540276188355E-3</v>
      </c>
      <c r="CL59">
        <f>CK59/(1+r_)^A59</f>
        <v>2.5609419740611761E-4</v>
      </c>
      <c r="CM59">
        <f>AD59*c_LIR_2</f>
        <v>6.83520646616088</v>
      </c>
      <c r="CN59">
        <f>AE59*(c_Other+c_LIR_2)</f>
        <v>1.5334037469140631</v>
      </c>
      <c r="CO59">
        <f>AF59*(c_Stroke1+c_Stroke2+c_LIR_2)</f>
        <v>0.3848403223634394</v>
      </c>
      <c r="CP59">
        <f>AG59*(c_Stroke2 + c_LIR_2)</f>
        <v>-4.1548253406657014E-2</v>
      </c>
      <c r="CQ59">
        <f>AH59*(c_MI1+c_MI2 + c_LIR_2)</f>
        <v>0.30920939698118344</v>
      </c>
      <c r="CR59">
        <f>AI59*(c_MI2+c_LIR_2)</f>
        <v>0.12911427318307445</v>
      </c>
      <c r="CS59">
        <f>AJ59*(c_Stroke1+c_Stroke2+c_MI2+c_LIR_2)</f>
        <v>1.0554613042066117E-2</v>
      </c>
      <c r="CT59">
        <f>AK59*(c_Stroke2+c_MI1+c_MI2+c_LIR_2)</f>
        <v>4.7933673475682196E-3</v>
      </c>
      <c r="CU59">
        <f>AL59*(c_Stroke2+c_MI2+c_LIR_2)</f>
        <v>-4.910006722026997E-3</v>
      </c>
      <c r="CV59">
        <f>AM59*(c_HF1+c_LIR_2)</f>
        <v>0.20519455233967152</v>
      </c>
      <c r="CW59">
        <f>AN59*(c_HF2+c_LIR_2)</f>
        <v>0.41609096448304583</v>
      </c>
      <c r="CX59">
        <f>AO59*(c_Stroke2+c_HF1+c_LIR_2)</f>
        <v>2.8110608918269896E-3</v>
      </c>
      <c r="CY59">
        <f>AP59*(c_Stroke1+c_Stroke2+c_HF2+c_LIR_2)</f>
        <v>1.9388026034323495E-2</v>
      </c>
      <c r="CZ59">
        <f>AQ59*(c_Stroke2+c_HF2+c_LIR_2)</f>
        <v>-9.8746830253597061E-3</v>
      </c>
      <c r="DA59">
        <f>AR59*(c_DM+c_LIR_2)</f>
        <v>18.673298152343406</v>
      </c>
      <c r="DB59">
        <f>AS59*(c_Other+c_DM+c_LIR_2)</f>
        <v>3.8687679916916715</v>
      </c>
      <c r="DC59">
        <f>AT59*(c_Stroke1+c_Stroke2+c_DM+c_LIR_2)</f>
        <v>1.2038977500866654</v>
      </c>
      <c r="DD59">
        <f>AU59*(c_Stroke2+c_DM+c_LIR_2)</f>
        <v>-0.28547938850562682</v>
      </c>
      <c r="DE59">
        <f>AV59*(c_MI1+c_MI2+c_DM+c_LIR_2)</f>
        <v>0.94903913879283852</v>
      </c>
      <c r="DF59">
        <f>AW59*(c_MI2+c_DM+c_LIR_2)</f>
        <v>0.39599898042979187</v>
      </c>
      <c r="DG59">
        <f>AX59*(c_Stroke1+c_Stroke2+c_MI2+c_DM+c_LIR_2)</f>
        <v>4.7521342974768697E-2</v>
      </c>
      <c r="DH59">
        <f>AY59*(c_Stroke2+c_MI1+c_MI2+c_DM+c_LIR_2)</f>
        <v>1.8847425484441478E-2</v>
      </c>
      <c r="DI59">
        <f>AZ59*(c_Stroke2+c_MI2+c_DM+c_LIR_2)</f>
        <v>-2.8988992211399698E-2</v>
      </c>
      <c r="DJ59">
        <f>BA59*(c_HF1+c_DM+c_LIR_2)</f>
        <v>0.63009939903299683</v>
      </c>
      <c r="DK59">
        <f>BB59*(c_HF2+c_DM+c_LIR_2)</f>
        <v>0.94696191909560423</v>
      </c>
      <c r="DL59">
        <f>BC59*(c_Stroke2+c_HF1+c_DM+c_LIR_2)</f>
        <v>1.0996116232562228E-2</v>
      </c>
      <c r="DM59">
        <f>BD59*(c_Stroke1+c_Stroke2+c_HF2+c_DM+c_LIR_2)</f>
        <v>7.446806018189181E-2</v>
      </c>
      <c r="DN59">
        <f>BE59*(c_Stroke2+c_HF2+c_DM+c_LIR_2)</f>
        <v>-4.6357627183014914E-2</v>
      </c>
      <c r="DO59">
        <f t="shared" si="53"/>
        <v>0</v>
      </c>
      <c r="DP59">
        <f t="shared" si="54"/>
        <v>36.253344115033705</v>
      </c>
      <c r="DQ59">
        <f>DP59/(1+r_)^A59</f>
        <v>6.925697042526946</v>
      </c>
    </row>
    <row r="60" spans="1:121" x14ac:dyDescent="0.3">
      <c r="A60">
        <v>57</v>
      </c>
      <c r="B60">
        <v>102</v>
      </c>
      <c r="C60">
        <f t="shared" si="39"/>
        <v>36.1</v>
      </c>
      <c r="D60">
        <f t="shared" si="1"/>
        <v>125</v>
      </c>
      <c r="E60">
        <f t="shared" si="41"/>
        <v>5.5</v>
      </c>
      <c r="F60">
        <v>0.36415999999999998</v>
      </c>
      <c r="G60">
        <v>0.40406999999999998</v>
      </c>
      <c r="H60">
        <f t="shared" si="42"/>
        <v>0.37214199999999997</v>
      </c>
      <c r="I60">
        <f t="shared" si="43"/>
        <v>3.2286349135090861E-2</v>
      </c>
      <c r="J60">
        <f t="shared" si="21"/>
        <v>0.53526803394720135</v>
      </c>
      <c r="K60">
        <f t="shared" si="22"/>
        <v>0.65808352164651807</v>
      </c>
      <c r="L60">
        <f t="shared" si="23"/>
        <v>0.30424863071588548</v>
      </c>
      <c r="M60">
        <f t="shared" si="24"/>
        <v>0.39833010543885139</v>
      </c>
      <c r="N60">
        <f t="shared" si="25"/>
        <v>0.9005799525692787</v>
      </c>
      <c r="O60">
        <f t="shared" si="26"/>
        <v>0.96167856001556029</v>
      </c>
      <c r="P60">
        <f t="shared" si="27"/>
        <v>0.67873206048543766</v>
      </c>
      <c r="Q60">
        <f t="shared" si="28"/>
        <v>0.79899397185752896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4.3884289971861994E-2</v>
      </c>
      <c r="U60">
        <f t="shared" si="29"/>
        <v>0.81131814416702686</v>
      </c>
      <c r="V60">
        <f t="shared" si="30"/>
        <v>0.90324658616697318</v>
      </c>
      <c r="W60">
        <f t="shared" si="31"/>
        <v>0.54592092964508687</v>
      </c>
      <c r="X60">
        <f t="shared" si="32"/>
        <v>0.66900944806696017</v>
      </c>
      <c r="Y60">
        <f t="shared" si="33"/>
        <v>0.98031892614324634</v>
      </c>
      <c r="Z60">
        <f t="shared" si="34"/>
        <v>0.99611393696937012</v>
      </c>
      <c r="AA60">
        <f t="shared" si="35"/>
        <v>0.8551696695322909</v>
      </c>
      <c r="AB60">
        <f t="shared" si="36"/>
        <v>0.93479156157404975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6.5985271362197881E-2</v>
      </c>
      <c r="AD60">
        <f t="shared" si="44"/>
        <v>3.4128927132781291E-4</v>
      </c>
      <c r="AE60">
        <f t="shared" si="45"/>
        <v>3.1310251876229058E-5</v>
      </c>
      <c r="AF60">
        <f t="shared" si="46"/>
        <v>6.5634618078171513E-6</v>
      </c>
      <c r="AG60">
        <f t="shared" si="47"/>
        <v>-1.8625737346860893E-6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4.5897544548725107E-6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4.4437531645067744E-6</v>
      </c>
      <c r="AJ60">
        <f t="shared" si="48"/>
        <v>1.5874285354655174E-7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5.7859630511667845E-8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-1.403096815077279E-7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3.1435984885497183E-6</v>
      </c>
      <c r="AN60">
        <f t="shared" si="49"/>
        <v>6.998961969583935E-6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3.4945901267719731E-8</v>
      </c>
      <c r="AP60">
        <f>AM59*T59*p_Stroke*p_Stroke_rec*(1-I59) + AN59*T59*p_Stroke*p_Stroke_rec*(1-I59) + AO59*(p_recur_Stroke*p_Stroke_rec)*(1-I59) + AP59*(p_recur_Stroke*p_Stroke_rec)*(1-I59) + AQ59*(p_recur_Stroke*p_Stroke_rec)*(1-I59)</f>
        <v>1.96878612851946E-7</v>
      </c>
      <c r="AQ60">
        <f>AO59*(1-p_recur_Stroke-H59*rr_Stroke*rr_HF)*(1-I59) + AP59*(1-p_recur_Stroke-H59*rr_Stroke*rr_HF)*(1-I59) + AQ59*(1-p_recur_Stroke-H59*rr_Stroke*rr_HF)*(1-I59)</f>
        <v>-1.6100243518288078E-7</v>
      </c>
      <c r="AR60">
        <f>AR59*(1-AC59-H59*rr_DM) + AD59*(1-T59-H59)*I59</f>
        <v>4.4003932894645919E-4</v>
      </c>
      <c r="AS60">
        <f>AR59*AC59*p_Other + AD59*T59*p_Other*I59 + AE59*(1-T59*p_Stroke-T59*p_MI-H59*rr_Other)*I59 + AS59*(1-AC59*p_Stroke-AC59*p_MI-H59*rr_Other*rr_DM)</f>
        <v>5.1147863466829819E-5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1.4512791277053079E-5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-6.373860160988238E-6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1.024893336512373E-5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6.6125006020619385E-6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5.0535260897847265E-7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1.7002896047169916E-7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-4.9150750845956175E-7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6.9098447147348821E-6</v>
      </c>
      <c r="BB60">
        <f>AM59*(1-T59*p_Stroke - H59*rr_HF)*I59 + AN59*(1-T59*p_Stroke - H59*rr_HF)*I59 + BA59*(1-AC59*p_Stroke - H59*rr_HF*rr_DM) + BB59*(1-AC59*p_Stroke - H59*rr_HF*rr_DM)</f>
        <v>9.55637667697493E-6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1.0104329370659869E-7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5.5585818267846277E-7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-5.139558123311383E-7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0.94107039580715035</v>
      </c>
      <c r="BG60">
        <f t="shared" si="50"/>
        <v>0.94199999999999984</v>
      </c>
      <c r="BH60">
        <f>(0.9442 - 0.0007*$B60 - dis_BMI*($C60-21.75))*AD60</f>
        <v>2.817155225711865E-4</v>
      </c>
      <c r="BI60">
        <f>0.959*(0.9442 - 0.0007*$B60 - dis_BMI*($C60-21.75))*AE60</f>
        <v>2.4785250334714964E-5</v>
      </c>
      <c r="BJ60">
        <f>(0.943*(0.9442 - 0.0007*$B60 - dis_BMI*($C60-21.75)) - 0.19*0.5)*AF60</f>
        <v>4.485434586489642E-6</v>
      </c>
      <c r="BK60">
        <f>(0.943*(0.9442 - 0.0007*$B60 - dis_BMI*($C60-21.75)))*AG60</f>
        <v>-1.4498174023715651E-6</v>
      </c>
      <c r="BL60">
        <f>(0.955*(0.9442 - 0.0007*$B60 - dis_BMI*($C60-21.75)) - 0.15*0.5)*AH60</f>
        <v>3.2738717379167005E-6</v>
      </c>
      <c r="BM60">
        <f>(0.955*(0.9442 - 0.0007*$B60 - dis_BMI*($C60-21.75)))*AI60</f>
        <v>3.5030105084868607E-6</v>
      </c>
      <c r="BN60">
        <f>(0.955*0.943*(0.9442 - 0.0007*$B60 - dis_BMI*($C60-21.75)) - 0.19*0.5)*AJ60</f>
        <v>1.0292360810876899E-7</v>
      </c>
      <c r="BO60">
        <f>(0.955*0.943*(0.9442 - 0.0007*$B60 - dis_BMI*($C60-21.75)) - 0.15*0.5)*AK60</f>
        <v>3.8671460516188062E-8</v>
      </c>
      <c r="BP60">
        <f>(0.955*0.943*(0.9442 - 0.0007*$B60 - dis_BMI*($C60-21.75)))*AL60</f>
        <v>-1.0430156967458628E-7</v>
      </c>
      <c r="BQ60">
        <f>(0.93*(0.9442 - 0.0007*$B60 - dis_BMI*($C60-21.75)))*AM60</f>
        <v>2.4132269185742579E-6</v>
      </c>
      <c r="BR60">
        <f>(0.93*(0.9442 - 0.0007*$B60 - dis_BMI*($C60-21.75)))*AN60</f>
        <v>5.3728500915743868E-6</v>
      </c>
      <c r="BS60">
        <f>(0.93*0.943*(0.9442 - 0.0007*$B60 - dis_BMI*($C60-21.75)))*AO60</f>
        <v>2.5297582917690449E-8</v>
      </c>
      <c r="BT60">
        <f>(0.93*0.943*(0.9442 - 0.0007*$B60 - dis_BMI*($C60-21.75))-0.19*0.5)*AP60</f>
        <v>1.2381833984994819E-7</v>
      </c>
      <c r="BU60">
        <f>(0.93*0.943*(0.9442 - 0.0007*$B60 - dis_BMI*($C60-21.75)))*AQ60</f>
        <v>-1.1655079154450938E-7</v>
      </c>
      <c r="BV60">
        <f>0.962*(0.9442 - 0.0007*$B60 - dis_BMI*($C60-21.75))*AR60</f>
        <v>3.4942558985468603E-4</v>
      </c>
      <c r="BW60">
        <f>0.962*0.959*(0.9442 - 0.0007*$B60 - dis_BMI*($C60-21.75))*AS60</f>
        <v>3.8950166422418833E-5</v>
      </c>
      <c r="BX60">
        <f>0.962*(0.943*(0.9442 - 0.0007*$B60 - dis_BMI*($C60-21.75)) - 0.19*0.5)*AT60</f>
        <v>9.5410810771035835E-6</v>
      </c>
      <c r="BY60">
        <f>0.962*(0.943*(0.9442 - 0.0007*$B60 - dis_BMI*($C60-21.75)))*AU60</f>
        <v>-4.7728461685184477E-6</v>
      </c>
      <c r="BZ60">
        <f>0.962*(0.955*(0.9442 - 0.0007*$B60 - dis_BMI*($C60-21.75)) - 0.15*0.5)*AV60</f>
        <v>7.0327624844208844E-6</v>
      </c>
      <c r="CA60">
        <f>0.962*(0.955*(0.9442 - 0.0007*$B60 - dis_BMI*($C60-21.75)))*AW60</f>
        <v>5.0145539650397801E-6</v>
      </c>
      <c r="CB60">
        <f>0.962*(0.955*0.943*(0.9442 - 0.0007*$B60 - dis_BMI*($C60-21.75)) - 0.19*0.5)*AX60</f>
        <v>3.1520304465868606E-7</v>
      </c>
      <c r="CC60">
        <f>0.962*(0.955*0.943*(0.9442 - 0.0007*$B60 - dis_BMI*($C60-21.75)) - 0.15*0.5)*AY60</f>
        <v>1.093233396541935E-7</v>
      </c>
      <c r="CD60">
        <f>0.962*(0.955*0.943*(0.9442 - 0.0007*$B60 - dis_BMI*($C60-21.75)))*AZ60</f>
        <v>-3.5148632605350399E-7</v>
      </c>
      <c r="CE60">
        <f>0.962*(0.93*(0.9442 - 0.0007*$B60 - dis_BMI*($C60-21.75)))*BA60</f>
        <v>5.102869352744141E-6</v>
      </c>
      <c r="CF60">
        <f>0.962*(0.93*(0.9442 - 0.0007*$B60 - dis_BMI*($C60-21.75)))*BB60</f>
        <v>7.0573136852447033E-6</v>
      </c>
      <c r="CG60">
        <f>0.962*(0.93*0.943*(0.9442 - 0.0007*$B60 - dis_BMI*($C60-21.75)))*BC60</f>
        <v>7.0366402633305252E-8</v>
      </c>
      <c r="CH60">
        <f>0.962*(0.93*0.943*(0.9442 - 0.0007*$B60 - dis_BMI*($C60-21.75))-0.19*0.5)*BD60</f>
        <v>3.3629894985566131E-7</v>
      </c>
      <c r="CI60">
        <f>0.962*(0.93*0.943*(0.9442 - 0.0007*$B60 - dis_BMI*($C60-21.75)))*BE60</f>
        <v>-3.5791807946437283E-7</v>
      </c>
      <c r="CJ60">
        <f t="shared" si="51"/>
        <v>0</v>
      </c>
      <c r="CK60">
        <f t="shared" si="52"/>
        <v>7.4164248598116876E-4</v>
      </c>
      <c r="CL60">
        <f>CK60/(1+r_)^A60</f>
        <v>1.3755386343357694E-4</v>
      </c>
      <c r="CM60">
        <f>AD60*c_LIR_2</f>
        <v>4.01356183081508</v>
      </c>
      <c r="CN60">
        <f>AE60*(c_Other+c_LIR_2)</f>
        <v>0.81528764860512848</v>
      </c>
      <c r="CO60">
        <f>AF60*(c_Stroke1+c_Stroke2+c_LIR_2)</f>
        <v>0.23350171727490299</v>
      </c>
      <c r="CP60">
        <f>AG60*(c_Stroke2 + c_LIR_2)</f>
        <v>-3.4010596395367992E-2</v>
      </c>
      <c r="CQ60">
        <f>AH60*(c_MI1+c_MI2 + c_LIR_2)</f>
        <v>0.18777144450328928</v>
      </c>
      <c r="CR60">
        <f>AI60*(c_MI2+c_LIR_2)</f>
        <v>6.6109715828367277E-2</v>
      </c>
      <c r="CS60">
        <f>AJ60*(c_Stroke1+c_Stroke2+c_MI2+c_LIR_2)</f>
        <v>6.1422372322767265E-3</v>
      </c>
      <c r="CT60">
        <f>AK60*(c_Stroke2+c_MI1+c_MI2+c_LIR_2)</f>
        <v>2.7431829421886841E-3</v>
      </c>
      <c r="CU60">
        <f>AL60*(c_Stroke2+c_MI2+c_LIR_2)</f>
        <v>-2.9994000615906993E-3</v>
      </c>
      <c r="CV60">
        <f>AM60*(c_HF1+c_LIR_2)</f>
        <v>0.12194018537084357</v>
      </c>
      <c r="CW60">
        <f>AN60*(c_HF2+c_LIR_2)</f>
        <v>0.19152659429766439</v>
      </c>
      <c r="CX60">
        <f>AO60*(c_Stroke2+c_HF1+c_LIR_2)</f>
        <v>1.5826998684150266E-3</v>
      </c>
      <c r="CY60">
        <f>AP60*(c_Stroke1+c_Stroke2+c_HF2+c_LIR_2)</f>
        <v>1.0076444284375449E-2</v>
      </c>
      <c r="CZ60">
        <f>AQ60*(c_Stroke2+c_HF2+c_LIR_2)</f>
        <v>-5.4523474674682574E-3</v>
      </c>
      <c r="DA60">
        <f>AR60*(c_DM+c_LIR_2)</f>
        <v>10.202311841623656</v>
      </c>
      <c r="DB60">
        <f>AS60*(c_Other+c_DM+c_LIR_2)</f>
        <v>1.9162035569213123</v>
      </c>
      <c r="DC60">
        <f>AT60*(c_Stroke1+c_Stroke2+c_DM+c_LIR_2)</f>
        <v>0.68211570281277178</v>
      </c>
      <c r="DD60">
        <f>AU60*(c_Stroke2+c_DM+c_LIR_2)</f>
        <v>-0.18920803887893584</v>
      </c>
      <c r="DE60">
        <f>AV60*(c_MI1+c_MI2+c_DM+c_LIR_2)</f>
        <v>0.53638817659711546</v>
      </c>
      <c r="DF60">
        <f>AW60*(c_MI2+c_DM+c_LIR_2)</f>
        <v>0.17392199083543311</v>
      </c>
      <c r="DG60">
        <f>AX60*(c_Stroke1+c_Stroke2+c_MI2+c_DM+c_LIR_2)</f>
        <v>2.5327262056783092E-2</v>
      </c>
      <c r="DH60">
        <f>AY60*(c_Stroke2+c_MI1+c_MI2+c_DM+c_LIR_2)</f>
        <v>1.0003823918312891E-2</v>
      </c>
      <c r="DI60">
        <f>AZ60*(c_Stroke2+c_MI2+c_DM+c_LIR_2)</f>
        <v>-1.6122429292490543E-2</v>
      </c>
      <c r="DJ60">
        <f>BA60*(c_HF1+c_DM+c_LIR_2)</f>
        <v>0.34697785235041212</v>
      </c>
      <c r="DK60">
        <f>BB60*(c_HF2+c_DM+c_LIR_2)</f>
        <v>0.37069185129985754</v>
      </c>
      <c r="DL60">
        <f>BC60*(c_Stroke2+c_HF1+c_DM+c_LIR_2)</f>
        <v>5.7306704025697442E-3</v>
      </c>
      <c r="DM60">
        <f>BD60*(c_Stroke1+c_Stroke2+c_HF2+c_DM+c_LIR_2)</f>
        <v>3.4800057384767838E-2</v>
      </c>
      <c r="DN60">
        <f>BE60*(c_Stroke2+c_HF2+c_DM+c_LIR_2)</f>
        <v>-2.3277058740477252E-2</v>
      </c>
      <c r="DO60">
        <f t="shared" si="53"/>
        <v>0</v>
      </c>
      <c r="DP60">
        <f t="shared" si="54"/>
        <v>19.683646616389197</v>
      </c>
      <c r="DQ60">
        <f>DP60/(1+r_)^A60</f>
        <v>3.6507639323866043</v>
      </c>
    </row>
    <row r="61" spans="1:121" x14ac:dyDescent="0.3">
      <c r="A61">
        <v>58</v>
      </c>
      <c r="B61">
        <v>103</v>
      </c>
      <c r="C61">
        <f t="shared" si="39"/>
        <v>36.1</v>
      </c>
      <c r="D61">
        <f t="shared" si="1"/>
        <v>125</v>
      </c>
      <c r="E61">
        <f t="shared" si="41"/>
        <v>5.5</v>
      </c>
      <c r="F61">
        <v>0.38614999999999999</v>
      </c>
      <c r="G61">
        <v>0.42459000000000002</v>
      </c>
      <c r="H61">
        <f t="shared" si="42"/>
        <v>0.39383800000000002</v>
      </c>
      <c r="I61">
        <f t="shared" si="43"/>
        <v>3.2286349135090861E-2</v>
      </c>
      <c r="J61">
        <f t="shared" si="21"/>
        <v>0.54475060361386474</v>
      </c>
      <c r="K61">
        <f t="shared" si="22"/>
        <v>0.66781409723344953</v>
      </c>
      <c r="L61">
        <f t="shared" si="23"/>
        <v>0.31100566568792132</v>
      </c>
      <c r="M61">
        <f t="shared" si="24"/>
        <v>0.40649769212830122</v>
      </c>
      <c r="N61">
        <f t="shared" si="25"/>
        <v>0.90741104217683199</v>
      </c>
      <c r="O61">
        <f t="shared" si="26"/>
        <v>0.96534550359966509</v>
      </c>
      <c r="P61">
        <f t="shared" si="27"/>
        <v>0.68978648188936864</v>
      </c>
      <c r="Q61">
        <f t="shared" si="28"/>
        <v>0.80869680320440618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4.4654116134046899E-2</v>
      </c>
      <c r="U61">
        <f t="shared" si="29"/>
        <v>0.81959636379827194</v>
      </c>
      <c r="V61">
        <f t="shared" si="30"/>
        <v>0.90913891267242686</v>
      </c>
      <c r="W61">
        <f t="shared" si="31"/>
        <v>0.55546354888378857</v>
      </c>
      <c r="X61">
        <f t="shared" si="32"/>
        <v>0.67870992104807271</v>
      </c>
      <c r="Y61">
        <f t="shared" si="33"/>
        <v>0.98256417158625964</v>
      </c>
      <c r="Z61">
        <f t="shared" si="34"/>
        <v>0.99672525222270714</v>
      </c>
      <c r="AA61">
        <f t="shared" si="35"/>
        <v>0.86354701161340286</v>
      </c>
      <c r="AB61">
        <f t="shared" si="36"/>
        <v>0.94005670190270574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6.6801608120812705E-2</v>
      </c>
      <c r="AD61">
        <f t="shared" si="44"/>
        <v>1.9286916466992911E-4</v>
      </c>
      <c r="AE61">
        <f t="shared" si="45"/>
        <v>1.6248769793156476E-5</v>
      </c>
      <c r="AF61">
        <f t="shared" si="46"/>
        <v>3.8504414845207674E-6</v>
      </c>
      <c r="AG61">
        <f t="shared" si="47"/>
        <v>-1.3395274468920552E-6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2.6920469803731438E-6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2.1664246276486331E-6</v>
      </c>
      <c r="AJ61">
        <f t="shared" si="48"/>
        <v>8.9326856374969836E-8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3.2202533264658747E-8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-8.2282413133000754E-8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1.8058948093901276E-6</v>
      </c>
      <c r="AN61">
        <f t="shared" si="49"/>
        <v>3.0682786718373422E-6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1.9142991021919295E-8</v>
      </c>
      <c r="AP61">
        <f>AM60*T60*p_Stroke*p_Stroke_rec*(1-I60) + AN60*T60*p_Stroke*p_Stroke_rec*(1-I60) + AO60*(p_recur_Stroke*p_Stroke_rec)*(1-I60) + AP60*(p_recur_Stroke*p_Stroke_rec)*(1-I60) + AQ60*(p_recur_Stroke*p_Stroke_rec)*(1-I60)</f>
        <v>9.8708456371590415E-8</v>
      </c>
      <c r="AQ61">
        <f>AO60*(1-p_recur_Stroke-H60*rr_Stroke*rr_HF)*(1-I60) + AP60*(1-p_recur_Stroke-H60*rr_Stroke*rr_HF)*(1-I60) + AQ60*(1-p_recur_Stroke-H60*rr_Stroke*rr_HF)*(1-I60)</f>
        <v>-8.4980180831276919E-8</v>
      </c>
      <c r="AR61">
        <f>AR60*(1-AC60-H60*rr_DM) + AD60*(1-T60-H60)*I60</f>
        <v>2.2911732837034904E-4</v>
      </c>
      <c r="AS61">
        <f>AR60*AC60*p_Other + AD60*T60*p_Other*I60 + AE60*(1-T60*p_Stroke-T60*p_MI-H60*rr_Other)*I60 + AS60*(1-AC60*p_Stroke-AC60*p_MI-H60*rr_Other*rr_DM)</f>
        <v>2.4551214299617025E-5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7.8851953682326101E-6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-3.902885650324316E-6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5.5534971163939571E-6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2.6780687517773455E-6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2.5870744832151007E-7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8.6992326168387867E-8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-2.584312532954757E-7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3.6549732444270669E-6</v>
      </c>
      <c r="BB61">
        <f>AM60*(1-T60*p_Stroke - H60*rr_HF)*I60 + AN60*(1-T60*p_Stroke - H60*rr_HF)*I60 + BA60*(1-AC60*p_Stroke - H60*rr_HF*rr_DM) + BB60*(1-AC60*p_Stroke - H60*rr_HF*rr_DM)</f>
        <v>3.4932605868717884E-6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5.0664564085995381E-8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2.4898380761546842E-7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-2.2553539747572745E-7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0.94150537435458403</v>
      </c>
      <c r="BG61">
        <f t="shared" si="50"/>
        <v>0.94199999999999984</v>
      </c>
      <c r="BH61">
        <f>(0.9442 - 0.0007*$B61 - dis_BMI*($C61-21.75))*AD61</f>
        <v>1.5906787921570069E-4</v>
      </c>
      <c r="BI61">
        <f>0.959*(0.9442 - 0.0007*$B61 - dis_BMI*($C61-21.75))*AE61</f>
        <v>1.2851646885691507E-5</v>
      </c>
      <c r="BJ61">
        <f>(0.943*(0.9442 - 0.0007*$B61 - dis_BMI*($C61-21.75)) - 0.19*0.5)*AF61</f>
        <v>2.6288293764789958E-6</v>
      </c>
      <c r="BK61">
        <f>(0.943*(0.9442 - 0.0007*$B61 - dis_BMI*($C61-21.75)))*AG61</f>
        <v>-1.0417967560283297E-6</v>
      </c>
      <c r="BL61">
        <f>(0.955*(0.9442 - 0.0007*$B61 - dis_BMI*($C61-21.75)) - 0.15*0.5)*AH61</f>
        <v>1.91843741039261E-6</v>
      </c>
      <c r="BM61">
        <f>(0.955*(0.9442 - 0.0007*$B61 - dis_BMI*($C61-21.75)))*AI61</f>
        <v>1.7063442249512188E-6</v>
      </c>
      <c r="BN61">
        <f>(0.955*0.943*(0.9442 - 0.0007*$B61 - dis_BMI*($C61-21.75)) - 0.19*0.5)*AJ61</f>
        <v>5.7860263600415868E-8</v>
      </c>
      <c r="BO61">
        <f>(0.955*0.943*(0.9442 - 0.0007*$B61 - dis_BMI*($C61-21.75)) - 0.15*0.5)*AK61</f>
        <v>2.1502806239013486E-8</v>
      </c>
      <c r="BP61">
        <f>(0.955*0.943*(0.9442 - 0.0007*$B61 - dis_BMI*($C61-21.75)))*AL61</f>
        <v>-6.1114149972421986E-8</v>
      </c>
      <c r="BQ61">
        <f>(0.93*(0.9442 - 0.0007*$B61 - dis_BMI*($C61-21.75)))*AM61</f>
        <v>1.3851445245505287E-6</v>
      </c>
      <c r="BR61">
        <f>(0.93*(0.9442 - 0.0007*$B61 - dis_BMI*($C61-21.75)))*AN61</f>
        <v>2.3534091686801747E-6</v>
      </c>
      <c r="BS61">
        <f>(0.93*0.943*(0.9442 - 0.0007*$B61 - dis_BMI*($C61-21.75)))*AO61</f>
        <v>1.384599365547567E-8</v>
      </c>
      <c r="BT61">
        <f>(0.93*0.943*(0.9442 - 0.0007*$B61 - dis_BMI*($C61-21.75))-0.19*0.5)*AP61</f>
        <v>6.2017843782254719E-8</v>
      </c>
      <c r="BU61">
        <f>(0.93*0.943*(0.9442 - 0.0007*$B61 - dis_BMI*($C61-21.75)))*AQ61</f>
        <v>-6.1465579923417039E-8</v>
      </c>
      <c r="BV61">
        <f>0.962*(0.9442 - 0.0007*$B61 - dis_BMI*($C61-21.75))*AR61</f>
        <v>1.8178276288930499E-4</v>
      </c>
      <c r="BW61">
        <f>0.962*0.959*(0.9442 - 0.0007*$B61 - dis_BMI*($C61-21.75))*AS61</f>
        <v>1.8680407579120252E-5</v>
      </c>
      <c r="BX61">
        <f>0.962*(0.943*(0.9442 - 0.0007*$B61 - dis_BMI*($C61-21.75)) - 0.19*0.5)*AT61</f>
        <v>5.1789223757760957E-6</v>
      </c>
      <c r="BY61">
        <f>0.962*(0.943*(0.9442 - 0.0007*$B61 - dis_BMI*($C61-21.75)))*AU61</f>
        <v>-2.9200634160694547E-6</v>
      </c>
      <c r="BZ61">
        <f>0.962*(0.955*(0.9442 - 0.0007*$B61 - dis_BMI*($C61-21.75)) - 0.15*0.5)*AV61</f>
        <v>3.8072081614884382E-6</v>
      </c>
      <c r="CA61">
        <f>0.962*(0.955*(0.9442 - 0.0007*$B61 - dis_BMI*($C61-21.75)))*AW61</f>
        <v>2.0291766539514754E-6</v>
      </c>
      <c r="CB61">
        <f>0.962*(0.955*0.943*(0.9442 - 0.0007*$B61 - dis_BMI*($C61-21.75)) - 0.19*0.5)*AX61</f>
        <v>1.6120643058259651E-7</v>
      </c>
      <c r="CC61">
        <f>0.962*(0.955*0.943*(0.9442 - 0.0007*$B61 - dis_BMI*($C61-21.75)) - 0.15*0.5)*AY61</f>
        <v>5.5880607652919062E-8</v>
      </c>
      <c r="CD61">
        <f>0.962*(0.955*0.943*(0.9442 - 0.0007*$B61 - dis_BMI*($C61-21.75)))*AZ61</f>
        <v>-1.8465235948763762E-7</v>
      </c>
      <c r="CE61">
        <f>0.962*(0.93*(0.9442 - 0.0007*$B61 - dis_BMI*($C61-21.75)))*BA61</f>
        <v>2.6968818099762448E-6</v>
      </c>
      <c r="CF61">
        <f>0.962*(0.93*(0.9442 - 0.0007*$B61 - dis_BMI*($C61-21.75)))*BB61</f>
        <v>2.5775594797050937E-6</v>
      </c>
      <c r="CG61">
        <f>0.962*(0.93*0.943*(0.9442 - 0.0007*$B61 - dis_BMI*($C61-21.75)))*BC61</f>
        <v>3.5252807947802656E-8</v>
      </c>
      <c r="CH61">
        <f>0.962*(0.93*0.943*(0.9442 - 0.0007*$B61 - dis_BMI*($C61-21.75))-0.19*0.5)*BD61</f>
        <v>1.5049028982335682E-7</v>
      </c>
      <c r="CI61">
        <f>0.962*(0.93*0.943*(0.9442 - 0.0007*$B61 - dis_BMI*($C61-21.75)))*BE61</f>
        <v>-1.5692932912928964E-7</v>
      </c>
      <c r="CJ61">
        <f t="shared" si="51"/>
        <v>0</v>
      </c>
      <c r="CK61">
        <f t="shared" si="52"/>
        <v>3.9479664520844152E-4</v>
      </c>
      <c r="CL61">
        <f>CK61/(1+r_)^A61</f>
        <v>7.1090966839572174E-5</v>
      </c>
      <c r="CM61">
        <f>AD61*c_LIR_2</f>
        <v>2.2681413765183662</v>
      </c>
      <c r="CN61">
        <f>AE61*(c_Other+c_LIR_2)</f>
        <v>0.42310171664400148</v>
      </c>
      <c r="CO61">
        <f>AF61*(c_Stroke1+c_Stroke2+c_LIR_2)</f>
        <v>0.13698330625331082</v>
      </c>
      <c r="CP61">
        <f>AG61*(c_Stroke2 + c_LIR_2)</f>
        <v>-2.4459771180248929E-2</v>
      </c>
      <c r="CQ61">
        <f>AH61*(c_MI1+c_MI2 + c_LIR_2)</f>
        <v>0.11013433401404568</v>
      </c>
      <c r="CR61">
        <f>AI61*(c_MI2+c_LIR_2)</f>
        <v>3.2229899185528717E-2</v>
      </c>
      <c r="CS61">
        <f>AJ61*(c_Stroke1+c_Stroke2+c_MI2+c_LIR_2)</f>
        <v>3.4563240537167079E-3</v>
      </c>
      <c r="CT61">
        <f>AK61*(c_Stroke2+c_MI1+c_MI2+c_LIR_2)</f>
        <v>1.5267543046107359E-3</v>
      </c>
      <c r="CU61">
        <f>AL61*(c_Stroke2+c_MI2+c_LIR_2)</f>
        <v>-1.7589511455441572E-3</v>
      </c>
      <c r="CV61">
        <f>AM61*(c_HF1+c_LIR_2)</f>
        <v>7.0050659656243047E-2</v>
      </c>
      <c r="CW61">
        <f>AN61*(c_HF2+c_LIR_2)</f>
        <v>8.3963445854828872E-2</v>
      </c>
      <c r="CX61">
        <f>AO61*(c_Stroke2+c_HF1+c_LIR_2)</f>
        <v>8.6698606338272489E-4</v>
      </c>
      <c r="CY61">
        <f>AP61*(c_Stroke1+c_Stroke2+c_HF2+c_LIR_2)</f>
        <v>5.0519975055543691E-3</v>
      </c>
      <c r="CZ61">
        <f>AQ61*(c_Stroke2+c_HF2+c_LIR_2)</f>
        <v>-2.8778538238511927E-3</v>
      </c>
      <c r="DA61">
        <f>AR61*(c_DM+c_LIR_2)</f>
        <v>5.3120852582665421</v>
      </c>
      <c r="DB61">
        <f>AS61*(c_Other+c_DM+c_LIR_2)</f>
        <v>0.91978669252085221</v>
      </c>
      <c r="DC61">
        <f>AT61*(c_Stroke1+c_Stroke2+c_DM+c_LIR_2)</f>
        <v>0.37061206750230091</v>
      </c>
      <c r="DD61">
        <f>AU61*(c_Stroke2+c_DM+c_LIR_2)</f>
        <v>-0.11585716052987732</v>
      </c>
      <c r="DE61">
        <f>AV61*(c_MI1+c_MI2+c_DM+c_LIR_2)</f>
        <v>0.29064782508359416</v>
      </c>
      <c r="DF61">
        <f>AW61*(c_MI2+c_DM+c_LIR_2)</f>
        <v>7.0438564309247748E-2</v>
      </c>
      <c r="DG61">
        <f>AX61*(c_Stroke1+c_Stroke2+c_MI2+c_DM+c_LIR_2)</f>
        <v>1.2965899894977442E-2</v>
      </c>
      <c r="DH61">
        <f>AY61*(c_Stroke2+c_MI1+c_MI2+c_DM+c_LIR_2)</f>
        <v>5.1182805024432686E-3</v>
      </c>
      <c r="DI61">
        <f>AZ61*(c_Stroke2+c_MI2+c_DM+c_LIR_2)</f>
        <v>-8.4770619705981948E-3</v>
      </c>
      <c r="DJ61">
        <f>BA61*(c_HF1+c_DM+c_LIR_2)</f>
        <v>0.18353448146890516</v>
      </c>
      <c r="DK61">
        <f>BB61*(c_HF2+c_DM+c_LIR_2)</f>
        <v>0.13550357816475667</v>
      </c>
      <c r="DL61">
        <f>BC61*(c_Stroke2+c_HF1+c_DM+c_LIR_2)</f>
        <v>2.873440752137228E-3</v>
      </c>
      <c r="DM61">
        <f>BD61*(c_Stroke1+c_Stroke2+c_HF2+c_DM+c_LIR_2)</f>
        <v>1.5587880259574015E-2</v>
      </c>
      <c r="DN61">
        <f>BE61*(c_Stroke2+c_HF2+c_DM+c_LIR_2)</f>
        <v>-1.0214498151675697E-2</v>
      </c>
      <c r="DO61">
        <f t="shared" si="53"/>
        <v>0</v>
      </c>
      <c r="DP61">
        <f t="shared" si="54"/>
        <v>10.291015471977126</v>
      </c>
      <c r="DQ61">
        <f>DP61/(1+r_)^A61</f>
        <v>1.853101460063286</v>
      </c>
    </row>
    <row r="62" spans="1:121" x14ac:dyDescent="0.3">
      <c r="A62">
        <v>59</v>
      </c>
      <c r="B62">
        <v>104</v>
      </c>
      <c r="C62">
        <f t="shared" si="39"/>
        <v>36.1</v>
      </c>
      <c r="D62">
        <f t="shared" si="1"/>
        <v>125</v>
      </c>
      <c r="E62">
        <f t="shared" si="41"/>
        <v>5.5</v>
      </c>
      <c r="F62">
        <v>0.40767999999999999</v>
      </c>
      <c r="G62">
        <v>0.44438</v>
      </c>
      <c r="H62">
        <f t="shared" si="42"/>
        <v>0.41501999999999994</v>
      </c>
      <c r="I62">
        <f t="shared" si="43"/>
        <v>3.2286349135090861E-2</v>
      </c>
      <c r="J62">
        <f t="shared" si="21"/>
        <v>0.55419457211957379</v>
      </c>
      <c r="K62">
        <f t="shared" si="22"/>
        <v>0.67742471698472739</v>
      </c>
      <c r="L62">
        <f t="shared" si="23"/>
        <v>0.31780926802349141</v>
      </c>
      <c r="M62">
        <f t="shared" si="24"/>
        <v>0.41468921810233716</v>
      </c>
      <c r="N62">
        <f t="shared" si="25"/>
        <v>0.91389989657860593</v>
      </c>
      <c r="O62">
        <f t="shared" si="26"/>
        <v>0.96872682405816501</v>
      </c>
      <c r="P62">
        <f t="shared" si="27"/>
        <v>0.7006778400589122</v>
      </c>
      <c r="Q62">
        <f t="shared" si="28"/>
        <v>0.81811787175753159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4.5420929676027164E-2</v>
      </c>
      <c r="U62">
        <f t="shared" si="29"/>
        <v>0.82764173331157331</v>
      </c>
      <c r="V62">
        <f t="shared" si="30"/>
        <v>0.9147626857097888</v>
      </c>
      <c r="W62">
        <f t="shared" si="31"/>
        <v>0.5649613457637519</v>
      </c>
      <c r="X62">
        <f t="shared" si="32"/>
        <v>0.68828237224480371</v>
      </c>
      <c r="Y62">
        <f t="shared" si="33"/>
        <v>0.98459200801671576</v>
      </c>
      <c r="Z62">
        <f t="shared" si="34"/>
        <v>0.99725017385967196</v>
      </c>
      <c r="AA62">
        <f t="shared" si="35"/>
        <v>0.87159845345837272</v>
      </c>
      <c r="AB62">
        <f t="shared" si="36"/>
        <v>0.94499278654274566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6.7604100228614655E-2</v>
      </c>
      <c r="AD62">
        <f t="shared" si="44"/>
        <v>1.0480102379662711E-4</v>
      </c>
      <c r="AE62">
        <f t="shared" si="45"/>
        <v>8.225812543989373E-6</v>
      </c>
      <c r="AF62">
        <f t="shared" si="46"/>
        <v>2.1803757007851575E-6</v>
      </c>
      <c r="AG62">
        <f t="shared" si="47"/>
        <v>-8.8090862800941389E-7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1.5233435373304955E-6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1.0031612810296305E-6</v>
      </c>
      <c r="AJ62">
        <f t="shared" si="48"/>
        <v>4.8617591300014588E-8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1.7398542615397007E-8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-4.6403247496969283E-8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1.0022883572977269E-6</v>
      </c>
      <c r="AN62">
        <f t="shared" si="49"/>
        <v>1.2874252645816439E-6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1.0189934985255959E-8</v>
      </c>
      <c r="AP62">
        <f>AM61*T61*p_Stroke*p_Stroke_rec*(1-I61) + AN61*T61*p_Stroke*p_Stroke_rec*(1-I61) + AO61*(p_recur_Stroke*p_Stroke_rec)*(1-I61) + AP61*(p_recur_Stroke*p_Stroke_rec)*(1-I61) + AQ61*(p_recur_Stroke*p_Stroke_rec)*(1-I61)</f>
        <v>4.8080012484135751E-8</v>
      </c>
      <c r="AQ62">
        <f>AO61*(1-p_recur_Stroke-H61*rr_Stroke*rr_HF)*(1-I61) + AP61*(1-p_recur_Stroke-H61*rr_Stroke*rr_HF)*(1-I61) + AQ61*(1-p_recur_Stroke-H61*rr_Stroke*rr_HF)*(1-I61)</f>
        <v>-4.3374093184704397E-8</v>
      </c>
      <c r="AR62">
        <f>AR61*(1-AC61-H61*rr_DM) + AD61*(1-T61-H61)*I61</f>
        <v>1.1353807818071452E-4</v>
      </c>
      <c r="AS62">
        <f>AR61*AC61*p_Other + AD61*T61*p_Other*I61 + AE61*(1-T61*p_Stroke-T61*p_MI-H61*rr_Other)*I61 + AS61*(1-AC61*p_Stroke-AC61*p_MI-H61*rr_Other*rr_DM)</f>
        <v>1.1378398029169603E-5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4.0980527641652239E-6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-2.2288845357875453E-6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2.8791751411410643E-6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9.7953920516072272E-7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1.2761149627521531E-7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4.2955280410766914E-8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-1.3366743007535925E-7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1.8545388828688517E-6</v>
      </c>
      <c r="BB62">
        <f>AM61*(1-T61*p_Stroke - H61*rr_HF)*I61 + AN61*(1-T61*p_Stroke - H61*rr_HF)*I61 + BA61*(1-AC61*p_Stroke - H61*rr_HF*rr_DM) + BB61*(1-AC61*p_Stroke - H61*rr_HF*rr_DM)</f>
        <v>1.1890486617937903E-6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2.4739317976551874E-8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1.1082805138394702E-7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-1.2744422257505739E-7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0.94174709000058288</v>
      </c>
      <c r="BG62">
        <f t="shared" si="50"/>
        <v>0.94199999999999984</v>
      </c>
      <c r="BH62">
        <f>(0.9442 - 0.0007*$B62 - dis_BMI*($C62-21.75))*AD62</f>
        <v>8.636075965449158E-5</v>
      </c>
      <c r="BI62">
        <f>0.959*(0.9442 - 0.0007*$B62 - dis_BMI*($C62-21.75))*AE62</f>
        <v>6.5005236702014417E-6</v>
      </c>
      <c r="BJ62">
        <f>(0.943*(0.9442 - 0.0007*$B62 - dis_BMI*($C62-21.75)) - 0.19*0.5)*AF62</f>
        <v>1.4871785242007654E-6</v>
      </c>
      <c r="BK62">
        <f>(0.943*(0.9442 - 0.0007*$B62 - dis_BMI*($C62-21.75)))*AG62</f>
        <v>-6.8453157439704039E-7</v>
      </c>
      <c r="BL62">
        <f>(0.955*(0.9442 - 0.0007*$B62 - dis_BMI*($C62-21.75)) - 0.15*0.5)*AH62</f>
        <v>1.0845641967848433E-6</v>
      </c>
      <c r="BM62">
        <f>(0.955*(0.9442 - 0.0007*$B62 - dis_BMI*($C62-21.75)))*AI62</f>
        <v>7.8945078612388906E-7</v>
      </c>
      <c r="BN62">
        <f>(0.955*0.943*(0.9442 - 0.0007*$B62 - dis_BMI*($C62-21.75)) - 0.19*0.5)*AJ62</f>
        <v>3.1460739188944978E-8</v>
      </c>
      <c r="BO62">
        <f>(0.955*0.943*(0.9442 - 0.0007*$B62 - dis_BMI*($C62-21.75)) - 0.15*0.5)*AK62</f>
        <v>1.1606673656257539E-8</v>
      </c>
      <c r="BP62">
        <f>(0.955*0.943*(0.9442 - 0.0007*$B62 - dis_BMI*($C62-21.75)))*AL62</f>
        <v>-3.4436132350983302E-8</v>
      </c>
      <c r="BQ62">
        <f>(0.93*(0.9442 - 0.0007*$B62 - dis_BMI*($C62-21.75)))*AM62</f>
        <v>7.6811555973214702E-7</v>
      </c>
      <c r="BR62">
        <f>(0.93*(0.9442 - 0.0007*$B62 - dis_BMI*($C62-21.75)))*AN62</f>
        <v>9.8663360750152805E-7</v>
      </c>
      <c r="BS62">
        <f>(0.93*0.943*(0.9442 - 0.0007*$B62 - dis_BMI*($C62-21.75)))*AO62</f>
        <v>7.3640543133596929E-9</v>
      </c>
      <c r="BT62">
        <f>(0.93*0.943*(0.9442 - 0.0007*$B62 - dis_BMI*($C62-21.75))-0.19*0.5)*AP62</f>
        <v>3.0178824952396651E-8</v>
      </c>
      <c r="BU62">
        <f>(0.93*0.943*(0.9442 - 0.0007*$B62 - dis_BMI*($C62-21.75)))*AQ62</f>
        <v>-3.1345556028281615E-8</v>
      </c>
      <c r="BV62">
        <f>0.962*(0.9442 - 0.0007*$B62 - dis_BMI*($C62-21.75))*AR62</f>
        <v>9.0005187180318665E-5</v>
      </c>
      <c r="BW62">
        <f>0.962*0.959*(0.9442 - 0.0007*$B62 - dis_BMI*($C62-21.75))*AS62</f>
        <v>8.6501916497373958E-6</v>
      </c>
      <c r="BX62">
        <f>0.962*(0.943*(0.9442 - 0.0007*$B62 - dis_BMI*($C62-21.75)) - 0.19*0.5)*AT62</f>
        <v>2.6889602968168921E-6</v>
      </c>
      <c r="BY62">
        <f>0.962*(0.943*(0.9442 - 0.0007*$B62 - dis_BMI*($C62-21.75)))*AU62</f>
        <v>-1.6661928420569046E-6</v>
      </c>
      <c r="BZ62">
        <f>0.962*(0.955*(0.9442 - 0.0007*$B62 - dis_BMI*($C62-21.75)) - 0.15*0.5)*AV62</f>
        <v>1.9719711872695891E-6</v>
      </c>
      <c r="CA62">
        <f>0.962*(0.955*(0.9442 - 0.0007*$B62 - dis_BMI*($C62-21.75)))*AW62</f>
        <v>7.4156836571556585E-7</v>
      </c>
      <c r="CB62">
        <f>0.962*(0.955*0.943*(0.9442 - 0.0007*$B62 - dis_BMI*($C62-21.75)) - 0.19*0.5)*AX62</f>
        <v>7.944020512910605E-8</v>
      </c>
      <c r="CC62">
        <f>0.962*(0.955*0.943*(0.9442 - 0.0007*$B62 - dis_BMI*($C62-21.75)) - 0.15*0.5)*AY62</f>
        <v>2.7566811262559829E-8</v>
      </c>
      <c r="CD62">
        <f>0.962*(0.955*0.943*(0.9442 - 0.0007*$B62 - dis_BMI*($C62-21.75)))*AZ62</f>
        <v>-9.5425987577327072E-8</v>
      </c>
      <c r="CE62">
        <f>0.962*(0.93*(0.9442 - 0.0007*$B62 - dis_BMI*($C62-21.75)))*BA62</f>
        <v>1.3672404309037589E-6</v>
      </c>
      <c r="CF62">
        <f>0.962*(0.93*(0.9442 - 0.0007*$B62 - dis_BMI*($C62-21.75)))*BB62</f>
        <v>8.7661435396900567E-7</v>
      </c>
      <c r="CG62">
        <f>0.962*(0.93*0.943*(0.9442 - 0.0007*$B62 - dis_BMI*($C62-21.75)))*BC62</f>
        <v>1.7199204668205151E-8</v>
      </c>
      <c r="CH62">
        <f>0.962*(0.93*0.943*(0.9442 - 0.0007*$B62 - dis_BMI*($C62-21.75))-0.19*0.5)*BD62</f>
        <v>6.692101566772303E-8</v>
      </c>
      <c r="CI62">
        <f>0.962*(0.93*0.943*(0.9442 - 0.0007*$B62 - dis_BMI*($C62-21.75)))*BE62</f>
        <v>-8.8601442850051127E-8</v>
      </c>
      <c r="CJ62">
        <f t="shared" si="51"/>
        <v>0</v>
      </c>
      <c r="CK62">
        <f t="shared" si="52"/>
        <v>2.0195016345734499E-4</v>
      </c>
      <c r="CL62">
        <f>CK62/(1+r_)^A62</f>
        <v>3.5305954031123878E-5</v>
      </c>
      <c r="CM62">
        <f>AD62*c_LIR_2</f>
        <v>1.2324600398483347</v>
      </c>
      <c r="CN62">
        <f>AE62*(c_Other+c_LIR_2)</f>
        <v>0.21419193283293927</v>
      </c>
      <c r="CO62">
        <f>AF62*(c_Stroke1+c_Stroke2+c_LIR_2)</f>
        <v>7.7569045931132757E-2</v>
      </c>
      <c r="CP62">
        <f>AG62*(c_Stroke2 + c_LIR_2)</f>
        <v>-1.6085391547451897E-2</v>
      </c>
      <c r="CQ62">
        <f>AH62*(c_MI1+c_MI2 + c_LIR_2)</f>
        <v>6.2321507455727898E-2</v>
      </c>
      <c r="CR62">
        <f>AI62*(c_MI2+c_LIR_2)</f>
        <v>1.4924030377877814E-2</v>
      </c>
      <c r="CS62">
        <f>AJ62*(c_Stroke1+c_Stroke2+c_MI2+c_LIR_2)</f>
        <v>1.8811604601714645E-3</v>
      </c>
      <c r="CT62">
        <f>AK62*(c_Stroke2+c_MI1+c_MI2+c_LIR_2)</f>
        <v>8.2488230393858749E-4</v>
      </c>
      <c r="CU62">
        <f>AL62*(c_Stroke2+c_MI2+c_LIR_2)</f>
        <v>-9.9196222174271239E-4</v>
      </c>
      <c r="CV62">
        <f>AM62*(c_HF1+c_LIR_2)</f>
        <v>3.8878765379578829E-2</v>
      </c>
      <c r="CW62">
        <f>AN62*(c_HF2+c_LIR_2)</f>
        <v>3.5230392365276683E-2</v>
      </c>
      <c r="CX62">
        <f>AO62*(c_Stroke2+c_HF1+c_LIR_2)</f>
        <v>4.6150215548224234E-4</v>
      </c>
      <c r="CY62">
        <f>AP62*(c_Stroke1+c_Stroke2+c_HF2+c_LIR_2)</f>
        <v>2.4607831189505519E-3</v>
      </c>
      <c r="CZ62">
        <f>AQ62*(c_Stroke2+c_HF2+c_LIR_2)</f>
        <v>-1.4688636657000144E-3</v>
      </c>
      <c r="DA62">
        <f>AR62*(c_DM+c_LIR_2)</f>
        <v>2.6323803426198662</v>
      </c>
      <c r="DB62">
        <f>AS62*(c_Other+c_DM+c_LIR_2)</f>
        <v>0.42628030376481002</v>
      </c>
      <c r="DC62">
        <f>AT62*(c_Stroke1+c_Stroke2+c_DM+c_LIR_2)</f>
        <v>0.19261257796852968</v>
      </c>
      <c r="DD62">
        <f>AU62*(c_Stroke2+c_DM+c_LIR_2)</f>
        <v>-6.6164437444853286E-2</v>
      </c>
      <c r="DE62">
        <f>AV62*(c_MI1+c_MI2+c_DM+c_LIR_2)</f>
        <v>0.15068451018675874</v>
      </c>
      <c r="DF62">
        <f>AW62*(c_MI2+c_DM+c_LIR_2)</f>
        <v>2.5763840174137329E-2</v>
      </c>
      <c r="DG62">
        <f>AX62*(c_Stroke1+c_Stroke2+c_MI2+c_DM+c_LIR_2)</f>
        <v>6.3956329703212409E-3</v>
      </c>
      <c r="DH62">
        <f>AY62*(c_Stroke2+c_MI1+c_MI2+c_DM+c_LIR_2)</f>
        <v>2.5273168782478823E-3</v>
      </c>
      <c r="DI62">
        <f>AZ62*(c_Stroke2+c_MI2+c_DM+c_LIR_2)</f>
        <v>-4.3845590413319341E-3</v>
      </c>
      <c r="DJ62">
        <f>BA62*(c_HF1+c_DM+c_LIR_2)</f>
        <v>9.3125670003259386E-2</v>
      </c>
      <c r="DK62">
        <f>BB62*(c_HF2+c_DM+c_LIR_2)</f>
        <v>4.612319759098113E-2</v>
      </c>
      <c r="DL62">
        <f>BC62*(c_Stroke2+c_HF1+c_DM+c_LIR_2)</f>
        <v>1.4030904190401395E-3</v>
      </c>
      <c r="DM62">
        <f>BD62*(c_Stroke1+c_Stroke2+c_HF2+c_DM+c_LIR_2)</f>
        <v>6.9385009849433866E-3</v>
      </c>
      <c r="DN62">
        <f>BE62*(c_Stroke2+c_HF2+c_DM+c_LIR_2)</f>
        <v>-5.7719488404243489E-3</v>
      </c>
      <c r="DO62">
        <f t="shared" si="53"/>
        <v>0</v>
      </c>
      <c r="DP62">
        <f t="shared" si="54"/>
        <v>5.1705718630288002</v>
      </c>
      <c r="DQ62">
        <f>DP62/(1+r_)^A62</f>
        <v>0.9039456536477386</v>
      </c>
    </row>
    <row r="63" spans="1:121" x14ac:dyDescent="0.3">
      <c r="A63">
        <v>60</v>
      </c>
      <c r="B63">
        <v>105</v>
      </c>
      <c r="C63">
        <f t="shared" si="39"/>
        <v>36.1</v>
      </c>
      <c r="D63">
        <f t="shared" si="1"/>
        <v>125</v>
      </c>
      <c r="E63">
        <f t="shared" si="41"/>
        <v>5.5</v>
      </c>
      <c r="F63">
        <v>0.42858000000000002</v>
      </c>
      <c r="G63">
        <v>0.46333000000000002</v>
      </c>
      <c r="H63">
        <f t="shared" si="42"/>
        <v>0.43553000000000003</v>
      </c>
      <c r="I63">
        <f t="shared" si="43"/>
        <v>3.2286349135090861E-2</v>
      </c>
      <c r="J63">
        <f t="shared" si="21"/>
        <v>0.56359530819640169</v>
      </c>
      <c r="K63">
        <f t="shared" si="22"/>
        <v>0.68691070294154444</v>
      </c>
      <c r="L63">
        <f t="shared" si="23"/>
        <v>0.32465752792447666</v>
      </c>
      <c r="M63">
        <f t="shared" si="24"/>
        <v>0.42290153557199517</v>
      </c>
      <c r="N63">
        <f t="shared" si="25"/>
        <v>0.92005331313022332</v>
      </c>
      <c r="O63">
        <f t="shared" si="26"/>
        <v>0.97183762872358492</v>
      </c>
      <c r="P63">
        <f t="shared" si="27"/>
        <v>0.7113985993136529</v>
      </c>
      <c r="Q63">
        <f t="shared" si="28"/>
        <v>0.82725413247699797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4.6184464390155847E-2</v>
      </c>
      <c r="U63">
        <f t="shared" si="29"/>
        <v>0.8354536181828035</v>
      </c>
      <c r="V63">
        <f t="shared" si="30"/>
        <v>0.92012358483316115</v>
      </c>
      <c r="W63">
        <f t="shared" si="31"/>
        <v>0.5744096184917924</v>
      </c>
      <c r="X63">
        <f t="shared" si="32"/>
        <v>0.69772222488946789</v>
      </c>
      <c r="Y63">
        <f t="shared" si="33"/>
        <v>0.9864185113589774</v>
      </c>
      <c r="Z63">
        <f t="shared" si="34"/>
        <v>0.99769921878015544</v>
      </c>
      <c r="AA63">
        <f t="shared" si="35"/>
        <v>0.87932554867205726</v>
      </c>
      <c r="AB63">
        <f t="shared" si="36"/>
        <v>0.94961135971621213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6.8392615772898596E-2</v>
      </c>
      <c r="AD63">
        <f t="shared" si="44"/>
        <v>5.4720667997308358E-5</v>
      </c>
      <c r="AE63">
        <f t="shared" si="45"/>
        <v>4.0541433534683769E-6</v>
      </c>
      <c r="AF63">
        <f t="shared" si="46"/>
        <v>1.1900650771177296E-6</v>
      </c>
      <c r="AG63">
        <f t="shared" si="47"/>
        <v>-5.394792035573404E-7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8.307371777330939E-7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4.394072731008065E-7</v>
      </c>
      <c r="AJ63">
        <f t="shared" si="48"/>
        <v>2.5593775250393407E-8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9.1098828822317014E-9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-2.5177273671054466E-8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5.37063312014265E-7</v>
      </c>
      <c r="AN63">
        <f t="shared" si="49"/>
        <v>5.1897454007569256E-7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5.2629257201606663E-9</v>
      </c>
      <c r="AP63">
        <f>AM62*T62*p_Stroke*p_Stroke_rec*(1-I62) + AN62*T62*p_Stroke*p_Stroke_rec*(1-I62) + AO62*(p_recur_Stroke*p_Stroke_rec)*(1-I62) + AP62*(p_recur_Stroke*p_Stroke_rec)*(1-I62) + AQ62*(p_recur_Stroke*p_Stroke_rec)*(1-I62)</f>
        <v>2.2887489696531957E-8</v>
      </c>
      <c r="AQ63">
        <f>AO62*(1-p_recur_Stroke-H62*rr_Stroke*rr_HF)*(1-I62) + AP62*(1-p_recur_Stroke-H62*rr_Stroke*rr_HF)*(1-I62) + AQ62*(1-p_recur_Stroke-H62*rr_Stroke*rr_HF)*(1-I62)</f>
        <v>-2.1394668803214756E-8</v>
      </c>
      <c r="AR63">
        <f>AR62*(1-AC62-H62*rr_DM) + AD62*(1-T62-H62)*I62</f>
        <v>5.3499454347477376E-5</v>
      </c>
      <c r="AS63">
        <f>AR62*AC62*p_Other + AD62*T62*p_Other*I62 + AE62*(1-T62*p_Stroke-T62*p_MI-H62*rr_Other)*I62 + AS62*(1-AC62*p_Stroke-AC62*p_MI-H62*rr_Other*rr_DM)</f>
        <v>5.0709644046465287E-6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2.032994592264296E-6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-1.1932148909906134E-6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1.4254747434812902E-6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3.0892464416234519E-7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6.0126601961968636E-8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2.0212234713760467E-8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-6.1148512466611409E-8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9.0115421331429356E-7</v>
      </c>
      <c r="BB63">
        <f>AM62*(1-T62*p_Stroke - H62*rr_HF)*I62 + AN62*(1-T62*p_Stroke - H62*rr_HF)*I62 + BA62*(1-AC62*p_Stroke - H62*rr_HF*rr_DM) + BB62*(1-AC62*p_Stroke - H62*rr_HF*rr_DM)</f>
        <v>3.6980547302516952E-7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1.1310702486161333E-8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4.5199006844252524E-8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-1.5650915193862623E-8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0.94187575653169575</v>
      </c>
      <c r="BG63">
        <f t="shared" si="50"/>
        <v>0.94199999999999984</v>
      </c>
      <c r="BH63">
        <f>(0.9442 - 0.0007*$B63 - dis_BMI*($C63-21.75))*AD63</f>
        <v>4.5053988392243848E-5</v>
      </c>
      <c r="BI63">
        <f>0.959*(0.9442 - 0.0007*$B63 - dis_BMI*($C63-21.75))*AE63</f>
        <v>3.2011023543276023E-6</v>
      </c>
      <c r="BJ63">
        <f>(0.943*(0.9442 - 0.0007*$B63 - dis_BMI*($C63-21.75)) - 0.19*0.5)*AF63</f>
        <v>8.1092740313090134E-7</v>
      </c>
      <c r="BK63">
        <f>(0.943*(0.9442 - 0.0007*$B63 - dis_BMI*($C63-21.75)))*AG63</f>
        <v>-4.1885938707630203E-7</v>
      </c>
      <c r="BL63">
        <f>(0.955*(0.9442 - 0.0007*$B63 - dis_BMI*($C63-21.75)) - 0.15*0.5)*AH63</f>
        <v>5.9089876469864272E-7</v>
      </c>
      <c r="BM63">
        <f>(0.955*(0.9442 - 0.0007*$B63 - dis_BMI*($C63-21.75)))*AI63</f>
        <v>3.4550351111398024E-7</v>
      </c>
      <c r="BN63">
        <f>(0.955*0.943*(0.9442 - 0.0007*$B63 - dis_BMI*($C63-21.75)) - 0.19*0.5)*AJ63</f>
        <v>1.6545753512783465E-8</v>
      </c>
      <c r="BO63">
        <f>(0.955*0.943*(0.9442 - 0.0007*$B63 - dis_BMI*($C63-21.75)) - 0.15*0.5)*AK63</f>
        <v>6.0715154790713205E-9</v>
      </c>
      <c r="BP63">
        <f>(0.955*0.943*(0.9442 - 0.0007*$B63 - dis_BMI*($C63-21.75)))*AL63</f>
        <v>-1.8668336365675644E-8</v>
      </c>
      <c r="BQ63">
        <f>(0.93*(0.9442 - 0.0007*$B63 - dis_BMI*($C63-21.75)))*AM63</f>
        <v>4.1123520514625807E-7</v>
      </c>
      <c r="BR63">
        <f>(0.93*(0.9442 - 0.0007*$B63 - dis_BMI*($C63-21.75)))*AN63</f>
        <v>3.9738443620971766E-7</v>
      </c>
      <c r="BS63">
        <f>(0.93*0.943*(0.9442 - 0.0007*$B63 - dis_BMI*($C63-21.75)))*AO63</f>
        <v>3.8001762050508343E-9</v>
      </c>
      <c r="BT63">
        <f>(0.93*0.943*(0.9442 - 0.0007*$B63 - dis_BMI*($C63-21.75))-0.19*0.5)*AP63</f>
        <v>1.4351951314903023E-8</v>
      </c>
      <c r="BU63">
        <f>(0.93*0.943*(0.9442 - 0.0007*$B63 - dis_BMI*($C63-21.75)))*AQ63</f>
        <v>-1.5448348622795707E-8</v>
      </c>
      <c r="BV63">
        <f>0.962*(0.9442 - 0.0007*$B63 - dis_BMI*($C63-21.75))*AR63</f>
        <v>4.2374664926614255E-5</v>
      </c>
      <c r="BW63">
        <f>0.962*0.959*(0.9442 - 0.0007*$B63 - dis_BMI*($C63-21.75))*AS63</f>
        <v>3.8518209745784483E-6</v>
      </c>
      <c r="BX63">
        <f>0.962*(0.943*(0.9442 - 0.0007*$B63 - dis_BMI*($C63-21.75)) - 0.19*0.5)*AT63</f>
        <v>1.332669815136809E-6</v>
      </c>
      <c r="BY63">
        <f>0.962*(0.943*(0.9442 - 0.0007*$B63 - dis_BMI*($C63-21.75)))*AU63</f>
        <v>-8.9122483854875255E-7</v>
      </c>
      <c r="BZ63">
        <f>0.962*(0.955*(0.9442 - 0.0007*$B63 - dis_BMI*($C63-21.75)) - 0.15*0.5)*AV63</f>
        <v>9.7540288153725307E-7</v>
      </c>
      <c r="CA63">
        <f>0.962*(0.955*(0.9442 - 0.0007*$B63 - dis_BMI*($C63-21.75)))*AW63</f>
        <v>2.3367532274213767E-7</v>
      </c>
      <c r="CB63">
        <f>0.962*(0.955*0.943*(0.9442 - 0.0007*$B63 - dis_BMI*($C63-21.75)) - 0.19*0.5)*AX63</f>
        <v>3.7393311799733568E-8</v>
      </c>
      <c r="CC63">
        <f>0.962*(0.955*0.943*(0.9442 - 0.0007*$B63 - dis_BMI*($C63-21.75)) - 0.15*0.5)*AY63</f>
        <v>1.2959066478899918E-8</v>
      </c>
      <c r="CD63">
        <f>0.962*(0.955*0.943*(0.9442 - 0.0007*$B63 - dis_BMI*($C63-21.75)))*AZ63</f>
        <v>-4.3617210321243558E-8</v>
      </c>
      <c r="CE63">
        <f>0.962*(0.93*(0.9442 - 0.0007*$B63 - dis_BMI*($C63-21.75)))*BA63</f>
        <v>6.638026634289662E-7</v>
      </c>
      <c r="CF63">
        <f>0.962*(0.93*(0.9442 - 0.0007*$B63 - dis_BMI*($C63-21.75)))*BB63</f>
        <v>2.7240382868753394E-7</v>
      </c>
      <c r="CG63">
        <f>0.962*(0.93*0.943*(0.9442 - 0.0007*$B63 - dis_BMI*($C63-21.75)))*BC63</f>
        <v>7.8567176273856205E-9</v>
      </c>
      <c r="CH63">
        <f>0.962*(0.93*0.943*(0.9442 - 0.0007*$B63 - dis_BMI*($C63-21.75))-0.19*0.5)*BD63</f>
        <v>2.7265706464446098E-8</v>
      </c>
      <c r="CI63">
        <f>0.962*(0.93*0.943*(0.9442 - 0.0007*$B63 - dis_BMI*($C63-21.75)))*BE63</f>
        <v>-1.087154590431369E-8</v>
      </c>
      <c r="CJ63">
        <f t="shared" si="51"/>
        <v>0</v>
      </c>
      <c r="CK63">
        <f t="shared" si="52"/>
        <v>9.9243035011639541E-5</v>
      </c>
      <c r="CL63">
        <f>CK63/(1+r_)^A63</f>
        <v>1.6844826995133107E-5</v>
      </c>
      <c r="CM63">
        <f>AD63*c_LIR_2</f>
        <v>0.64351505564834632</v>
      </c>
      <c r="CN63">
        <f>AE63*(c_Other+c_LIR_2)</f>
        <v>0.10556583878096307</v>
      </c>
      <c r="CO63">
        <f>AF63*(c_Stroke1+c_Stroke2+c_LIR_2)</f>
        <v>4.2337755183540347E-2</v>
      </c>
      <c r="CP63">
        <f>AG63*(c_Stroke2 + c_LIR_2)</f>
        <v>-9.8508902569570365E-3</v>
      </c>
      <c r="CQ63">
        <f>AH63*(c_MI1+c_MI2 + c_LIR_2)</f>
        <v>3.3986288678238608E-2</v>
      </c>
      <c r="CR63">
        <f>AI63*(c_MI2+c_LIR_2)</f>
        <v>6.5370620019206986E-3</v>
      </c>
      <c r="CS63">
        <f>AJ63*(c_Stroke1+c_Stroke2+c_MI2+c_LIR_2)</f>
        <v>9.9029994576347214E-4</v>
      </c>
      <c r="CT63">
        <f>AK63*(c_Stroke2+c_MI1+c_MI2+c_LIR_2)</f>
        <v>4.3190865732948717E-4</v>
      </c>
      <c r="CU63">
        <f>AL63*(c_Stroke2+c_MI2+c_LIR_2)</f>
        <v>-5.3821457926613134E-4</v>
      </c>
      <c r="CV63">
        <f>AM63*(c_HF1+c_LIR_2)</f>
        <v>2.083268587303334E-2</v>
      </c>
      <c r="CW63">
        <f>AN63*(c_HF2+c_LIR_2)</f>
        <v>1.4201738289171326E-2</v>
      </c>
      <c r="CX63">
        <f>AO63*(c_Stroke2+c_HF1+c_LIR_2)</f>
        <v>2.3835790586607659E-4</v>
      </c>
      <c r="CY63">
        <f>AP63*(c_Stroke1+c_Stroke2+c_HF2+c_LIR_2)</f>
        <v>1.171404610158202E-3</v>
      </c>
      <c r="CZ63">
        <f>AQ63*(c_Stroke2+c_HF2+c_LIR_2)</f>
        <v>-7.2453045902086768E-4</v>
      </c>
      <c r="DA63">
        <f>AR63*(c_DM+c_LIR_2)</f>
        <v>1.240384849046263</v>
      </c>
      <c r="DB63">
        <f>AS63*(c_Other+c_DM+c_LIR_2)</f>
        <v>0.18997861045567754</v>
      </c>
      <c r="DC63">
        <f>AT63*(c_Stroke1+c_Stroke2+c_DM+c_LIR_2)</f>
        <v>9.5552778831014179E-2</v>
      </c>
      <c r="DD63">
        <f>AU63*(c_Stroke2+c_DM+c_LIR_2)</f>
        <v>-3.542058403905636E-2</v>
      </c>
      <c r="DE63">
        <f>AV63*(c_MI1+c_MI2+c_DM+c_LIR_2)</f>
        <v>7.4603646174836807E-2</v>
      </c>
      <c r="DF63">
        <f>AW63*(c_MI2+c_DM+c_LIR_2)</f>
        <v>8.1253359907580026E-3</v>
      </c>
      <c r="DG63">
        <f>AX63*(c_Stroke1+c_Stroke2+c_MI2+c_DM+c_LIR_2)</f>
        <v>3.0134250371299442E-3</v>
      </c>
      <c r="DH63">
        <f>AY63*(c_Stroke2+c_MI1+c_MI2+c_DM+c_LIR_2)</f>
        <v>1.1892070416188109E-3</v>
      </c>
      <c r="DI63">
        <f>AZ63*(c_Stroke2+c_MI2+c_DM+c_LIR_2)</f>
        <v>-2.0057935059297873E-3</v>
      </c>
      <c r="DJ63">
        <f>BA63*(c_HF1+c_DM+c_LIR_2)</f>
        <v>4.5251458821577252E-2</v>
      </c>
      <c r="DK63">
        <f>BB63*(c_HF2+c_DM+c_LIR_2)</f>
        <v>1.4344754298646326E-2</v>
      </c>
      <c r="DL63">
        <f>BC63*(c_Stroke2+c_HF1+c_DM+c_LIR_2)</f>
        <v>6.4148649150264005E-4</v>
      </c>
      <c r="DM63">
        <f>BD63*(c_Stroke1+c_Stroke2+c_HF2+c_DM+c_LIR_2)</f>
        <v>2.8297290224912736E-3</v>
      </c>
      <c r="DN63">
        <f>BE63*(c_Stroke2+c_HF2+c_DM+c_LIR_2)</f>
        <v>-7.0882994913003814E-4</v>
      </c>
      <c r="DO63">
        <f t="shared" si="53"/>
        <v>0</v>
      </c>
      <c r="DP63">
        <f t="shared" si="54"/>
        <v>2.4964748339964857</v>
      </c>
      <c r="DQ63">
        <f>DP63/(1+r_)^A63</f>
        <v>0.42373438772244693</v>
      </c>
    </row>
    <row r="64" spans="1:121" x14ac:dyDescent="0.3">
      <c r="A64">
        <v>61</v>
      </c>
      <c r="B64">
        <v>106</v>
      </c>
      <c r="C64">
        <f t="shared" si="39"/>
        <v>36.1</v>
      </c>
      <c r="D64">
        <f t="shared" si="1"/>
        <v>125</v>
      </c>
      <c r="E64">
        <f t="shared" si="41"/>
        <v>5.5</v>
      </c>
      <c r="F64">
        <v>0.44868999999999998</v>
      </c>
      <c r="G64">
        <v>0.48133999999999999</v>
      </c>
      <c r="H64">
        <f t="shared" si="42"/>
        <v>0.45521999999999996</v>
      </c>
      <c r="I64">
        <f t="shared" si="43"/>
        <v>3.2286349135090861E-2</v>
      </c>
      <c r="J64">
        <f t="shared" si="21"/>
        <v>0.57294825163816987</v>
      </c>
      <c r="K64">
        <f t="shared" si="22"/>
        <v>0.69626759529843762</v>
      </c>
      <c r="L64">
        <f t="shared" si="23"/>
        <v>0.33154850705560956</v>
      </c>
      <c r="M64">
        <f t="shared" si="24"/>
        <v>0.43113148440447191</v>
      </c>
      <c r="N64">
        <f t="shared" si="25"/>
        <v>0.92587876398699964</v>
      </c>
      <c r="O64">
        <f t="shared" si="26"/>
        <v>0.97469295209200502</v>
      </c>
      <c r="P64">
        <f t="shared" si="27"/>
        <v>0.72194161248151678</v>
      </c>
      <c r="Q64">
        <f t="shared" si="28"/>
        <v>0.83610325604222946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4.6944463830329346E-2</v>
      </c>
      <c r="U64">
        <f t="shared" si="29"/>
        <v>0.84303180832726654</v>
      </c>
      <c r="V64">
        <f t="shared" si="30"/>
        <v>0.92522762958117188</v>
      </c>
      <c r="W64">
        <f t="shared" si="31"/>
        <v>0.58380374640588106</v>
      </c>
      <c r="X64">
        <f t="shared" si="32"/>
        <v>0.70702513623915797</v>
      </c>
      <c r="Y64">
        <f t="shared" si="33"/>
        <v>0.98805916277982531</v>
      </c>
      <c r="Z64">
        <f t="shared" si="34"/>
        <v>0.99808189912265755</v>
      </c>
      <c r="AA64">
        <f t="shared" si="35"/>
        <v>0.88673063100374316</v>
      </c>
      <c r="AB64">
        <f t="shared" si="36"/>
        <v>0.95392435596292013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6.9167043968051262E-2</v>
      </c>
      <c r="AD64">
        <f t="shared" si="44"/>
        <v>2.7445259810829598E-5</v>
      </c>
      <c r="AE64">
        <f t="shared" si="45"/>
        <v>1.9403032819452505E-6</v>
      </c>
      <c r="AF64">
        <f t="shared" si="46"/>
        <v>6.2534558194880929E-7</v>
      </c>
      <c r="AG64">
        <f t="shared" si="47"/>
        <v>-3.1061596852477074E-7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4.3617777754759829E-7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1.8085530210713474E-7</v>
      </c>
      <c r="AJ64">
        <f t="shared" si="48"/>
        <v>1.3029652708053293E-8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4.6161741828859035E-9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-1.316418795281851E-8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2.7761868802444418E-7</v>
      </c>
      <c r="AN64">
        <f t="shared" si="49"/>
        <v>2.0102929750120738E-7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2.6349508127231286E-9</v>
      </c>
      <c r="AP64">
        <f>AM63*T63*p_Stroke*p_Stroke_rec*(1-I63) + AN63*T63*p_Stroke*p_Stroke_rec*(1-I63) + AO63*(p_recur_Stroke*p_Stroke_rec)*(1-I63) + AP63*(p_recur_Stroke*p_Stroke_rec)*(1-I63) + AQ63*(p_recur_Stroke*p_Stroke_rec)*(1-I63)</f>
        <v>1.0708820323542939E-8</v>
      </c>
      <c r="AQ64">
        <f>AO63*(1-p_recur_Stroke-H63*rr_Stroke*rr_HF)*(1-I63) + AP63*(1-p_recur_Stroke-H63*rr_Stroke*rr_HF)*(1-I63) + AQ63*(1-p_recur_Stroke-H63*rr_Stroke*rr_HF)*(1-I63)</f>
        <v>-1.0467005579233888E-8</v>
      </c>
      <c r="AR64">
        <f>AR63*(1-AC63-H63*rr_DM) + AD63*(1-T63-H63)*I63</f>
        <v>2.3960447678564102E-5</v>
      </c>
      <c r="AS64">
        <f>AR63*AC63*p_Other + AD63*T63*p_Other*I63 + AE63*(1-T63*p_Stroke-T63*p_MI-H63*rr_Other)*I63 + AS63*(1-AC63*p_Stroke-AC63*p_MI-H63*rr_Other*rr_DM)</f>
        <v>2.1663672198519304E-6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9.611993439568269E-7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-6.0050718783273401E-7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6.7293649524882014E-7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7.3348940911435176E-8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2.7653342548420276E-8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9.3195955994251014E-9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-3.404243202721411E-8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4.186384158473785E-7</v>
      </c>
      <c r="BB64">
        <f>AM63*(1-T63*p_Stroke - H63*rr_HF)*I63 + AN63*(1-T63*p_Stroke - H63*rr_HF)*I63 + BA63*(1-AC63*p_Stroke - H63*rr_HF*rr_DM) + BB63*(1-AC63*p_Stroke - H63*rr_HF*rr_DM)</f>
        <v>9.9112691204824888E-8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5.3905857301027159E-9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2.3261267869048963E-8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-8.0971634775060334E-8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0.94194149451350129</v>
      </c>
      <c r="BG64">
        <f t="shared" si="50"/>
        <v>0.94199999999999984</v>
      </c>
      <c r="BH64">
        <f>(0.9442 - 0.0007*$B64 - dis_BMI*($C64-21.75))*AD64</f>
        <v>2.2577705757079914E-5</v>
      </c>
      <c r="BI64">
        <f>0.959*(0.9442 - 0.0007*$B64 - dis_BMI*($C64-21.75))*AE64</f>
        <v>1.5307373808474405E-6</v>
      </c>
      <c r="BJ64">
        <f>(0.943*(0.9442 - 0.0007*$B64 - dis_BMI*($C64-21.75)) - 0.19*0.5)*AF64</f>
        <v>4.2570665325019146E-7</v>
      </c>
      <c r="BK64">
        <f>(0.943*(0.9442 - 0.0007*$B64 - dis_BMI*($C64-21.75)))*AG64</f>
        <v>-2.4096165304171761E-7</v>
      </c>
      <c r="BL64">
        <f>(0.955*(0.9442 - 0.0007*$B64 - dis_BMI*($C64-21.75)) - 0.15*0.5)*AH64</f>
        <v>3.0995925844309518E-7</v>
      </c>
      <c r="BM64">
        <f>(0.955*(0.9442 - 0.0007*$B64 - dis_BMI*($C64-21.75)))*AI64</f>
        <v>1.4208462305183728E-7</v>
      </c>
      <c r="BN64">
        <f>(0.955*0.943*(0.9442 - 0.0007*$B64 - dis_BMI*($C64-21.75)) - 0.19*0.5)*AJ64</f>
        <v>8.4151398894881767E-9</v>
      </c>
      <c r="BO64">
        <f>(0.955*0.943*(0.9442 - 0.0007*$B64 - dis_BMI*($C64-21.75)) - 0.15*0.5)*AK64</f>
        <v>3.0736578579207478E-9</v>
      </c>
      <c r="BP64">
        <f>(0.955*0.943*(0.9442 - 0.0007*$B64 - dis_BMI*($C64-21.75)))*AL64</f>
        <v>-9.7526266997718651E-9</v>
      </c>
      <c r="BQ64">
        <f>(0.93*(0.9442 - 0.0007*$B64 - dis_BMI*($C64-21.75)))*AM64</f>
        <v>2.1239491181717807E-7</v>
      </c>
      <c r="BR64">
        <f>(0.93*(0.9442 - 0.0007*$B64 - dis_BMI*($C64-21.75)))*AN64</f>
        <v>1.537994441918791E-7</v>
      </c>
      <c r="BS64">
        <f>(0.93*0.943*(0.9442 - 0.0007*$B64 - dis_BMI*($C64-21.75)))*AO64</f>
        <v>1.9009890543475928E-9</v>
      </c>
      <c r="BT64">
        <f>(0.93*0.943*(0.9442 - 0.0007*$B64 - dis_BMI*($C64-21.75))-0.19*0.5)*AP64</f>
        <v>6.7085558968569517E-9</v>
      </c>
      <c r="BU64">
        <f>(0.93*0.943*(0.9442 - 0.0007*$B64 - dis_BMI*($C64-21.75)))*AQ64</f>
        <v>-7.5514362324491648E-9</v>
      </c>
      <c r="BV64">
        <f>0.962*(0.9442 - 0.0007*$B64 - dis_BMI*($C64-21.75))*AR64</f>
        <v>1.8961926666272132E-5</v>
      </c>
      <c r="BW64">
        <f>0.962*0.959*(0.9442 - 0.0007*$B64 - dis_BMI*($C64-21.75))*AS64</f>
        <v>1.6441378113203929E-6</v>
      </c>
      <c r="BX64">
        <f>0.962*(0.943*(0.9442 - 0.0007*$B64 - dis_BMI*($C64-21.75)) - 0.19*0.5)*AT64</f>
        <v>6.2947558416287387E-7</v>
      </c>
      <c r="BY64">
        <f>0.962*(0.943*(0.9442 - 0.0007*$B64 - dis_BMI*($C64-21.75)))*AU64</f>
        <v>-4.4814384633303484E-7</v>
      </c>
      <c r="BZ64">
        <f>0.962*(0.955*(0.9442 - 0.0007*$B64 - dis_BMI*($C64-21.75)) - 0.15*0.5)*AV64</f>
        <v>4.6003431923340318E-7</v>
      </c>
      <c r="CA64">
        <f>0.962*(0.955*(0.9442 - 0.0007*$B64 - dis_BMI*($C64-21.75)))*AW64</f>
        <v>5.5435089556450623E-8</v>
      </c>
      <c r="CB64">
        <f>0.962*(0.955*0.943*(0.9442 - 0.0007*$B64 - dis_BMI*($C64-21.75)) - 0.19*0.5)*AX64</f>
        <v>1.7181109475939116E-8</v>
      </c>
      <c r="CC64">
        <f>0.962*(0.955*0.943*(0.9442 - 0.0007*$B64 - dis_BMI*($C64-21.75)) - 0.15*0.5)*AY64</f>
        <v>5.969603338539937E-9</v>
      </c>
      <c r="CD64">
        <f>0.962*(0.955*0.943*(0.9442 - 0.0007*$B64 - dis_BMI*($C64-21.75)))*AZ64</f>
        <v>-2.4261808906174992E-8</v>
      </c>
      <c r="CE64">
        <f>0.962*(0.93*(0.9442 - 0.0007*$B64 - dis_BMI*($C64-21.75)))*BA64</f>
        <v>3.0811267277440054E-7</v>
      </c>
      <c r="CF64">
        <f>0.962*(0.93*(0.9442 - 0.0007*$B64 - dis_BMI*($C64-21.75)))*BB64</f>
        <v>7.2945709320941776E-8</v>
      </c>
      <c r="CG64">
        <f>0.962*(0.93*0.943*(0.9442 - 0.0007*$B64 - dis_BMI*($C64-21.75)))*BC64</f>
        <v>3.7412620880845371E-9</v>
      </c>
      <c r="CH64">
        <f>0.962*(0.93*0.943*(0.9442 - 0.0007*$B64 - dis_BMI*($C64-21.75))-0.19*0.5)*BD64</f>
        <v>1.4018316639738237E-8</v>
      </c>
      <c r="CI64">
        <f>0.962*(0.93*0.943*(0.9442 - 0.0007*$B64 - dis_BMI*($C64-21.75)))*BE64</f>
        <v>-5.6197252499384405E-8</v>
      </c>
      <c r="CJ64">
        <f t="shared" si="51"/>
        <v>0</v>
      </c>
      <c r="CK64">
        <f t="shared" si="52"/>
        <v>4.6758595891850507E-5</v>
      </c>
      <c r="CL64">
        <f>CK64/(1+r_)^A64</f>
        <v>7.7053213257793812E-6</v>
      </c>
      <c r="CM64">
        <f>AD64*c_LIR_2</f>
        <v>0.32275625537535607</v>
      </c>
      <c r="CN64">
        <f>AE64*(c_Other+c_LIR_2)</f>
        <v>5.0523557158572374E-2</v>
      </c>
      <c r="CO64">
        <f>AF64*(c_Stroke1+c_Stroke2+c_LIR_2)</f>
        <v>2.2247294423410838E-2</v>
      </c>
      <c r="CP64">
        <f>AG64*(c_Stroke2 + c_LIR_2)</f>
        <v>-5.6718475852623133E-3</v>
      </c>
      <c r="CQ64">
        <f>AH64*(c_MI1+c_MI2 + c_LIR_2)</f>
        <v>1.7844469057249793E-2</v>
      </c>
      <c r="CR64">
        <f>AI64*(c_MI2+c_LIR_2)</f>
        <v>2.6905843294478433E-3</v>
      </c>
      <c r="CS64">
        <f>AJ64*(c_Stroke1+c_Stroke2+c_MI2+c_LIR_2)</f>
        <v>5.0415635223270607E-4</v>
      </c>
      <c r="CT64">
        <f>AK64*(c_Stroke2+c_MI1+c_MI2+c_LIR_2)</f>
        <v>2.1885743418480357E-4</v>
      </c>
      <c r="CU64">
        <f>AL64*(c_Stroke2+c_MI2+c_LIR_2)</f>
        <v>-2.814108458674013E-4</v>
      </c>
      <c r="CV64">
        <f>AM64*(c_HF1+c_LIR_2)</f>
        <v>1.0768828908468189E-2</v>
      </c>
      <c r="CW64">
        <f>AN64*(c_HF2+c_LIR_2)</f>
        <v>5.5011667261205396E-3</v>
      </c>
      <c r="CX64">
        <f>AO64*(c_Stroke2+c_HF1+c_LIR_2)</f>
        <v>1.1933692230823049E-4</v>
      </c>
      <c r="CY64">
        <f>AP64*(c_Stroke1+c_Stroke2+c_HF2+c_LIR_2)</f>
        <v>5.4808813297925116E-4</v>
      </c>
      <c r="CZ64">
        <f>AQ64*(c_Stroke2+c_HF2+c_LIR_2)</f>
        <v>-3.5446514394075562E-4</v>
      </c>
      <c r="DA64">
        <f>AR64*(c_DM+c_LIR_2)</f>
        <v>0.55552297942750872</v>
      </c>
      <c r="DB64">
        <f>AS64*(c_Other+c_DM+c_LIR_2)</f>
        <v>8.1160781524532724E-2</v>
      </c>
      <c r="DC64">
        <f>AT64*(c_Stroke1+c_Stroke2+c_DM+c_LIR_2)</f>
        <v>4.5177330365314822E-2</v>
      </c>
      <c r="DD64">
        <f>AU64*(c_Stroke2+c_DM+c_LIR_2)</f>
        <v>-1.7826055870814709E-2</v>
      </c>
      <c r="DE64">
        <f>AV64*(c_MI1+c_MI2+c_DM+c_LIR_2)</f>
        <v>3.5218804415342253E-2</v>
      </c>
      <c r="DF64">
        <f>AW64*(c_MI2+c_DM+c_LIR_2)</f>
        <v>1.929223843852568E-3</v>
      </c>
      <c r="DG64">
        <f>AX64*(c_Stroke1+c_Stroke2+c_MI2+c_DM+c_LIR_2)</f>
        <v>1.3859302218417273E-3</v>
      </c>
      <c r="DH64">
        <f>AY64*(c_Stroke2+c_MI1+c_MI2+c_DM+c_LIR_2)</f>
        <v>5.4832772668777531E-4</v>
      </c>
      <c r="DI64">
        <f>AZ64*(c_Stroke2+c_MI2+c_DM+c_LIR_2)</f>
        <v>-1.1166598553566773E-3</v>
      </c>
      <c r="DJ64">
        <f>BA64*(c_HF1+c_DM+c_LIR_2)</f>
        <v>2.102192805177611E-2</v>
      </c>
      <c r="DK64">
        <f>BB64*(c_HF2+c_DM+c_LIR_2)</f>
        <v>3.8445812918351573E-3</v>
      </c>
      <c r="DL64">
        <f>BC64*(c_Stroke2+c_HF1+c_DM+c_LIR_2)</f>
        <v>3.0572706968277555E-4</v>
      </c>
      <c r="DM64">
        <f>BD64*(c_Stroke1+c_Stroke2+c_HF2+c_DM+c_LIR_2)</f>
        <v>1.4562949362096793E-3</v>
      </c>
      <c r="DN64">
        <f>BE64*(c_Stroke2+c_HF2+c_DM+c_LIR_2)</f>
        <v>-3.6672053389624824E-3</v>
      </c>
      <c r="DO64">
        <f t="shared" si="53"/>
        <v>0</v>
      </c>
      <c r="DP64">
        <f t="shared" si="54"/>
        <v>1.1523768590547103</v>
      </c>
      <c r="DQ64">
        <f>DP64/(1+r_)^A64</f>
        <v>0.18989950014637852</v>
      </c>
    </row>
    <row r="65" spans="1:121" x14ac:dyDescent="0.3">
      <c r="A65">
        <v>62</v>
      </c>
      <c r="B65">
        <v>107</v>
      </c>
      <c r="C65">
        <f t="shared" si="39"/>
        <v>36.1</v>
      </c>
      <c r="D65">
        <f t="shared" si="1"/>
        <v>125</v>
      </c>
      <c r="E65">
        <f t="shared" si="41"/>
        <v>5.5</v>
      </c>
      <c r="F65">
        <v>0.46788999999999997</v>
      </c>
      <c r="G65">
        <v>0.49833</v>
      </c>
      <c r="H65">
        <f t="shared" si="42"/>
        <v>0.47397799999999995</v>
      </c>
      <c r="I65">
        <f t="shared" si="43"/>
        <v>3.2286349135090861E-2</v>
      </c>
      <c r="J65">
        <f t="shared" si="21"/>
        <v>0.58224891906438025</v>
      </c>
      <c r="K65">
        <f t="shared" si="22"/>
        <v>0.70549115754056491</v>
      </c>
      <c r="L65">
        <f t="shared" si="23"/>
        <v>0.33848023992238985</v>
      </c>
      <c r="M65">
        <f t="shared" si="24"/>
        <v>0.4393758952030854</v>
      </c>
      <c r="N65">
        <f t="shared" si="25"/>
        <v>0.93138433490805583</v>
      </c>
      <c r="O65">
        <f t="shared" si="26"/>
        <v>0.97730767572753419</v>
      </c>
      <c r="P65">
        <f t="shared" si="27"/>
        <v>0.73230013535430682</v>
      </c>
      <c r="Q65">
        <f t="shared" si="28"/>
        <v>0.84466362045790788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4.770068136919451E-2</v>
      </c>
      <c r="U65">
        <f t="shared" si="29"/>
        <v>0.85037650716286273</v>
      </c>
      <c r="V65">
        <f t="shared" si="30"/>
        <v>0.93008114473749259</v>
      </c>
      <c r="W65">
        <f t="shared" si="31"/>
        <v>0.59313919587329011</v>
      </c>
      <c r="X65">
        <f t="shared" si="32"/>
        <v>0.71618700231218546</v>
      </c>
      <c r="Y65">
        <f t="shared" si="33"/>
        <v>0.98952880036328972</v>
      </c>
      <c r="Z65">
        <f t="shared" si="34"/>
        <v>0.9984067757658156</v>
      </c>
      <c r="AA65">
        <f t="shared" si="35"/>
        <v>0.89381678070916126</v>
      </c>
      <c r="AB65">
        <f t="shared" si="36"/>
        <v>0.95794401980459842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6.9927294380737109E-2</v>
      </c>
      <c r="AD65">
        <f t="shared" si="44"/>
        <v>1.322208996013395E-5</v>
      </c>
      <c r="AE65">
        <f t="shared" si="45"/>
        <v>8.9971510068621948E-7</v>
      </c>
      <c r="AF65">
        <f t="shared" si="46"/>
        <v>3.160999173715843E-7</v>
      </c>
      <c r="AG65">
        <f t="shared" si="47"/>
        <v>-1.6908599416904767E-7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2.2033370550637017E-7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6.917843711647596E-8</v>
      </c>
      <c r="AJ65">
        <f t="shared" si="48"/>
        <v>6.4101732419009975E-9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2.2604063403339794E-9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-6.6153345408206576E-9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1.383355218841582E-7</v>
      </c>
      <c r="AN65">
        <f t="shared" si="49"/>
        <v>7.4436405568614547E-8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1.2760795328355567E-9</v>
      </c>
      <c r="AP65">
        <f>AM64*T64*p_Stroke*p_Stroke_rec*(1-I64) + AN64*T64*p_Stroke*p_Stroke_rec*(1-I64) + AO64*(p_recur_Stroke*p_Stroke_rec)*(1-I64) + AP64*(p_recur_Stroke*p_Stroke_rec)*(1-I64) + AQ64*(p_recur_Stroke*p_Stroke_rec)*(1-I64)</f>
        <v>4.9084565860596393E-9</v>
      </c>
      <c r="AQ65">
        <f>AO64*(1-p_recur_Stroke-H64*rr_Stroke*rr_HF)*(1-I64) + AP64*(1-p_recur_Stroke-H64*rr_Stroke*rr_HF)*(1-I64) + AQ64*(1-p_recur_Stroke-H64*rr_Stroke*rr_HF)*(1-I64)</f>
        <v>-4.7693697006019442E-9</v>
      </c>
      <c r="AR65">
        <f>AR64*(1-AC64-H64*rr_DM) + AD64*(1-T64-H64)*I64</f>
        <v>1.0200943772521643E-5</v>
      </c>
      <c r="AS65">
        <f>AR64*AC64*p_Other + AD64*T64*p_Other*I64 + AE64*(1-T64*p_Stroke-T64*p_MI-H64*rr_Other)*I64 + AS64*(1-AC64*p_Stroke-AC64*p_MI-H64*rr_Other*rr_DM)</f>
        <v>8.8566718180455224E-7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4.3275206477920253E-7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-2.8473809427406637E-7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3.0261906077268243E-7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4.4400552718642015E-9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1.1459838383822167E-8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3.7955398625813462E-9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-5.6803368573317791E-9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1.8568600441598889E-7</v>
      </c>
      <c r="BB65">
        <f>AM64*(1-T64*p_Stroke - H64*rr_HF)*I64 + AN64*(1-T64*p_Stroke - H64*rr_HF)*I64 + BA64*(1-AC64*p_Stroke - H64*rr_HF*rr_DM) + BB64*(1-AC64*p_Stroke - H64*rr_HF*rr_DM)</f>
        <v>1.8697417429981832E-8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1.8061460325721271E-9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1.9653335805150743E-9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1.0982685072389046E-7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0.94197335618569988</v>
      </c>
      <c r="BG65">
        <f t="shared" si="50"/>
        <v>0.94199999999999984</v>
      </c>
      <c r="BH65">
        <f>(0.9442 - 0.0007*$B65 - dis_BMI*($C65-21.75))*AD65</f>
        <v>1.08678307322823E-5</v>
      </c>
      <c r="BI65">
        <f>0.959*(0.9442 - 0.0007*$B65 - dis_BMI*($C65-21.75))*AE65</f>
        <v>7.0919615896775977E-7</v>
      </c>
      <c r="BJ65">
        <f>(0.943*(0.9442 - 0.0007*$B65 - dis_BMI*($C65-21.75)) - 0.19*0.5)*AF65</f>
        <v>2.1497769987839911E-7</v>
      </c>
      <c r="BK65">
        <f>(0.943*(0.9442 - 0.0007*$B65 - dis_BMI*($C65-21.75)))*AG65</f>
        <v>-1.3105756239107305E-7</v>
      </c>
      <c r="BL65">
        <f>(0.955*(0.9442 - 0.0007*$B65 - dis_BMI*($C65-21.75)) - 0.15*0.5)*AH65</f>
        <v>1.5642756121869618E-7</v>
      </c>
      <c r="BM65">
        <f>(0.955*(0.9442 - 0.0007*$B65 - dis_BMI*($C65-21.75)))*AI65</f>
        <v>5.4302131323395251E-8</v>
      </c>
      <c r="BN65">
        <f>(0.955*0.943*(0.9442 - 0.0007*$B65 - dis_BMI*($C65-21.75)) - 0.19*0.5)*AJ65</f>
        <v>4.1359392803648923E-9</v>
      </c>
      <c r="BO65">
        <f>(0.955*0.943*(0.9442 - 0.0007*$B65 - dis_BMI*($C65-21.75)) - 0.15*0.5)*AK65</f>
        <v>1.5036559752146975E-9</v>
      </c>
      <c r="BP65">
        <f>(0.955*0.943*(0.9442 - 0.0007*$B65 - dis_BMI*($C65-21.75)))*AL65</f>
        <v>-4.8967691884886245E-9</v>
      </c>
      <c r="BQ65">
        <f>(0.93*(0.9442 - 0.0007*$B65 - dis_BMI*($C65-21.75)))*AM65</f>
        <v>1.0574489719761921E-7</v>
      </c>
      <c r="BR65">
        <f>(0.93*(0.9442 - 0.0007*$B65 - dis_BMI*($C65-21.75)))*AN65</f>
        <v>5.6899847178838243E-8</v>
      </c>
      <c r="BS65">
        <f>(0.93*0.943*(0.9442 - 0.0007*$B65 - dis_BMI*($C65-21.75)))*AO65</f>
        <v>9.198460383757735E-10</v>
      </c>
      <c r="BT65">
        <f>(0.93*0.943*(0.9442 - 0.0007*$B65 - dis_BMI*($C65-21.75))-0.19*0.5)*AP65</f>
        <v>3.0718964222582977E-9</v>
      </c>
      <c r="BU65">
        <f>(0.93*0.943*(0.9442 - 0.0007*$B65 - dis_BMI*($C65-21.75)))*AQ65</f>
        <v>-3.4379407488024444E-9</v>
      </c>
      <c r="BV65">
        <f>0.962*(0.9442 - 0.0007*$B65 - dis_BMI*($C65-21.75))*AR65</f>
        <v>8.0659993693993007E-6</v>
      </c>
      <c r="BW65">
        <f>0.962*0.959*(0.9442 - 0.0007*$B65 - dis_BMI*($C65-21.75))*AS65</f>
        <v>6.7159428133112748E-7</v>
      </c>
      <c r="BX65">
        <f>0.962*(0.943*(0.9442 - 0.0007*$B65 - dis_BMI*($C65-21.75)) - 0.19*0.5)*AT65</f>
        <v>2.8312827980118763E-7</v>
      </c>
      <c r="BY65">
        <f>0.962*(0.943*(0.9442 - 0.0007*$B65 - dis_BMI*($C65-21.75)))*AU65</f>
        <v>-2.1231227146135548E-7</v>
      </c>
      <c r="BZ65">
        <f>0.962*(0.955*(0.9442 - 0.0007*$B65 - dis_BMI*($C65-21.75)) - 0.15*0.5)*AV65</f>
        <v>2.0668249103066945E-7</v>
      </c>
      <c r="CA65">
        <f>0.962*(0.955*(0.9442 - 0.0007*$B65 - dis_BMI*($C65-21.75)))*AW65</f>
        <v>3.3528149012105698E-9</v>
      </c>
      <c r="CB65">
        <f>0.962*(0.955*0.943*(0.9442 - 0.0007*$B65 - dis_BMI*($C65-21.75)) - 0.19*0.5)*AX65</f>
        <v>7.1130842428630982E-9</v>
      </c>
      <c r="CC65">
        <f>0.962*(0.955*0.943*(0.9442 - 0.0007*$B65 - dis_BMI*($C65-21.75)) - 0.15*0.5)*AY65</f>
        <v>2.4289053787428502E-9</v>
      </c>
      <c r="CD65">
        <f>0.962*(0.955*0.943*(0.9442 - 0.0007*$B65 - dis_BMI*($C65-21.75)))*AZ65</f>
        <v>-4.0448925137468224E-9</v>
      </c>
      <c r="CE65">
        <f>0.962*(0.93*(0.9442 - 0.0007*$B65 - dis_BMI*($C65-21.75)))*BA65</f>
        <v>1.365463041430456E-7</v>
      </c>
      <c r="CF65">
        <f>0.962*(0.93*(0.9442 - 0.0007*$B65 - dis_BMI*($C65-21.75)))*BB65</f>
        <v>1.3749357444108719E-8</v>
      </c>
      <c r="CG65">
        <f>0.962*(0.93*0.943*(0.9442 - 0.0007*$B65 - dis_BMI*($C65-21.75)))*BC65</f>
        <v>1.2524642338492445E-9</v>
      </c>
      <c r="CH65">
        <f>0.962*(0.93*0.943*(0.9442 - 0.0007*$B65 - dis_BMI*($C65-21.75))-0.19*0.5)*BD65</f>
        <v>1.183240321536319E-9</v>
      </c>
      <c r="CI65">
        <f>0.962*(0.93*0.943*(0.9442 - 0.0007*$B65 - dis_BMI*($C65-21.75)))*BE65</f>
        <v>7.6158959445866229E-8</v>
      </c>
      <c r="CJ65">
        <f t="shared" si="51"/>
        <v>0</v>
      </c>
      <c r="CK65">
        <f t="shared" si="52"/>
        <v>2.1288450481133258E-5</v>
      </c>
      <c r="CL65">
        <f>CK65/(1+r_)^A65</f>
        <v>3.4059331528176479E-6</v>
      </c>
      <c r="CM65">
        <f>AD65*c_LIR_2</f>
        <v>0.15549177793117525</v>
      </c>
      <c r="CN65">
        <f>AE65*(c_Other+c_LIR_2)</f>
        <v>2.342768150676847E-2</v>
      </c>
      <c r="CO65">
        <f>AF65*(c_Stroke1+c_Stroke2+c_LIR_2)</f>
        <v>1.1245570660411482E-2</v>
      </c>
      <c r="CP65">
        <f>AG65*(c_Stroke2 + c_LIR_2)</f>
        <v>-3.0875102535268106E-3</v>
      </c>
      <c r="CQ65">
        <f>AH65*(c_MI1+c_MI2 + c_LIR_2)</f>
        <v>9.0140722259711096E-3</v>
      </c>
      <c r="CR65">
        <f>AI65*(c_MI2+c_LIR_2)</f>
        <v>1.0291676089818128E-3</v>
      </c>
      <c r="CS65">
        <f>AJ65*(c_Stroke1+c_Stroke2+c_MI2+c_LIR_2)</f>
        <v>2.480288332488753E-4</v>
      </c>
      <c r="CT65">
        <f>AK65*(c_Stroke2+c_MI1+c_MI2+c_LIR_2)</f>
        <v>1.0716812500157431E-4</v>
      </c>
      <c r="CU65">
        <f>AL65*(c_Stroke2+c_MI2+c_LIR_2)</f>
        <v>-1.414160064791232E-4</v>
      </c>
      <c r="CV65">
        <f>AM65*(c_HF1+c_LIR_2)</f>
        <v>5.3660348938864965E-3</v>
      </c>
      <c r="CW65">
        <f>AN65*(c_HF2+c_LIR_2)</f>
        <v>2.036952238385137E-3</v>
      </c>
      <c r="CX65">
        <f>AO65*(c_Stroke2+c_HF1+c_LIR_2)</f>
        <v>5.7793642042122362E-5</v>
      </c>
      <c r="CY65">
        <f>AP65*(c_Stroke1+c_Stroke2+c_HF2+c_LIR_2)</f>
        <v>2.5121971653111841E-4</v>
      </c>
      <c r="CZ65">
        <f>AQ65*(c_Stroke2+c_HF2+c_LIR_2)</f>
        <v>-1.6151470491088484E-4</v>
      </c>
      <c r="DA65">
        <f>AR65*(c_DM+c_LIR_2)</f>
        <v>0.23650888136591428</v>
      </c>
      <c r="DB65">
        <f>AS65*(c_Other+c_DM+c_LIR_2)</f>
        <v>3.3180635299125745E-2</v>
      </c>
      <c r="DC65">
        <f>AT65*(c_Stroke1+c_Stroke2+c_DM+c_LIR_2)</f>
        <v>2.0339779796687298E-2</v>
      </c>
      <c r="DD65">
        <f>AU65*(c_Stroke2+c_DM+c_LIR_2)</f>
        <v>-8.45245032852566E-3</v>
      </c>
      <c r="DE65">
        <f>AV65*(c_MI1+c_MI2+c_DM+c_LIR_2)</f>
        <v>1.5837871164599109E-2</v>
      </c>
      <c r="DF65">
        <f>AW65*(c_MI2+c_DM+c_LIR_2)</f>
        <v>1.1678233376057223E-4</v>
      </c>
      <c r="DG65">
        <f>AX65*(c_Stroke1+c_Stroke2+c_MI2+c_DM+c_LIR_2)</f>
        <v>5.7434418012039935E-4</v>
      </c>
      <c r="DH65">
        <f>AY65*(c_Stroke2+c_MI1+c_MI2+c_DM+c_LIR_2)</f>
        <v>2.2331438335483609E-4</v>
      </c>
      <c r="DI65">
        <f>AZ65*(c_Stroke2+c_MI2+c_DM+c_LIR_2)</f>
        <v>-1.8632640959419702E-4</v>
      </c>
      <c r="DJ65">
        <f>BA65*(c_HF1+c_DM+c_LIR_2)</f>
        <v>9.3242227117488821E-3</v>
      </c>
      <c r="DK65">
        <f>BB65*(c_HF2+c_DM+c_LIR_2)</f>
        <v>7.2527282210899525E-4</v>
      </c>
      <c r="DL65">
        <f>BC65*(c_Stroke2+c_HF1+c_DM+c_LIR_2)</f>
        <v>1.0243557223732819E-4</v>
      </c>
      <c r="DM65">
        <f>BD65*(c_Stroke1+c_Stroke2+c_HF2+c_DM+c_LIR_2)</f>
        <v>1.2304167414172674E-4</v>
      </c>
      <c r="DN65">
        <f>BE65*(c_Stroke2+c_HF2+c_DM+c_LIR_2)</f>
        <v>4.9740580692849987E-3</v>
      </c>
      <c r="DO65">
        <f t="shared" si="53"/>
        <v>0</v>
      </c>
      <c r="DP65">
        <f t="shared" si="54"/>
        <v>0.51827688905245084</v>
      </c>
      <c r="DQ65">
        <f>DP65/(1+r_)^A65</f>
        <v>8.2918972441293787E-2</v>
      </c>
    </row>
    <row r="66" spans="1:121" x14ac:dyDescent="0.3">
      <c r="A66">
        <v>63</v>
      </c>
      <c r="B66">
        <v>108</v>
      </c>
      <c r="C66">
        <f t="shared" si="39"/>
        <v>36.1</v>
      </c>
      <c r="D66">
        <f t="shared" si="1"/>
        <v>125</v>
      </c>
      <c r="E66">
        <f t="shared" si="41"/>
        <v>5.5</v>
      </c>
      <c r="F66">
        <v>0.48608000000000001</v>
      </c>
      <c r="G66">
        <v>0.51426000000000005</v>
      </c>
      <c r="H66">
        <f t="shared" si="42"/>
        <v>0.49171600000000004</v>
      </c>
      <c r="I66">
        <f t="shared" si="43"/>
        <v>3.2286349135090861E-2</v>
      </c>
      <c r="J66">
        <f t="shared" si="21"/>
        <v>0.59149290952855482</v>
      </c>
      <c r="K66">
        <f t="shared" si="22"/>
        <v>0.71457738101416912</v>
      </c>
      <c r="L66">
        <f t="shared" si="23"/>
        <v>0.3454507352792977</v>
      </c>
      <c r="M66">
        <f t="shared" si="24"/>
        <v>0.44763159240275918</v>
      </c>
      <c r="N66">
        <f t="shared" si="25"/>
        <v>0.93657866288896563</v>
      </c>
      <c r="O66">
        <f t="shared" si="26"/>
        <v>0.97969645461465948</v>
      </c>
      <c r="P66">
        <f t="shared" si="27"/>
        <v>0.74246783970878316</v>
      </c>
      <c r="Q66">
        <f t="shared" si="28"/>
        <v>0.85293429973010637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4.8452880226578149E-2</v>
      </c>
      <c r="U66">
        <f t="shared" si="29"/>
        <v>0.85748831958688232</v>
      </c>
      <c r="V66">
        <f t="shared" si="30"/>
        <v>0.93469072571377909</v>
      </c>
      <c r="W66">
        <f t="shared" si="31"/>
        <v>0.60241152600819869</v>
      </c>
      <c r="X66">
        <f t="shared" si="32"/>
        <v>0.72520396200941328</v>
      </c>
      <c r="Y66">
        <f t="shared" si="33"/>
        <v>0.99084158048611792</v>
      </c>
      <c r="Z66">
        <f t="shared" si="34"/>
        <v>0.99868151561032203</v>
      </c>
      <c r="AA66">
        <f t="shared" si="35"/>
        <v>0.90058778809573015</v>
      </c>
      <c r="AB66">
        <f t="shared" si="36"/>
        <v>0.96168282745851097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7.0673296136262637E-2</v>
      </c>
      <c r="AD66">
        <f t="shared" si="44"/>
        <v>6.1202154760142836E-6</v>
      </c>
      <c r="AE66">
        <f t="shared" si="45"/>
        <v>4.0357831414485718E-7</v>
      </c>
      <c r="AF66">
        <f t="shared" si="46"/>
        <v>1.5364222281065445E-7</v>
      </c>
      <c r="AG66">
        <f t="shared" si="47"/>
        <v>-8.7358614810687542E-8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1.0704003707685268E-7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2.4106393423560523E-8</v>
      </c>
      <c r="AJ66">
        <f t="shared" si="48"/>
        <v>3.0474072131812172E-9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1.0695094171665111E-9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-3.2182422594552482E-9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6.6411240250576786E-8</v>
      </c>
      <c r="AN66">
        <f t="shared" si="49"/>
        <v>2.6023761600659301E-8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5.987253949036311E-10</v>
      </c>
      <c r="AP66">
        <f>AM65*T65*p_Stroke*p_Stroke_rec*(1-I65) + AN65*T65*p_Stroke*p_Stroke_rec*(1-I65) + AO65*(p_recur_Stroke*p_Stroke_rec)*(1-I65) + AP65*(p_recur_Stroke*p_Stroke_rec)*(1-I65) + AQ65*(p_recur_Stroke*p_Stroke_rec)*(1-I65)</f>
        <v>2.2294576112889854E-9</v>
      </c>
      <c r="AQ66">
        <f>AO65*(1-p_recur_Stroke-H65*rr_Stroke*rr_HF)*(1-I65) + AP65*(1-p_recur_Stroke-H65*rr_Stroke*rr_HF)*(1-I65) + AQ65*(1-p_recur_Stroke-H65*rr_Stroke*rr_HF)*(1-I65)</f>
        <v>-2.4925324468509749E-9</v>
      </c>
      <c r="AR66">
        <f>AR65*(1-AC65-H65*rr_DM) + AD65*(1-T65-H65)*I65</f>
        <v>4.1315350366271963E-6</v>
      </c>
      <c r="AS66">
        <f>AR65*AC65*p_Other + AD65*T65*p_Other*I65 + AE65*(1-T65*p_Stroke-T65*p_MI-H65*rr_Other)*I65 + AS65*(1-AC65*p_Stroke-AC65*p_MI-H65*rr_Other*rr_DM)</f>
        <v>3.4635679146965991E-7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1.8551110954990194E-7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-1.2746358474520898E-7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1.2960906478486224E-7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-8.8377820365979969E-9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5.7021925224299979E-9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1.9829185585124817E-9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-1.8967449900452206E-8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7.8587404152844684E-8</v>
      </c>
      <c r="BB66">
        <f>AM65*(1-T65*p_Stroke - H65*rr_HF)*I65 + AN65*(1-T65*p_Stroke - H65*rr_HF)*I65 + BA65*(1-AC65*p_Stroke - H65*rr_HF*rr_DM) + BB65*(1-AC65*p_Stroke - H65*rr_HF*rr_DM)</f>
        <v>-7.9119165464152894E-10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1.5863765034033058E-9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1.5639821164044569E-8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-2.528476846663181E-7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0.94198869750382208</v>
      </c>
      <c r="BG66">
        <f t="shared" si="50"/>
        <v>0.94199999999999984</v>
      </c>
      <c r="BH66">
        <f>(0.9442 - 0.0007*$B66 - dis_BMI*($C66-21.75))*AD66</f>
        <v>5.0261963585993503E-6</v>
      </c>
      <c r="BI66">
        <f>0.959*(0.9442 - 0.0007*$B66 - dis_BMI*($C66-21.75))*AE66</f>
        <v>3.178477690232976E-7</v>
      </c>
      <c r="BJ66">
        <f>(0.943*(0.9442 - 0.0007*$B66 - dis_BMI*($C66-21.75)) - 0.19*0.5)*AF66</f>
        <v>1.0438975539061199E-7</v>
      </c>
      <c r="BK66">
        <f>(0.943*(0.9442 - 0.0007*$B66 - dis_BMI*($C66-21.75)))*AG66</f>
        <v>-6.7653484559851508E-8</v>
      </c>
      <c r="BL66">
        <f>(0.955*(0.9442 - 0.0007*$B66 - dis_BMI*($C66-21.75)) - 0.15*0.5)*AH66</f>
        <v>7.5922318182202834E-8</v>
      </c>
      <c r="BM66">
        <f>(0.955*(0.9442 - 0.0007*$B66 - dis_BMI*($C66-21.75)))*AI66</f>
        <v>1.8906378589111023E-8</v>
      </c>
      <c r="BN66">
        <f>(0.955*0.943*(0.9442 - 0.0007*$B66 - dis_BMI*($C66-21.75)) - 0.19*0.5)*AJ66</f>
        <v>1.9643114652421778E-9</v>
      </c>
      <c r="BO66">
        <f>(0.955*0.943*(0.9442 - 0.0007*$B66 - dis_BMI*($C66-21.75)) - 0.15*0.5)*AK66</f>
        <v>7.1077938491596688E-10</v>
      </c>
      <c r="BP66">
        <f>(0.955*0.943*(0.9442 - 0.0007*$B66 - dis_BMI*($C66-21.75)))*AL66</f>
        <v>-2.3801621033605594E-9</v>
      </c>
      <c r="BQ66">
        <f>(0.93*(0.9442 - 0.0007*$B66 - dis_BMI*($C66-21.75)))*AM66</f>
        <v>5.0722106069613995E-8</v>
      </c>
      <c r="BR66">
        <f>(0.93*(0.9442 - 0.0007*$B66 - dis_BMI*($C66-21.75)))*AN66</f>
        <v>1.9875852209032109E-8</v>
      </c>
      <c r="BS66">
        <f>(0.93*0.943*(0.9442 - 0.0007*$B66 - dis_BMI*($C66-21.75)))*AO66</f>
        <v>4.3121619079193442E-10</v>
      </c>
      <c r="BT66">
        <f>(0.93*0.943*(0.9442 - 0.0007*$B66 - dis_BMI*($C66-21.75))-0.19*0.5)*AP66</f>
        <v>1.3939096309354978E-9</v>
      </c>
      <c r="BU66">
        <f>(0.93*0.943*(0.9442 - 0.0007*$B66 - dis_BMI*($C66-21.75)))*AQ66</f>
        <v>-1.7951808229703981E-9</v>
      </c>
      <c r="BV66">
        <f>0.962*(0.9442 - 0.0007*$B66 - dis_BMI*($C66-21.75))*AR66</f>
        <v>3.2640683964910156E-6</v>
      </c>
      <c r="BW66">
        <f>0.962*0.959*(0.9442 - 0.0007*$B66 - dis_BMI*($C66-21.75))*AS66</f>
        <v>2.6241588775111324E-7</v>
      </c>
      <c r="BX66">
        <f>0.962*(0.943*(0.9442 - 0.0007*$B66 - dis_BMI*($C66-21.75)) - 0.19*0.5)*AT66</f>
        <v>1.2125294435426186E-7</v>
      </c>
      <c r="BY66">
        <f>0.962*(0.943*(0.9442 - 0.0007*$B66 - dis_BMI*($C66-21.75)))*AU66</f>
        <v>-9.4961076996304369E-8</v>
      </c>
      <c r="BZ66">
        <f>0.962*(0.955*(0.9442 - 0.0007*$B66 - dis_BMI*($C66-21.75)) - 0.15*0.5)*AV66</f>
        <v>8.8436930044908917E-8</v>
      </c>
      <c r="CA66">
        <f>0.962*(0.955*(0.9442 - 0.0007*$B66 - dis_BMI*($C66-21.75)))*AW66</f>
        <v>-6.6679827641960944E-9</v>
      </c>
      <c r="CB66">
        <f>0.962*(0.955*0.943*(0.9442 - 0.0007*$B66 - dis_BMI*($C66-21.75)) - 0.19*0.5)*AX66</f>
        <v>3.5358742279551249E-9</v>
      </c>
      <c r="CC66">
        <f>0.962*(0.955*0.943*(0.9442 - 0.0007*$B66 - dis_BMI*($C66-21.75)) - 0.15*0.5)*AY66</f>
        <v>1.2677399016106675E-9</v>
      </c>
      <c r="CD66">
        <f>0.962*(0.955*0.943*(0.9442 - 0.0007*$B66 - dis_BMI*($C66-21.75)))*AZ66</f>
        <v>-1.3494966799261657E-8</v>
      </c>
      <c r="CE66">
        <f>0.962*(0.93*(0.9442 - 0.0007*$B66 - dis_BMI*($C66-21.75)))*BA66</f>
        <v>5.7740920453209142E-8</v>
      </c>
      <c r="CF66">
        <f>0.962*(0.93*(0.9442 - 0.0007*$B66 - dis_BMI*($C66-21.75)))*BB66</f>
        <v>-5.8131624127765233E-10</v>
      </c>
      <c r="CG66">
        <f>0.962*(0.93*0.943*(0.9442 - 0.0007*$B66 - dis_BMI*($C66-21.75)))*BC66</f>
        <v>1.0991291361758026E-9</v>
      </c>
      <c r="CH66">
        <f>0.962*(0.93*0.943*(0.9442 - 0.0007*$B66 - dis_BMI*($C66-21.75))-0.19*0.5)*BD66</f>
        <v>9.4068074411030556E-9</v>
      </c>
      <c r="CI66">
        <f>0.962*(0.93*0.943*(0.9442 - 0.0007*$B66 - dis_BMI*($C66-21.75)))*BE66</f>
        <v>-1.7518682143559718E-7</v>
      </c>
      <c r="CJ66">
        <f t="shared" si="51"/>
        <v>0</v>
      </c>
      <c r="CK66">
        <f t="shared" si="52"/>
        <v>9.0648643928136402E-6</v>
      </c>
      <c r="CL66">
        <f>CK66/(1+r_)^A66</f>
        <v>1.4080437693697118E-6</v>
      </c>
      <c r="CM66">
        <f>AD66*c_LIR_2</f>
        <v>7.1973733997927974E-2</v>
      </c>
      <c r="CN66">
        <f>AE66*(c_Other+c_LIR_2)</f>
        <v>1.0508775722017936E-2</v>
      </c>
      <c r="CO66">
        <f>AF66*(c_Stroke1+c_Stroke2+c_LIR_2)</f>
        <v>5.4659757187118423E-3</v>
      </c>
      <c r="CP66">
        <f>AG66*(c_Stroke2 + c_LIR_2)</f>
        <v>-1.5951683064431546E-3</v>
      </c>
      <c r="CQ66">
        <f>AH66*(c_MI1+c_MI2 + c_LIR_2)</f>
        <v>4.37911495685112E-3</v>
      </c>
      <c r="CR66">
        <f>AI66*(c_MI2+c_LIR_2)</f>
        <v>3.586308149623099E-4</v>
      </c>
      <c r="CS66">
        <f>AJ66*(c_Stroke1+c_Stroke2+c_MI2+c_LIR_2)</f>
        <v>1.1791332729962084E-4</v>
      </c>
      <c r="CT66">
        <f>AK66*(c_Stroke2+c_MI1+c_MI2+c_LIR_2)</f>
        <v>5.0706510977281455E-5</v>
      </c>
      <c r="CU66">
        <f>AL66*(c_Stroke2+c_MI2+c_LIR_2)</f>
        <v>-6.8796364780374835E-5</v>
      </c>
      <c r="CV66">
        <f>AM66*(c_HF1+c_LIR_2)</f>
        <v>2.5760920093198737E-3</v>
      </c>
      <c r="CW66">
        <f>AN66*(c_HF2+c_LIR_2)</f>
        <v>7.1214023620204175E-4</v>
      </c>
      <c r="CX66">
        <f>AO66*(c_Stroke2+c_HF1+c_LIR_2)</f>
        <v>2.7116273135185451E-5</v>
      </c>
      <c r="CY66">
        <f>AP66*(c_Stroke1+c_Stroke2+c_HF2+c_LIR_2)</f>
        <v>1.1410587000338156E-4</v>
      </c>
      <c r="CZ66">
        <f>AQ66*(c_Stroke2+c_HF2+c_LIR_2)</f>
        <v>-8.4409611312608266E-5</v>
      </c>
      <c r="DA66">
        <f>AR66*(c_DM+c_LIR_2)</f>
        <v>9.578963982420155E-2</v>
      </c>
      <c r="DB66">
        <f>AS66*(c_Other+c_DM+c_LIR_2)</f>
        <v>1.297591083561934E-2</v>
      </c>
      <c r="DC66">
        <f>AT66*(c_Stroke1+c_Stroke2+c_DM+c_LIR_2)</f>
        <v>8.719207659954941E-3</v>
      </c>
      <c r="DD66">
        <f>AU66*(c_Stroke2+c_DM+c_LIR_2)</f>
        <v>-3.7837565131615286E-3</v>
      </c>
      <c r="DE66">
        <f>AV66*(c_MI1+c_MI2+c_DM+c_LIR_2)</f>
        <v>6.7832200145805498E-3</v>
      </c>
      <c r="DF66">
        <f>AW66*(c_MI2+c_DM+c_LIR_2)</f>
        <v>-2.3245134312660051E-4</v>
      </c>
      <c r="DG66">
        <f>AX66*(c_Stroke1+c_Stroke2+c_MI2+c_DM+c_LIR_2)</f>
        <v>2.8578248483914664E-4</v>
      </c>
      <c r="DH66">
        <f>AY66*(c_Stroke2+c_MI1+c_MI2+c_DM+c_LIR_2)</f>
        <v>1.1666699630864038E-4</v>
      </c>
      <c r="DI66">
        <f>AZ66*(c_Stroke2+c_MI2+c_DM+c_LIR_2)</f>
        <v>-6.2217029163463323E-4</v>
      </c>
      <c r="DJ66">
        <f>BA66*(c_HF1+c_DM+c_LIR_2)</f>
        <v>3.9462664995350959E-3</v>
      </c>
      <c r="DK66">
        <f>BB66*(c_HF2+c_DM+c_LIR_2)</f>
        <v>-3.0690324283544908E-5</v>
      </c>
      <c r="DL66">
        <f>BC66*(c_Stroke2+c_HF1+c_DM+c_LIR_2)</f>
        <v>8.997134339051849E-5</v>
      </c>
      <c r="DM66">
        <f>BD66*(c_Stroke1+c_Stroke2+c_HF2+c_DM+c_LIR_2)</f>
        <v>9.7914664379617432E-4</v>
      </c>
      <c r="DN66">
        <f>BE66*(c_Stroke2+c_HF2+c_DM+c_LIR_2)</f>
        <v>-1.1451471638537547E-2</v>
      </c>
      <c r="DO66">
        <f t="shared" si="53"/>
        <v>0</v>
      </c>
      <c r="DP66">
        <f t="shared" si="54"/>
        <v>0.20810120334635446</v>
      </c>
      <c r="DQ66">
        <f>DP66/(1+r_)^A66</f>
        <v>3.2324322799849939E-2</v>
      </c>
    </row>
    <row r="67" spans="1:121" x14ac:dyDescent="0.3">
      <c r="A67">
        <v>64</v>
      </c>
      <c r="B67">
        <v>109</v>
      </c>
      <c r="C67">
        <f t="shared" si="39"/>
        <v>36.1</v>
      </c>
      <c r="D67">
        <f t="shared" ref="D67" si="55">SBP_BL</f>
        <v>125</v>
      </c>
      <c r="E67">
        <f t="shared" si="41"/>
        <v>5.5</v>
      </c>
      <c r="F67">
        <v>0.50319000000000003</v>
      </c>
      <c r="G67">
        <v>0.52910000000000001</v>
      </c>
      <c r="H67">
        <f t="shared" si="42"/>
        <v>0.50837200000000005</v>
      </c>
      <c r="I67">
        <f t="shared" si="43"/>
        <v>3.2286349135090861E-2</v>
      </c>
      <c r="J67">
        <f t="shared" si="21"/>
        <v>0.60067590995929987</v>
      </c>
      <c r="K67">
        <f t="shared" si="22"/>
        <v>0.72352248892213344</v>
      </c>
      <c r="L67">
        <f t="shared" si="23"/>
        <v>0.35245797756694064</v>
      </c>
      <c r="M67">
        <f t="shared" si="24"/>
        <v>0.45589539737647022</v>
      </c>
      <c r="N67">
        <f t="shared" si="25"/>
        <v>0.94147087311594135</v>
      </c>
      <c r="O67">
        <f t="shared" si="26"/>
        <v>0.98187365025370732</v>
      </c>
      <c r="P67">
        <f t="shared" si="27"/>
        <v>0.75243882484204971</v>
      </c>
      <c r="Q67">
        <f t="shared" si="28"/>
        <v>0.86091504971844945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4.9200833470284616E-2</v>
      </c>
      <c r="U67">
        <f t="shared" si="29"/>
        <v>0.86436823894006187</v>
      </c>
      <c r="V67">
        <f t="shared" si="30"/>
        <v>0.93906320423615863</v>
      </c>
      <c r="W67">
        <f t="shared" si="31"/>
        <v>0.61161639419666158</v>
      </c>
      <c r="X67">
        <f t="shared" si="32"/>
        <v>0.73407240061426293</v>
      </c>
      <c r="Y67">
        <f t="shared" si="33"/>
        <v>0.99201094852613525</v>
      </c>
      <c r="Z67">
        <f t="shared" si="34"/>
        <v>0.99891295134964053</v>
      </c>
      <c r="AA67">
        <f t="shared" si="35"/>
        <v>0.90704811454945145</v>
      </c>
      <c r="AB67">
        <f t="shared" si="36"/>
        <v>0.96515341115019826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7.1404997110991283E-2</v>
      </c>
      <c r="AD67">
        <f t="shared" si="44"/>
        <v>2.7234031759493526E-6</v>
      </c>
      <c r="AE67">
        <f t="shared" si="45"/>
        <v>1.7499134473593681E-7</v>
      </c>
      <c r="AF67">
        <f t="shared" si="46"/>
        <v>7.1807982498430507E-8</v>
      </c>
      <c r="AG67">
        <f t="shared" si="47"/>
        <v>-4.2958907051316096E-8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5.0008538245102105E-8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7.3411795391514224E-9</v>
      </c>
      <c r="AJ67">
        <f t="shared" si="48"/>
        <v>1.3971940723400747E-9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4.8781892425383857E-10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-1.483493196285002E-9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3.0708632109270356E-8</v>
      </c>
      <c r="AN67">
        <f t="shared" si="49"/>
        <v>8.4023391756684396E-9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2.7008728365889036E-10</v>
      </c>
      <c r="AP67">
        <f>AM66*T66*p_Stroke*p_Stroke_rec*(1-I66) + AN66*T66*p_Stroke*p_Stroke_rec*(1-I66) + AO66*(p_recur_Stroke*p_Stroke_rec)*(1-I66) + AP66*(p_recur_Stroke*p_Stroke_rec)*(1-I66) + AQ66*(p_recur_Stroke*p_Stroke_rec)*(1-I66)</f>
        <v>9.529634153680292E-10</v>
      </c>
      <c r="AQ67">
        <f>AO66*(1-p_recur_Stroke-H66*rr_Stroke*rr_HF)*(1-I66) + AP66*(1-p_recur_Stroke-H66*rr_Stroke*rr_HF)*(1-I66) + AQ66*(1-p_recur_Stroke-H66*rr_Stroke*rr_HF)*(1-I66)</f>
        <v>-6.2400250320060031E-10</v>
      </c>
      <c r="AR67">
        <f>AR66*(1-AC66-H66*rr_DM) + AD66*(1-T66-H66)*I66</f>
        <v>1.5941350327465136E-6</v>
      </c>
      <c r="AS67">
        <f>AR66*AC66*p_Other + AD66*T66*p_Other*I66 + AE66*(1-T66*p_Stroke-T66*p_MI-H66*rr_Other)*I66 + AS66*(1-AC66*p_Stroke-AC66*p_MI-H66*rr_Other*rr_DM)</f>
        <v>1.2964845204619214E-7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7.5768711540047196E-8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-5.3994126086326879E-8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5.2897389102359222E-8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-7.4606219283864928E-9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6.071155887208213E-10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5.963914990108259E-11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2.3311627641426338E-8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3.1743540363384025E-8</v>
      </c>
      <c r="BB67">
        <f>AM66*(1-T66*p_Stroke - H66*rr_HF)*I66 + AN66*(1-T66*p_Stroke - H66*rr_HF)*I66 + BA66*(1-AC66*p_Stroke - H66*rr_HF*rr_DM) + BB66*(1-AC66*p_Stroke - H66*rr_HF*rr_DM)</f>
        <v>-3.2528957478289116E-9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-8.7575166060115532E-10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-2.481741685145443E-8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5.5163405957557882E-7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0.94199460589039119</v>
      </c>
      <c r="BG67">
        <f t="shared" si="50"/>
        <v>0.94199999999999984</v>
      </c>
      <c r="BH67">
        <f>(0.9442 - 0.0007*$B67 - dis_BMI*($C67-21.75))*AD67</f>
        <v>2.2346748590093613E-6</v>
      </c>
      <c r="BI67">
        <f>0.959*(0.9442 - 0.0007*$B67 - dis_BMI*($C67-21.75))*AE67</f>
        <v>1.3770115377472894E-7</v>
      </c>
      <c r="BJ67">
        <f>(0.943*(0.9442 - 0.0007*$B67 - dis_BMI*($C67-21.75)) - 0.19*0.5)*AF67</f>
        <v>4.87413868448708E-8</v>
      </c>
      <c r="BK67">
        <f>(0.943*(0.9442 - 0.0007*$B67 - dis_BMI*($C67-21.75)))*AG67</f>
        <v>-3.3240482552396097E-8</v>
      </c>
      <c r="BL67">
        <f>(0.955*(0.9442 - 0.0007*$B67 - dis_BMI*($C67-21.75)) - 0.15*0.5)*AH67</f>
        <v>3.5437074125299922E-8</v>
      </c>
      <c r="BM67">
        <f>(0.955*(0.9442 - 0.0007*$B67 - dis_BMI*($C67-21.75)))*AI67</f>
        <v>5.7526985975301183E-9</v>
      </c>
      <c r="BN67">
        <f>(0.955*0.943*(0.9442 - 0.0007*$B67 - dis_BMI*($C67-21.75)) - 0.19*0.5)*AJ67</f>
        <v>8.9972886245185065E-10</v>
      </c>
      <c r="BO67">
        <f>(0.955*0.943*(0.9442 - 0.0007*$B67 - dis_BMI*($C67-21.75)) - 0.15*0.5)*AK67</f>
        <v>3.2388937868189052E-10</v>
      </c>
      <c r="BP67">
        <f>(0.955*0.943*(0.9442 - 0.0007*$B67 - dis_BMI*($C67-21.75)))*AL67</f>
        <v>-1.0962333914735905E-9</v>
      </c>
      <c r="BQ67">
        <f>(0.93*(0.9442 - 0.0007*$B67 - dis_BMI*($C67-21.75)))*AM67</f>
        <v>2.3433967516714158E-8</v>
      </c>
      <c r="BR67">
        <f>(0.93*(0.9442 - 0.0007*$B67 - dis_BMI*($C67-21.75)))*AN67</f>
        <v>6.4118825809759398E-9</v>
      </c>
      <c r="BS67">
        <f>(0.93*0.943*(0.9442 - 0.0007*$B67 - dis_BMI*($C67-21.75)))*AO67</f>
        <v>1.9435744525128675E-10</v>
      </c>
      <c r="BT67">
        <f>(0.93*0.943*(0.9442 - 0.0007*$B67 - dis_BMI*($C67-21.75))-0.19*0.5)*AP67</f>
        <v>5.9523024973297162E-10</v>
      </c>
      <c r="BU67">
        <f>(0.93*0.943*(0.9442 - 0.0007*$B67 - dis_BMI*($C67-21.75)))*AQ67</f>
        <v>-4.4903829128678213E-10</v>
      </c>
      <c r="BV67">
        <f>0.962*(0.9442 - 0.0007*$B67 - dis_BMI*($C67-21.75))*AR67</f>
        <v>1.2583532682880784E-6</v>
      </c>
      <c r="BW67">
        <f>0.962*0.959*(0.9442 - 0.0007*$B67 - dis_BMI*($C67-21.75))*AS67</f>
        <v>9.8143924108780786E-8</v>
      </c>
      <c r="BX67">
        <f>0.962*(0.943*(0.9442 - 0.0007*$B67 - dis_BMI*($C67-21.75)) - 0.19*0.5)*AT67</f>
        <v>4.947549307560487E-8</v>
      </c>
      <c r="BY67">
        <f>0.962*(0.943*(0.9442 - 0.0007*$B67 - dis_BMI*($C67-21.75)))*AU67</f>
        <v>-4.0191636007172572E-8</v>
      </c>
      <c r="BZ67">
        <f>0.962*(0.955*(0.9442 - 0.0007*$B67 - dis_BMI*($C67-21.75)) - 0.15*0.5)*AV67</f>
        <v>3.6059774418278621E-8</v>
      </c>
      <c r="CA67">
        <f>0.962*(0.955*(0.9442 - 0.0007*$B67 - dis_BMI*($C67-21.75)))*AW67</f>
        <v>-5.6241368475435691E-9</v>
      </c>
      <c r="CB67">
        <f>0.962*(0.955*0.943*(0.9442 - 0.0007*$B67 - dis_BMI*($C67-21.75)) - 0.19*0.5)*AX67</f>
        <v>3.7609830340307868E-10</v>
      </c>
      <c r="CC67">
        <f>0.962*(0.955*0.943*(0.9442 - 0.0007*$B67 - dis_BMI*($C67-21.75)) - 0.15*0.5)*AY67</f>
        <v>3.8092947544319452E-11</v>
      </c>
      <c r="CD67">
        <f>0.962*(0.955*0.943*(0.9442 - 0.0007*$B67 - dis_BMI*($C67-21.75)))*AZ67</f>
        <v>1.6571626533744068E-8</v>
      </c>
      <c r="CE67">
        <f>0.962*(0.93*(0.9442 - 0.0007*$B67 - dis_BMI*($C67-21.75)))*BA67</f>
        <v>2.3303211996956943E-8</v>
      </c>
      <c r="CF67">
        <f>0.962*(0.93*(0.9442 - 0.0007*$B67 - dis_BMI*($C67-21.75)))*BB67</f>
        <v>-2.3879793604589586E-9</v>
      </c>
      <c r="CG67">
        <f>0.962*(0.93*0.943*(0.9442 - 0.0007*$B67 - dis_BMI*($C67-21.75)))*BC67</f>
        <v>-6.062518631181036E-10</v>
      </c>
      <c r="CH67">
        <f>0.962*(0.93*0.943*(0.9442 - 0.0007*$B67 - dis_BMI*($C67-21.75))-0.19*0.5)*BD67</f>
        <v>-1.4912155142893986E-8</v>
      </c>
      <c r="CI67">
        <f>0.962*(0.93*0.943*(0.9442 - 0.0007*$B67 - dis_BMI*($C67-21.75)))*BE67</f>
        <v>3.8187672535788334E-7</v>
      </c>
      <c r="CJ67">
        <f t="shared" si="51"/>
        <v>0</v>
      </c>
      <c r="CK67">
        <f t="shared" si="52"/>
        <v>4.2598565299595298E-6</v>
      </c>
      <c r="CL67">
        <f>CK67/(1+r_)^A67</f>
        <v>6.4241044177756879E-7</v>
      </c>
      <c r="CM67">
        <f>AD67*c_LIR_2</f>
        <v>3.2027221349164386E-2</v>
      </c>
      <c r="CN67">
        <f>AE67*(c_Other+c_LIR_2)</f>
        <v>4.5565996255790588E-3</v>
      </c>
      <c r="CO67">
        <f>AF67*(c_Stroke1+c_Stroke2+c_LIR_2)</f>
        <v>2.5546407853641638E-3</v>
      </c>
      <c r="CP67">
        <f>AG67*(c_Stroke2 + c_LIR_2)</f>
        <v>-7.8442964275703196E-4</v>
      </c>
      <c r="CQ67">
        <f>AH67*(c_MI1+c_MI2 + c_LIR_2)</f>
        <v>2.0458993081453724E-3</v>
      </c>
      <c r="CR67">
        <f>AI67*(c_MI2+c_LIR_2)</f>
        <v>1.092147280039557E-4</v>
      </c>
      <c r="CS67">
        <f>AJ67*(c_Stroke1+c_Stroke2+c_MI2+c_LIR_2)</f>
        <v>5.4061630241054511E-5</v>
      </c>
      <c r="CT67">
        <f>AK67*(c_Stroke2+c_MI1+c_MI2+c_LIR_2)</f>
        <v>2.312798301779874E-5</v>
      </c>
      <c r="CU67">
        <f>AL67*(c_Stroke2+c_MI2+c_LIR_2)</f>
        <v>-3.1712634056984485E-5</v>
      </c>
      <c r="CV67">
        <f>AM67*(c_HF1+c_LIR_2)</f>
        <v>1.191187839518597E-3</v>
      </c>
      <c r="CW67">
        <f>AN67*(c_HF2+c_LIR_2)</f>
        <v>2.2993001154216684E-4</v>
      </c>
      <c r="CX67">
        <f>AO67*(c_Stroke2+c_HF1+c_LIR_2)</f>
        <v>1.2232253076911145E-5</v>
      </c>
      <c r="CY67">
        <f>AP67*(c_Stroke1+c_Stroke2+c_HF2+c_LIR_2)</f>
        <v>4.8773620561951105E-5</v>
      </c>
      <c r="CZ67">
        <f>AQ67*(c_Stroke2+c_HF2+c_LIR_2)</f>
        <v>-2.1131844770888331E-5</v>
      </c>
      <c r="DA67">
        <f>AR67*(c_DM+c_LIR_2)</f>
        <v>3.6960020734227918E-2</v>
      </c>
      <c r="DB67">
        <f>AS67*(c_Other+c_DM+c_LIR_2)</f>
        <v>4.8571496074585425E-3</v>
      </c>
      <c r="DC67">
        <f>AT67*(c_Stroke1+c_Stroke2+c_DM+c_LIR_2)</f>
        <v>3.5612052110937584E-3</v>
      </c>
      <c r="DD67">
        <f>AU67*(c_Stroke2+c_DM+c_LIR_2)</f>
        <v>-1.6028156328726133E-3</v>
      </c>
      <c r="DE67">
        <f>AV67*(c_MI1+c_MI2+c_DM+c_LIR_2)</f>
        <v>2.7684377560610722E-3</v>
      </c>
      <c r="DF67">
        <f>AW67*(c_MI2+c_DM+c_LIR_2)</f>
        <v>-1.9622927796042152E-4</v>
      </c>
      <c r="DG67">
        <f>AX67*(c_Stroke1+c_Stroke2+c_MI2+c_DM+c_LIR_2)</f>
        <v>3.0427419075510122E-5</v>
      </c>
      <c r="DH67">
        <f>AY67*(c_Stroke2+c_MI1+c_MI2+c_DM+c_LIR_2)</f>
        <v>3.5089290235800951E-6</v>
      </c>
      <c r="DI67">
        <f>AZ67*(c_Stroke2+c_MI2+c_DM+c_LIR_2)</f>
        <v>7.6466800989406672E-4</v>
      </c>
      <c r="DJ67">
        <f>BA67*(c_HF1+c_DM+c_LIR_2)</f>
        <v>1.5940018793473287E-3</v>
      </c>
      <c r="DK67">
        <f>BB67*(c_HF2+c_DM+c_LIR_2)</f>
        <v>-1.2617982605828349E-4</v>
      </c>
      <c r="DL67">
        <f>BC67*(c_Stroke2+c_HF1+c_DM+c_LIR_2)</f>
        <v>-4.9668255430994525E-5</v>
      </c>
      <c r="DM67">
        <f>BD67*(c_Stroke1+c_Stroke2+c_HF2+c_DM+c_LIR_2)</f>
        <v>-1.5537191994021561E-3</v>
      </c>
      <c r="DN67">
        <f>BE67*(c_Stroke2+c_HF2+c_DM+c_LIR_2)</f>
        <v>2.4983506558177965E-2</v>
      </c>
      <c r="DO67">
        <f t="shared" si="53"/>
        <v>0</v>
      </c>
      <c r="DP67">
        <f t="shared" si="54"/>
        <v>0.1140099289252658</v>
      </c>
      <c r="DQ67">
        <f>DP67/(1+r_)^A67</f>
        <v>1.7193341675430802E-2</v>
      </c>
    </row>
    <row r="68" spans="1:121" x14ac:dyDescent="0.3">
      <c r="CF68" s="6" t="s">
        <v>192</v>
      </c>
      <c r="CG68" s="6"/>
      <c r="CH68" s="6"/>
      <c r="CI68" s="6"/>
      <c r="CJ68" s="6"/>
      <c r="CK68">
        <f>SUM(CK3:CK67)</f>
        <v>26.475393929934828</v>
      </c>
      <c r="CL68">
        <f>SUM(CL3:CL67)</f>
        <v>16.520255708743367</v>
      </c>
      <c r="DK68" s="6" t="s">
        <v>196</v>
      </c>
      <c r="DL68" s="6"/>
      <c r="DM68" s="6"/>
      <c r="DN68" s="6"/>
      <c r="DO68" s="6"/>
      <c r="DP68" s="11">
        <f>SUM(DP3:DP67)</f>
        <v>594064.44033963734</v>
      </c>
      <c r="DQ68" s="11">
        <f>SUM(DQ3:DQ67)</f>
        <v>336189.30176515342</v>
      </c>
    </row>
    <row r="69" spans="1:121" x14ac:dyDescent="0.3">
      <c r="CF69" s="6" t="s">
        <v>193</v>
      </c>
      <c r="CG69" s="6"/>
      <c r="CH69" s="6"/>
      <c r="CI69" s="6"/>
      <c r="CJ69" s="6"/>
      <c r="CK69">
        <f>disc_SEM*TRT_DISC!CK68</f>
        <v>1.1481115278652145</v>
      </c>
      <c r="CL69">
        <f>disc_SEM*TRT_DISC!CL68</f>
        <v>0.72132338569124266</v>
      </c>
      <c r="DK69" s="6" t="s">
        <v>195</v>
      </c>
      <c r="DL69" s="6"/>
      <c r="DM69" s="6"/>
      <c r="DN69" s="6"/>
      <c r="DO69" s="6"/>
      <c r="DP69" s="11">
        <f>disc_SEM*TRT_DISC!DP68</f>
        <v>12848.998553664591</v>
      </c>
      <c r="DQ69" s="11">
        <f>disc_SEM*TRT_DISC!DQ68</f>
        <v>6583.4149256766477</v>
      </c>
    </row>
    <row r="70" spans="1:121" x14ac:dyDescent="0.3">
      <c r="CI70" s="6" t="s">
        <v>194</v>
      </c>
      <c r="CJ70" s="6"/>
      <c r="CK70">
        <f>CK68+CK69</f>
        <v>27.623505457800043</v>
      </c>
      <c r="CL70">
        <f>CL68+CL69</f>
        <v>17.241579094434609</v>
      </c>
      <c r="DN70" s="6" t="s">
        <v>197</v>
      </c>
      <c r="DO70" s="6"/>
      <c r="DP70" s="11">
        <f>DP68+DP69</f>
        <v>606913.43889330188</v>
      </c>
      <c r="DQ70" s="11">
        <f>DQ68+DQ69</f>
        <v>342772.71669083007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5" priority="2" operator="equal">
      <formula>"$AB$3"</formula>
    </cfRule>
  </conditionalFormatting>
  <conditionalFormatting sqref="BG3:BG67">
    <cfRule type="cellIs" dxfId="4" priority="1" operator="equal">
      <formula>$AD$3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A720-DB15-4F6B-B237-602A04FB95EA}">
  <dimension ref="A1:DQ70"/>
  <sheetViews>
    <sheetView topLeftCell="CF40" workbookViewId="0">
      <selection activeCell="CF68" sqref="CF68:CL70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44" si="0">BMI_BL</f>
        <v>38</v>
      </c>
      <c r="D3">
        <f t="shared" ref="D3:D66" si="1">SBP_BL</f>
        <v>125</v>
      </c>
      <c r="E3">
        <f t="shared" ref="E3:E44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f>1-disc_PT</f>
        <v>0.94199999999999995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0.94199999999999995</v>
      </c>
      <c r="BH3">
        <f>(0.9442 - 0.0007*$B3 - dis_BMI*($C3-21.75))*AD3</f>
        <v>0.80924865000000001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0.80924865000000001</v>
      </c>
      <c r="CL3">
        <f>CK3/(1+r_)^A3</f>
        <v>0.80924865000000001</v>
      </c>
      <c r="CM3">
        <f>AD3*c_PT_1</f>
        <v>1276.4099999999999</v>
      </c>
      <c r="CN3">
        <f>AE3*(c_Other+c_PT_1)</f>
        <v>0</v>
      </c>
      <c r="CO3">
        <f>AF3*(c_Stroke1+c_Stroke2+c_PT_1)</f>
        <v>0</v>
      </c>
      <c r="CP3">
        <f>AG3*(c_Stroke2 + c_PT_1)</f>
        <v>0</v>
      </c>
      <c r="CQ3">
        <f>AH3*(c_MI1+c_MI2 + c_PT_1)</f>
        <v>0</v>
      </c>
      <c r="CR3">
        <f>AI3*(c_MI2+c_PT_1)</f>
        <v>0</v>
      </c>
      <c r="CS3">
        <f>AJ3*(c_Stroke1+c_Stroke2+c_MI2+c_PT_1)</f>
        <v>0</v>
      </c>
      <c r="CT3">
        <f>AK3*(c_Stroke2+c_MI1+c_MI2+c_PT_1)</f>
        <v>0</v>
      </c>
      <c r="CU3">
        <f>AL3*(c_Stroke2+c_MI2+c_PT_1)</f>
        <v>0</v>
      </c>
      <c r="CV3">
        <f>AM3*(c_HF1+c_PT_1)</f>
        <v>0</v>
      </c>
      <c r="CW3">
        <f>AN3*(c_HF2+c_PT_1)</f>
        <v>0</v>
      </c>
      <c r="CX3">
        <f>AO3*(c_Stroke2+c_HF1+c_PT_1)</f>
        <v>0</v>
      </c>
      <c r="CY3">
        <f>AP3*(c_Stroke1+c_Stroke2+c_HF2+c_PT_1)</f>
        <v>0</v>
      </c>
      <c r="CZ3">
        <f>AQ3*(c_Stroke2+c_HF2+c_PT_1)</f>
        <v>0</v>
      </c>
      <c r="DA3">
        <f>AR3*(c_DM+c_PT_1)</f>
        <v>0</v>
      </c>
      <c r="DB3">
        <f>AS3*(c_Other+c_DM+c_PT_1)</f>
        <v>0</v>
      </c>
      <c r="DC3">
        <f>AT3*(c_Stroke1+c_Stroke2+c_DM+c_PT_1)</f>
        <v>0</v>
      </c>
      <c r="DD3">
        <f>AU3*(c_Stroke2+c_DM+c_PT_1)</f>
        <v>0</v>
      </c>
      <c r="DE3">
        <f>AV3*(c_MI1+c_MI2+c_DM+c_PT_1)</f>
        <v>0</v>
      </c>
      <c r="DF3">
        <f>AW3*(c_MI2+c_DM+c_PT_1)</f>
        <v>0</v>
      </c>
      <c r="DG3">
        <f>AX3*(c_Stroke1+c_Stroke2+c_MI2+c_DM+c_PT_1)</f>
        <v>0</v>
      </c>
      <c r="DH3">
        <f>AY3*(c_Stroke2+c_MI1+c_MI2+c_DM+c_PT_1)</f>
        <v>0</v>
      </c>
      <c r="DI3">
        <f>AZ3*(c_Stroke2+c_MI2+c_DM+c_PT_1)</f>
        <v>0</v>
      </c>
      <c r="DJ3">
        <f>BA3*(c_HF1+c_DM+c_PT_1)</f>
        <v>0</v>
      </c>
      <c r="DK3">
        <f>BB3*(c_HF2+c_DM+c_PT_1)</f>
        <v>0</v>
      </c>
      <c r="DL3">
        <f>BC3*(c_Stroke2+c_HF1+c_DM+c_PT_1)</f>
        <v>0</v>
      </c>
      <c r="DM3">
        <f>BD3*(c_Stroke1+c_Stroke2+c_HF2+c_DM+c_PT_1)</f>
        <v>0</v>
      </c>
      <c r="DN3">
        <f>BE3*(c_Stroke2+c_HF2+c_DM+c_PT_1)</f>
        <v>0</v>
      </c>
      <c r="DO3">
        <f t="shared" ref="DO3:DO44" si="5">BF3*0</f>
        <v>0</v>
      </c>
      <c r="DP3">
        <f>SUM(CM3:DO3)</f>
        <v>1276.4099999999999</v>
      </c>
      <c r="DQ3">
        <f>DP3/(1+r_)^A3</f>
        <v>1276.4099999999999</v>
      </c>
    </row>
    <row r="4" spans="1:121" x14ac:dyDescent="0.3">
      <c r="A4">
        <v>1</v>
      </c>
      <c r="B4">
        <v>46</v>
      </c>
      <c r="C4">
        <f>C3*(1+w_red_LSM+w_red_PT)</f>
        <v>34.542000000000002</v>
      </c>
      <c r="D4">
        <f t="shared" si="1"/>
        <v>125</v>
      </c>
      <c r="E4">
        <f>E3+h_red_LSM+h_red_PT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4.0096398347168494E-2</v>
      </c>
      <c r="J4">
        <f>1 - 0.94833 ^ (EXP(2.72107*(LN($B4)-3.8686) + 0.51125*(LN($C4)-LN(21.75)) + 2.81291*(LN($D4)*(1-0) - 4.24) + 2.88267*(LN($D4)*0 - 0.5826) + 0.61868*(1-0.3423) + 0.77763*(0-0.0376)))</f>
        <v>8.2231619248437138E-2</v>
      </c>
      <c r="K4">
        <f>1 - 0.94833 ^ (EXP(2.72107*(LN($B4)-3.8686) + 0.51125*(LN($C4)-LN(21.75)) + 2.81291*(LN($D4)*(1-1) - 4.24) + 2.88267*(LN($D4)*1 - 0.5826) + 0.61868*(1-0.3423) + 0.77763*(0-0.0376)))</f>
        <v>0.1132360788155734</v>
      </c>
      <c r="L4">
        <f>1 - 0.94833 ^ (EXP(2.72107*(LN($B4)-3.8686) + 0.51125*(LN($C4)-LN(28)) + 2.81291*(LN($D4)*(1-0) - 4.24) + 2.88267*(LN($D4)*0 - 0.5826) + 0.61868*(0-0.3423) + 0.77763*(0-0.0376)))</f>
        <v>3.9808430776918535E-2</v>
      </c>
      <c r="M4">
        <f>1 - 0.94833 ^ (EXP(2.72107*(LN($B4)-3.8686) + 0.51125*(LN($C4)-LN(28)) + 2.81291*(LN($D4)*(1-1) - 4.24) + 2.88267*(LN($D4)*1 - 0.5826) + 0.61868*(0-0.3423) + 0.77763*(0-0.0376)))</f>
        <v>5.5303351402977152E-2</v>
      </c>
      <c r="N4">
        <f>1 - 0.8843 ^ (EXP(3.113*(LN($B4)-3.856) + 0.7928*(LN($C4)-LN(28)) + 1.8551*(LN($D4)*(1-0) - 4.3544) + 1.9267*(LN($D4)*0 - 0.5019) + 0.7095*(1-0.3522) + 0.5316*(0-0.065)))</f>
        <v>0.17043940924362444</v>
      </c>
      <c r="O4">
        <f>1 - 0.8843 ^ (EXP(3.113*(LN($B4)-3.856) + 0.7928*(LN($C4)-LN(28)) + 1.8551*(LN($D4)*(1-1) - 4.3544) + 1.9267*(LN($D4)*1 - 0.5019) + 0.7095*(1-0.3522) + 0.5316*(0-0.065)))</f>
        <v>0.23204940441392863</v>
      </c>
      <c r="P4">
        <f>1 - 0.8843 ^ (EXP(3.113*(LN($B4)-3.856) + 0.7928*(LN($C4)-LN(28)) + 1.8551*(LN($D4)*(1-0) - 4.3544) + 1.9267*(LN($D4)*0 - 0.5019) + 0.7095*(0-0.3522) + 0.5316*(0-0.065)))</f>
        <v>8.7816543935632874E-2</v>
      </c>
      <c r="Q4">
        <f>1 - 0.8843 ^ (EXP(3.113*(LN($B4)-3.856) + 0.7928*(LN($C4)-LN(28)) + 1.8551*(LN($D4)*(1-1) - 4.3544) + 1.9267*(LN($D4)*1 - 0.5019) + 0.7095*(0-0.3522) + 0.5316*(0-0.065)))</f>
        <v>0.1217936387558689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6.453549293504412E-3</v>
      </c>
      <c r="U4">
        <f>1 - 0.94833 ^ (EXP(2.72107*(LN($B4)-3.8686) + 0.51125*(LN($C4)-LN(21.75)) + 2.81291*(LN($D4)*(1-0) - 4.24) + 2.88267*(LN($D4)*0 - 0.5826) + 0.61868*(1-0.3423) + 0.77763*(1-0.0376)))</f>
        <v>0.17034847260963903</v>
      </c>
      <c r="V4">
        <f>1 - 0.94833 ^ (EXP(2.72107*(LN($B4)-3.8686) + 0.51125*(LN($C4)-LN(21.75)) + 2.81291*(LN($D4)*(1-1) - 4.24) + 2.88267*(LN($D4)*1 - 0.5826) + 0.61868*(1-0.3423) + 0.77763*(1-0.0376)))</f>
        <v>0.23013575467207226</v>
      </c>
      <c r="W4">
        <f>1 - 0.94833 ^ (EXP(2.72107*(LN($B4)-3.8686) + 0.51125*(LN($C4)-LN(28)) + 2.81291*(LN($D4)*(1-0) - 4.24) + 2.88267*(LN($D4)*0 - 0.5826) + 0.61868*(0-0.3423) + 0.77763*(1-0.0376)))</f>
        <v>8.4611765452893839E-2</v>
      </c>
      <c r="X4">
        <f>1 - 0.94833 ^ (EXP(2.72107*(LN($B4)-3.8686) + 0.51125*(LN($C4)-LN(28)) + 2.81291*(LN($D4)*(1-1) - 4.24) + 2.88267*(LN($D4)*1 - 0.5826) + 0.61868*(0-0.3423) + 0.77763*(1-0.0376)))</f>
        <v>0.1164551700747638</v>
      </c>
      <c r="Y4">
        <f>1 - 0.8843 ^ (EXP(3.113*(LN($B4)-3.856) + 0.7928*(LN($C4)-LN(28)) + 1.8551*(LN($D4)*(1-0) - 4.3544) + 1.9267*(LN($D4)*0 - 0.5019) + 0.7095*(1-0.3522) + 0.5316*(1-0.065)))</f>
        <v>0.27237491194920327</v>
      </c>
      <c r="Z4">
        <f>1 - 0.8843 ^ (EXP(3.113*(LN($B4)-3.856) + 0.7928*(LN($C4)-LN(28)) + 1.8551*(LN($D4)*(1-1) - 4.3544) + 1.9267*(LN($D4)*1 - 0.5019) + 0.7095*(1-0.3522) + 0.5316*(1-0.065)))</f>
        <v>0.36191716742098368</v>
      </c>
      <c r="AA4">
        <f>1 - 0.8843 ^ (EXP(3.113*(LN($B4)-3.856) + 0.7928*(LN($C4)-LN(28)) + 1.8551*(LN($D4)*(1-0) - 4.3544) + 1.9267*(LN($D4)*0 - 0.5019) + 0.7095*(0-0.3522) + 0.5316*(1-0.065)))</f>
        <v>0.1447880709321413</v>
      </c>
      <c r="AB4">
        <f>1 - 0.8843 ^ (EXP(3.113*(LN($B4)-3.856) + 0.7928*(LN($C4)-LN(28)) + 1.8551*(LN($D4)*(1-1) - 4.3544) + 1.9267*(LN($D4)*1 - 0.5019) + 0.7095*(0-0.3522) + 0.5316*(1-0.065)))</f>
        <v>0.19828324246707651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1.243723453554392E-2</v>
      </c>
      <c r="AD4">
        <f>AD3*(1-T3-H3)*(1-I3)</f>
        <v>0.88083704550122499</v>
      </c>
      <c r="AE4">
        <f t="shared" ref="AE4:AE44" si="6">AD3*T3*p_Other*(1-I3) + AE3*(1-T3*(1-p_Other)-H3*rr_Other)*(1-I3)</f>
        <v>3.0628702624290812E-3</v>
      </c>
      <c r="AF4">
        <f t="shared" ref="AF4:AF44" si="7">AD3*T3*p_Stroke*p_Stroke_rec*(1-I3)+AE3*T3*p_Stroke*p_Stroke_rec*(1-I3) + AF3*p_recur_Stroke*p_Stroke_rec*(1-I3) + AG3*p_recur_Stroke*p_Stroke_rec*(1-I3)</f>
        <v>1.1783697227818065E-3</v>
      </c>
      <c r="AG4">
        <f t="shared" ref="AG4:AG44" si="8">AF3*(1-p_recur_Stroke-T3*p_MI-H3*rr_Stroke)*(1-I3) + AG3*(1-p_recur_Stroke-T3*p_MI-H3*rr_Stroke)*(1-I3)</f>
        <v>0</v>
      </c>
      <c r="AH4">
        <f t="shared" ref="AH4:AH44" si="9">AD3*T3*p_MI*p_MI_rec_young*(1-I3)+AE3*T3*p_MI*p_MI_rec_young*(1-I3) + AH3*(PREV_FEMALE*p_recur_MI_F + (1-PREV_FEMALE)*p_recur_MI_M)*p_MI_rec_young*(1-I3) + AI3*(PREV_FEMALE*p_recur_MI_F + (1-PREV_FEMALE)*p_recur_MI_M)*p_MI_rec_young*(1-I3)</f>
        <v>1.0053565349397216E-3</v>
      </c>
      <c r="AI4">
        <f t="shared" ref="AI4:AI44" si="10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1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2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3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4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1.2177972163418027E-4</v>
      </c>
      <c r="AN4">
        <f t="shared" ref="AN4:AN44" si="15">AM3*(1-T3*p_Stroke - H3*rr_HF)*(1-I3) + AN3*(1-T3*p_Stroke-H3*rr_HF)*(1-I3)</f>
        <v>0</v>
      </c>
      <c r="AO4">
        <f t="shared" ref="AO4:AO44" si="16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5.3101201429578242E-2</v>
      </c>
      <c r="AS4">
        <f>AR3*AC3*p_Other + AD3*T3*p_Other*I3 + AE3*(1-T3*p_Stroke-T3*p_MI-H3*rr_Other)*I3 + AS3*(1-AC3*p_Stroke-AC3*p_MI-H3*rr_Other*rr_DM)</f>
        <v>1.8464492562907952E-4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7.1037938660205855E-5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6.0607850388489055E-5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7.3414822430122007E-6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2.3697446304910795E-3</v>
      </c>
      <c r="BG4">
        <f t="shared" ref="BG4:BG44" si="17">SUM(AD4:BF4)</f>
        <v>0.94200000000000006</v>
      </c>
      <c r="BH4">
        <f>(0.9442 - 0.0007*$B4 - dis_BMI*($C4-21.75))*AD4</f>
        <v>0.76614008279314672</v>
      </c>
      <c r="BI4">
        <f>0.959*(0.9442 - 0.0007*$B4 - dis_BMI*($C4-21.75))*AE4</f>
        <v>2.5548171403570108E-3</v>
      </c>
      <c r="BJ4">
        <f>(0.943*(0.9442 - 0.0007*$B4 - dis_BMI*($C4-21.75)) - 0.19*0.5)*AF4</f>
        <v>8.5456382771741286E-4</v>
      </c>
      <c r="BK4">
        <f>(0.943*(0.9442 - 0.0007*$B4 - dis_BMI*($C4-21.75)))*AG4</f>
        <v>0</v>
      </c>
      <c r="BL4">
        <f>(0.955*(0.9442 - 0.0007*$B4 - dis_BMI*($C4-21.75)) - 0.15*0.5)*AH4</f>
        <v>7.5969365626533936E-4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9.8507781476072083E-5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4.4431608119677619E-2</v>
      </c>
      <c r="BW4">
        <f>0.962*0.959*(0.9442 - 0.0007*$B4 - dis_BMI*($C4-21.75))*AS4</f>
        <v>1.4816433253816118E-4</v>
      </c>
      <c r="BX4">
        <f>0.962*(0.943*(0.9442 - 0.0007*$B4 - dis_BMI*($C4-21.75)) - 0.19*0.5)*AT4</f>
        <v>4.9559664034238197E-5</v>
      </c>
      <c r="BY4">
        <f>0.962*(0.943*(0.9442 - 0.0007*$B4 - dis_BMI*($C4-21.75)))*AU4</f>
        <v>0</v>
      </c>
      <c r="BZ4">
        <f>0.962*(0.955*(0.9442 - 0.0007*$B4 - dis_BMI*($C4-21.75)) - 0.15*0.5)*AV4</f>
        <v>4.4057753385160133E-5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5.7128705853984124E-6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8">0*BF4</f>
        <v>0</v>
      </c>
      <c r="CK4">
        <f t="shared" ref="CK4:CK44" si="19">SUM(BH4:CJ4)</f>
        <v>0.815086767939183</v>
      </c>
      <c r="CL4">
        <f>CK4/(1+r_)^A4</f>
        <v>0.79134637663998353</v>
      </c>
      <c r="CM4">
        <f>AD4*c_PT_2</f>
        <v>1290.4262716592946</v>
      </c>
      <c r="CN4">
        <f>AE4*(c_Other+c_PT_2)</f>
        <v>48.221829411683451</v>
      </c>
      <c r="CO4">
        <f>AF4*(c_Stroke1+c_Stroke2+c_PT_2)</f>
        <v>29.790364961646851</v>
      </c>
      <c r="CP4">
        <f>AG4*(c_Stroke2 + c_PT_2)</f>
        <v>0</v>
      </c>
      <c r="CQ4">
        <f>AH4*(c_MI1+c_MI2 + c_PT_2)</f>
        <v>30.779995673714517</v>
      </c>
      <c r="CR4">
        <f>AI4*(c_MI2+c_PT_2)</f>
        <v>0</v>
      </c>
      <c r="CS4">
        <f>AJ4*(c_Stroke1+c_Stroke2+c_MI2+c_PT_2)</f>
        <v>0</v>
      </c>
      <c r="CT4">
        <f>AK4*(c_Stroke2+c_MI1+c_MI2+c_PT_2)</f>
        <v>0</v>
      </c>
      <c r="CU4">
        <f>AL4*(c_Stroke2+c_MI2+c_PT_2)</f>
        <v>0</v>
      </c>
      <c r="CV4">
        <f>AM4*(c_HF1+c_PT_2)</f>
        <v>3.4701131679659669</v>
      </c>
      <c r="CW4">
        <f>AN4*(c_HF2+c_PT_2)</f>
        <v>0</v>
      </c>
      <c r="CX4">
        <f>AO4*(c_Stroke2+c_HF1+c_PT_2)</f>
        <v>0</v>
      </c>
      <c r="CY4">
        <f>AP4*(c_Stroke1+c_Stroke2+c_HF2+c_PT_2)</f>
        <v>0</v>
      </c>
      <c r="CZ4">
        <f>AQ4*(c_Stroke2+c_HF2+c_PT_2)</f>
        <v>0</v>
      </c>
      <c r="DA4">
        <f>AR4*(c_DM+c_PT_2)</f>
        <v>684.47448642726351</v>
      </c>
      <c r="DB4">
        <f>AS4*(c_Other+c_DM+c_PT_2)</f>
        <v>5.0166179844164613</v>
      </c>
      <c r="DC4">
        <f>AT4*(c_Stroke1+c_Stroke2+c_DM+c_PT_2)</f>
        <v>2.6075185764615161</v>
      </c>
      <c r="DD4">
        <f>AU4*(c_Stroke2+c_DM+c_PT_2)</f>
        <v>0</v>
      </c>
      <c r="DE4">
        <f>AV4*(c_MI1+c_MI2+c_DM+c_PT_2)</f>
        <v>2.5480146381824684</v>
      </c>
      <c r="DF4">
        <f>AW4*(c_MI2+c_DM+c_PT_2)</f>
        <v>0</v>
      </c>
      <c r="DG4">
        <f>AX4*(c_Stroke1+c_Stroke2+c_MI2+c_DM+c_PT_2)</f>
        <v>0</v>
      </c>
      <c r="DH4">
        <f>AY4*(c_Stroke2+c_MI1+c_MI2+c_DM+c_PT_2)</f>
        <v>0</v>
      </c>
      <c r="DI4">
        <f>AZ4*(c_Stroke2+c_MI2+c_DM+c_PT_2)</f>
        <v>0</v>
      </c>
      <c r="DJ4">
        <f>BA4*(c_HF1+c_DM+c_PT_2)</f>
        <v>0.29307197114104705</v>
      </c>
      <c r="DK4">
        <f>BB4*(c_HF2+c_DM+c_PT_2)</f>
        <v>0</v>
      </c>
      <c r="DL4">
        <f>BC4*(c_Stroke2+c_HF1+c_DM+c_PT_2)</f>
        <v>0</v>
      </c>
      <c r="DM4">
        <f>BD4*(c_Stroke1+c_Stroke2+c_HF2+c_DM+c_PT_2)</f>
        <v>0</v>
      </c>
      <c r="DN4">
        <f>BE4*(c_Stroke2+c_HF2+c_DM+c_PT_2)</f>
        <v>0</v>
      </c>
      <c r="DO4">
        <f t="shared" si="5"/>
        <v>0</v>
      </c>
      <c r="DP4">
        <f>BG4*0</f>
        <v>0</v>
      </c>
      <c r="DQ4">
        <f>DP4/(1+r_)^A4</f>
        <v>0</v>
      </c>
    </row>
    <row r="5" spans="1:121" x14ac:dyDescent="0.3">
      <c r="A5">
        <v>2</v>
      </c>
      <c r="B5">
        <v>47</v>
      </c>
      <c r="C5">
        <f>C$4</f>
        <v>34.542000000000002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20">0.00000146 * EXP(1.87 * E5) * 0.0197 * EXP(0.101*C5)</f>
        <v>4.0096398347168494E-2</v>
      </c>
      <c r="J5">
        <f t="shared" ref="J5:J67" si="21">1 - 0.94833 ^ (EXP(2.72107*(LN($B5)-3.8686) + 0.51125*(LN($C5)-LN(21.75)) + 2.81291*(LN($D5)*(1-0) - 4.24) + 2.88267*(LN($D5)*0 - 0.5826) + 0.61868*(1-0.3423) + 0.77763*(0-0.0376)))</f>
        <v>8.6965557297631002E-2</v>
      </c>
      <c r="K5">
        <f t="shared" ref="K5:K67" si="22">1 - 0.94833 ^ (EXP(2.72107*(LN($B5)-3.8686) + 0.51125*(LN($C5)-LN(21.75)) + 2.81291*(LN($D5)*(1-1) - 4.24) + 2.88267*(LN($D5)*1 - 0.5826) + 0.61868*(1-0.3423) + 0.77763*(0-0.0376)))</f>
        <v>0.11963532272953381</v>
      </c>
      <c r="L5">
        <f t="shared" ref="L5:L67" si="23">1 - 0.94833 ^ (EXP(2.72107*(LN($B5)-3.8686) + 0.51125*(LN($C5)-LN(28)) + 2.81291*(LN($D5)*(1-0) - 4.24) + 2.88267*(LN($D5)*0 - 0.5826) + 0.61868*(0-0.3423) + 0.77763*(0-0.0376)))</f>
        <v>4.2156254791530623E-2</v>
      </c>
      <c r="M5">
        <f t="shared" ref="M5:M67" si="24">1 - 0.94833 ^ (EXP(2.72107*(LN($B5)-3.8686) + 0.51125*(LN($C5)-LN(28)) + 2.81291*(LN($D5)*(1-1) - 4.24) + 2.88267*(LN($D5)*1 - 0.5826) + 0.61868*(0-0.3423) + 0.77763*(0-0.0376)))</f>
        <v>5.8536812708064767E-2</v>
      </c>
      <c r="N5">
        <f t="shared" ref="N5:N67" si="25">1 - 0.8843 ^ (EXP(3.113*(LN($B5)-3.856) + 0.7928*(LN($C5)-LN(28)) + 1.8551*(LN($D5)*(1-0) - 4.3544) + 1.9267*(LN($D5)*0 - 0.5019) + 0.7095*(1-0.3522) + 0.5316*(0-0.065)))</f>
        <v>0.18110334965609165</v>
      </c>
      <c r="O5">
        <f t="shared" ref="O5:O67" si="26">1 - 0.8843 ^ (EXP(3.113*(LN($B5)-3.856) + 0.7928*(LN($C5)-LN(28)) + 1.8551*(LN($D5)*(1-1) - 4.3544) + 1.9267*(LN($D5)*1 - 0.5019) + 0.7095*(1-0.3522) + 0.5316*(0-0.065)))</f>
        <v>0.24596123750856047</v>
      </c>
      <c r="P5">
        <f t="shared" ref="P5:P67" si="27">1 - 0.8843 ^ (EXP(3.113*(LN($B5)-3.856) + 0.7928*(LN($C5)-LN(28)) + 1.8551*(LN($D5)*(1-0) - 4.3544) + 1.9267*(LN($D5)*0 - 0.5019) + 0.7095*(0-0.3522) + 0.5316*(0-0.065)))</f>
        <v>9.3603432200278114E-2</v>
      </c>
      <c r="Q5">
        <f t="shared" ref="Q5:Q67" si="28">1 - 0.8843 ^ (EXP(3.113*(LN($B5)-3.856) + 0.7928*(LN($C5)-LN(28)) + 1.8551*(LN($D5)*(1-1) - 4.3544) + 1.9267*(LN($D5)*1 - 0.5019) + 0.7095*(0-0.3522) + 0.5316*(0-0.065)))</f>
        <v>0.12965555175197041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6.8419978870418331E-3</v>
      </c>
      <c r="U5">
        <f t="shared" ref="U5:U67" si="29">1 - 0.94833 ^ (EXP(2.72107*(LN($B5)-3.8686) + 0.51125*(LN($C5)-LN(21.75)) + 2.81291*(LN($D5)*(1-0) - 4.24) + 2.88267*(LN($D5)*0 - 0.5826) + 0.61868*(1-0.3423) + 0.77763*(1-0.0376)))</f>
        <v>0.17963357012135284</v>
      </c>
      <c r="V5">
        <f t="shared" ref="V5:V67" si="30">1 - 0.94833 ^ (EXP(2.72107*(LN($B5)-3.8686) + 0.51125*(LN($C5)-LN(21.75)) + 2.81291*(LN($D5)*(1-1) - 4.24) + 2.88267*(LN($D5)*1 - 0.5826) + 0.61868*(1-0.3423) + 0.77763*(1-0.0376)))</f>
        <v>0.24217526379229093</v>
      </c>
      <c r="W5">
        <f t="shared" ref="W5:W67" si="31">1 - 0.94833 ^ (EXP(2.72107*(LN($B5)-3.8686) + 0.51125*(LN($C5)-LN(28)) + 2.81291*(LN($D5)*(1-0) - 4.24) + 2.88267*(LN($D5)*0 - 0.5826) + 0.61868*(0-0.3423) + 0.77763*(1-0.0376)))</f>
        <v>8.9475932303360484E-2</v>
      </c>
      <c r="X5">
        <f t="shared" ref="X5:X67" si="32">1 - 0.94833 ^ (EXP(2.72107*(LN($B5)-3.8686) + 0.51125*(LN($C5)-LN(28)) + 2.81291*(LN($D5)*(1-1) - 4.24) + 2.88267*(LN($D5)*1 - 0.5826) + 0.61868*(0-0.3423) + 0.77763*(1-0.0376)))</f>
        <v>0.1230234146536181</v>
      </c>
      <c r="Y5">
        <f t="shared" ref="Y5:Y67" si="33">1 - 0.8843 ^ (EXP(3.113*(LN($B5)-3.856) + 0.7928*(LN($C5)-LN(28)) + 1.8551*(LN($D5)*(1-0) - 4.3544) + 1.9267*(LN($D5)*0 - 0.5019) + 0.7095*(1-0.3522) + 0.5316*(1-0.065)))</f>
        <v>0.28821956199033016</v>
      </c>
      <c r="Z5">
        <f t="shared" ref="Z5:Z67" si="34">1 - 0.8843 ^ (EXP(3.113*(LN($B5)-3.856) + 0.7928*(LN($C5)-LN(28)) + 1.8551*(LN($D5)*(1-1) - 4.3544) + 1.9267*(LN($D5)*1 - 0.5019) + 0.7095*(1-0.3522) + 0.5316*(1-0.065)))</f>
        <v>0.38146169258651885</v>
      </c>
      <c r="AA5">
        <f t="shared" ref="AA5:AA67" si="35">1 - 0.8843 ^ (EXP(3.113*(LN($B5)-3.856) + 0.7928*(LN($C5)-LN(28)) + 1.8551*(LN($D5)*(1-0) - 4.3544) + 1.9267*(LN($D5)*0 - 0.5019) + 0.7095*(0-0.3522) + 0.5316*(1-0.065)))</f>
        <v>0.15399976124155912</v>
      </c>
      <c r="AB5">
        <f t="shared" ref="AB5:AB67" si="36">1 - 0.8843 ^ (EXP(3.113*(LN($B5)-3.856) + 0.7928*(LN($C5)-LN(28)) + 1.8551*(LN($D5)*(1-1) - 4.3544) + 1.9267*(LN($D5)*1 - 0.5019) + 0.7095*(0-0.3522) + 0.5316*(1-0.065)))</f>
        <v>0.21045788487215999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1.3148663050988399E-2</v>
      </c>
      <c r="AD5">
        <f t="shared" ref="AD5:AD44" si="37">AD4*(1-T4-H4)*(1-I4)</f>
        <v>0.83794149536339391</v>
      </c>
      <c r="AE5">
        <f t="shared" si="6"/>
        <v>5.9186399670976475E-3</v>
      </c>
      <c r="AF5">
        <f t="shared" si="7"/>
        <v>1.2835064346080113E-3</v>
      </c>
      <c r="AG5">
        <f t="shared" si="8"/>
        <v>9.8490148787534954E-4</v>
      </c>
      <c r="AH5">
        <f t="shared" si="9"/>
        <v>1.0471966179140155E-3</v>
      </c>
      <c r="AI5">
        <f t="shared" si="10"/>
        <v>8.7669839350497424E-4</v>
      </c>
      <c r="AJ5">
        <f t="shared" si="11"/>
        <v>1.3178379851473225E-6</v>
      </c>
      <c r="AK5">
        <f t="shared" si="12"/>
        <v>1.3178379851473223E-6</v>
      </c>
      <c r="AL5">
        <f t="shared" si="13"/>
        <v>0</v>
      </c>
      <c r="AM5">
        <f t="shared" si="14"/>
        <v>1.3842839200360935E-4</v>
      </c>
      <c r="AN5">
        <f t="shared" si="15"/>
        <v>1.1618969915737146E-4</v>
      </c>
      <c r="AO5">
        <f t="shared" si="16"/>
        <v>1.5963087463276122E-7</v>
      </c>
      <c r="AP5">
        <f>AM4*T4*p_Stroke*p_Stroke_rec*(1-I4) + AN4*T4*p_Stroke*p_Stroke_rec*(1-I4) + AO4*(p_recur_Stroke*p_Stroke_rec)*(1-I4) + AP4*(p_recur_Stroke*p_Stroke_rec)*(1-I4) + AQ4*(p_recur_Stroke*p_Stroke_rec)*(1-I4)</f>
        <v>1.5963087463276122E-7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8.7289500383143342E-2</v>
      </c>
      <c r="AS5">
        <f>AR4*AC4*p_Other + AD4*T4*p_Other*I4 + AE4*(1-T4*p_Stroke-T4*p_MI-H4*rr_Other)*I4 + AS4*(1-AC4*p_Stroke-AC4*p_MI-H4*rr_Other*rr_DM)</f>
        <v>7.9306645961979116E-4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2.0168965515236691E-4</v>
      </c>
      <c r="AU5">
        <f>AF4*(1-p_recur_Stroke-T4*p_MI-H4*rr_Stroke)*I4 + AG4*(1-p_recur_Stroke-T4*p_MI-H4*rr_Stroke)*I4 + AT4*(1-p_recur_Stroke-AC4*p_MI-H4*rr_Stroke*rr_DM) + AU4*(1-p_recur_Stroke-AC4*p_MI-H4*rr_Stroke*rr_DM)</f>
        <v>1.0281830630487876E-4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1.6707180179541422E-4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9.1560760309436826E-5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2.1455059527087567E-7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2.1455059527087564E-7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2.1448582666536007E-5</v>
      </c>
      <c r="BB5">
        <f>AM4*(1-T4*p_Stroke - H4*rr_HF)*I4 + AN4*(1-T4*p_Stroke - H4*rr_HF)*I4 + BA4*(1-AC4*p_Stroke - H4*rr_HF*rr_DM) + BB4*(1-AC4*p_Stroke - H4*rr_HF*rr_DM)</f>
        <v>1.2135336232230866E-5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2.5988702376218666E-8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2.598870237621867E-8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5.0102163429061979E-3</v>
      </c>
      <c r="BG5">
        <f t="shared" si="17"/>
        <v>0.94200000000000006</v>
      </c>
      <c r="BH5">
        <f>(0.9442 - 0.0007*$B5 - dis_BMI*($C5-21.75))*AD5</f>
        <v>0.72824355761598869</v>
      </c>
      <c r="BI5">
        <f>0.959*(0.9442 - 0.0007*$B5 - dis_BMI*($C5-21.75))*AE5</f>
        <v>4.9329133123230716E-3</v>
      </c>
      <c r="BJ5">
        <f>(0.943*(0.9442 - 0.0007*$B5 - dis_BMI*($C5-21.75)) - 0.19*0.5)*AF5</f>
        <v>9.299626301046231E-4</v>
      </c>
      <c r="BK5">
        <f>(0.943*(0.9442 - 0.0007*$B5 - dis_BMI*($C5-21.75)))*AG5</f>
        <v>8.07174512610454E-4</v>
      </c>
      <c r="BL5">
        <f>(0.955*(0.9442 - 0.0007*$B5 - dis_BMI*($C5-21.75)) - 0.15*0.5)*AH5</f>
        <v>7.9060989716753813E-4</v>
      </c>
      <c r="BM5">
        <f>(0.955*(0.9442 - 0.0007*$B5 - dis_BMI*($C5-21.75)))*AI5</f>
        <v>7.2763995141565555E-4</v>
      </c>
      <c r="BN5">
        <f>(0.955*0.943*(0.9442 - 0.0007*$B5 - dis_BMI*($C5-21.75)) - 0.19*0.5)*AJ5</f>
        <v>9.0623605769116696E-7</v>
      </c>
      <c r="BO5">
        <f>(0.955*0.943*(0.9442 - 0.0007*$B5 - dis_BMI*($C5-21.75)) - 0.15*0.5)*AK5</f>
        <v>9.3259281739411328E-7</v>
      </c>
      <c r="BP5">
        <f>(0.955*0.943*(0.9442 - 0.0007*$B5 - dis_BMI*($C5-21.75)))*AL5</f>
        <v>0</v>
      </c>
      <c r="BQ5">
        <f>(0.93*(0.9442 - 0.0007*$B5 - dis_BMI*($C5-21.75)))*AM5</f>
        <v>1.1188479656371125E-4</v>
      </c>
      <c r="BR5">
        <f>(0.93*(0.9442 - 0.0007*$B5 - dis_BMI*($C5-21.75)))*AN5</f>
        <v>9.3910365242719601E-5</v>
      </c>
      <c r="BS5">
        <f>(0.93*0.943*(0.9442 - 0.0007*$B5 - dis_BMI*($C5-21.75)))*AO5</f>
        <v>1.2166747310711329E-7</v>
      </c>
      <c r="BT5">
        <f>(0.93*0.943*(0.9442 - 0.0007*$B5 - dis_BMI*($C5-21.75))-0.19*0.5)*AP5</f>
        <v>1.0650254001700099E-7</v>
      </c>
      <c r="BU5">
        <f>(0.93*0.943*(0.9442 - 0.0007*$B5 - dis_BMI*($C5-21.75)))*AQ5</f>
        <v>0</v>
      </c>
      <c r="BV5">
        <f>0.962*(0.9442 - 0.0007*$B5 - dis_BMI*($C5-21.75))*AR5</f>
        <v>7.2979357175244855E-2</v>
      </c>
      <c r="BW5">
        <f>0.962*0.959*(0.9442 - 0.0007*$B5 - dis_BMI*($C5-21.75))*AS5</f>
        <v>6.3586689669936451E-4</v>
      </c>
      <c r="BX5">
        <f>0.962*(0.943*(0.9442 - 0.0007*$B5 - dis_BMI*($C5-21.75)) - 0.19*0.5)*AT5</f>
        <v>1.4058084268429933E-4</v>
      </c>
      <c r="BY5">
        <f>0.962*(0.943*(0.9442 - 0.0007*$B5 - dis_BMI*($C5-21.75)))*AU5</f>
        <v>8.106253188092715E-5</v>
      </c>
      <c r="BZ5">
        <f>0.962*(0.955*(0.9442 - 0.0007*$B5 - dis_BMI*($C5-21.75)) - 0.15*0.5)*AV5</f>
        <v>1.2134230602155433E-4</v>
      </c>
      <c r="CA5">
        <f>0.962*(0.955*(0.9442 - 0.0007*$B5 - dis_BMI*($C5-21.75)))*AW5</f>
        <v>7.3105623900993449E-5</v>
      </c>
      <c r="CB5">
        <f>0.962*(0.955*0.943*(0.9442 - 0.0007*$B5 - dis_BMI*($C5-21.75)) - 0.19*0.5)*AX5</f>
        <v>1.419332385980556E-7</v>
      </c>
      <c r="CC5">
        <f>0.962*(0.955*0.943*(0.9442 - 0.0007*$B5 - dis_BMI*($C5-21.75)) - 0.15*0.5)*AY5</f>
        <v>1.4606119205106723E-7</v>
      </c>
      <c r="CD5">
        <f>0.962*(0.955*0.943*(0.9442 - 0.0007*$B5 - dis_BMI*($C5-21.75)))*AZ5</f>
        <v>0</v>
      </c>
      <c r="CE5">
        <f>0.962*(0.93*(0.9442 - 0.0007*$B5 - dis_BMI*($C5-21.75)))*BA5</f>
        <v>1.6677063159503933E-5</v>
      </c>
      <c r="CF5">
        <f>0.962*(0.93*(0.9442 - 0.0007*$B5 - dis_BMI*($C5-21.75)))*BB5</f>
        <v>9.435670969648071E-6</v>
      </c>
      <c r="CG5">
        <f>0.962*(0.93*0.943*(0.9442 - 0.0007*$B5 - dis_BMI*($C5-21.75)))*BC5</f>
        <v>1.905536459686903E-8</v>
      </c>
      <c r="CH5">
        <f>0.962*(0.93*0.943*(0.9442 - 0.0007*$B5 - dis_BMI*($C5-21.75))-0.19*0.5)*BD5</f>
        <v>1.6680257086706409E-8</v>
      </c>
      <c r="CI5">
        <f>0.962*(0.93*0.943*(0.9442 - 0.0007*$B5 - dis_BMI*($C5-21.75)))*BE5</f>
        <v>0</v>
      </c>
      <c r="CJ5">
        <f t="shared" si="18"/>
        <v>0</v>
      </c>
      <c r="CK5">
        <f t="shared" si="19"/>
        <v>0.81069747192091812</v>
      </c>
      <c r="CL5">
        <f>CK5/(1+r_)^A5</f>
        <v>0.76416012057773419</v>
      </c>
      <c r="CM5">
        <f>AD5*c_PT_2</f>
        <v>1227.584290707372</v>
      </c>
      <c r="CN5">
        <f>AE5*(c_Other+c_PT_2)</f>
        <v>93.18306764198536</v>
      </c>
      <c r="CO5">
        <f>AF5*(c_Stroke1+c_Stroke2+c_PT_2)</f>
        <v>32.448326173325135</v>
      </c>
      <c r="CP5">
        <f>AG5*(c_Stroke2 + c_PT_2)</f>
        <v>7.8447403509271592</v>
      </c>
      <c r="CQ5">
        <f>AH5*(c_MI1+c_MI2 + c_PT_2)</f>
        <v>32.0609716540555</v>
      </c>
      <c r="CR5">
        <f>AI5*(c_MI2+c_PT_2)</f>
        <v>4.0170320390397922</v>
      </c>
      <c r="CS5">
        <f>AJ5*(c_Stroke1+c_Stroke2+c_MI2+c_PT_2)</f>
        <v>3.7423963102213666E-2</v>
      </c>
      <c r="CT5">
        <f>AK5*(c_Stroke2+c_MI1+c_MI2+c_PT_2)</f>
        <v>4.8912874656728014E-2</v>
      </c>
      <c r="CU5">
        <f>AL5*(c_Stroke2+c_MI2+c_PT_2)</f>
        <v>0</v>
      </c>
      <c r="CV5">
        <f>AM5*(c_HF1+c_PT_2)</f>
        <v>3.9445170301428485</v>
      </c>
      <c r="CW5">
        <f>AN5*(c_HF2+c_PT_2)</f>
        <v>1.983358164616331</v>
      </c>
      <c r="CX5">
        <f>AO5*(c_Stroke2+c_HF1+c_PT_2)</f>
        <v>5.5862824577734786E-3</v>
      </c>
      <c r="CY5">
        <f>AP5*(c_Stroke1+c_Stroke2+c_HF2+c_PT_2)</f>
        <v>6.5266679402350754E-3</v>
      </c>
      <c r="CZ5">
        <f>AQ5*(c_Stroke2+c_HF2+c_PT_2)</f>
        <v>0</v>
      </c>
      <c r="DA5">
        <f>AR5*(c_DM+c_PT_2)</f>
        <v>1125.1616599387178</v>
      </c>
      <c r="DB5">
        <f>AS5*(c_Other+c_DM+c_PT_2)</f>
        <v>21.546822641410106</v>
      </c>
      <c r="DC5">
        <f>AT5*(c_Stroke1+c_Stroke2+c_DM+c_PT_2)</f>
        <v>7.40322048202278</v>
      </c>
      <c r="DD5">
        <f>AU5*(c_Stroke2+c_DM+c_PT_2)</f>
        <v>1.9936469592515993</v>
      </c>
      <c r="DE5">
        <f>AV5*(c_MI1+c_MI2+c_DM+c_PT_2)</f>
        <v>7.0238656192810094</v>
      </c>
      <c r="DF5">
        <f>AW5*(c_MI2+c_DM+c_PT_2)</f>
        <v>1.4656130902731552</v>
      </c>
      <c r="DG5">
        <f>AX5*(c_Stroke1+c_Stroke2+c_MI2+c_DM+c_PT_2)</f>
        <v>8.5440483554720826E-3</v>
      </c>
      <c r="DH5">
        <f>AY5*(c_Stroke2+c_MI1+c_MI2+c_DM+c_PT_2)</f>
        <v>1.0414500445043575E-2</v>
      </c>
      <c r="DI5">
        <f>AZ5*(c_Stroke2+c_MI2+c_DM+c_PT_2)</f>
        <v>0</v>
      </c>
      <c r="DJ5">
        <f>BA5*(c_HF1+c_DM+c_PT_2)</f>
        <v>0.85622742004811736</v>
      </c>
      <c r="DK5">
        <f>BB5*(c_HF2+c_DM+c_PT_2)</f>
        <v>0.34579640593741856</v>
      </c>
      <c r="DL5">
        <f>BC5*(c_Stroke2+c_HF1+c_DM+c_PT_2)</f>
        <v>1.2063955643040706E-3</v>
      </c>
      <c r="DM5">
        <f>BD5*(c_Stroke1+c_Stroke2+c_HF2+c_DM+c_PT_2)</f>
        <v>1.3594950100023749E-3</v>
      </c>
      <c r="DN5">
        <f>BE5*(c_Stroke2+c_HF2+c_DM+c_PT_2)</f>
        <v>0</v>
      </c>
      <c r="DO5">
        <f t="shared" si="5"/>
        <v>0</v>
      </c>
      <c r="DP5">
        <f t="shared" ref="DP5:DP44" si="38">SUM(CM5:DO5)</f>
        <v>2568.9831305459375</v>
      </c>
      <c r="DQ5">
        <f>DP5/(1+r_)^A5</f>
        <v>2421.5129894862262</v>
      </c>
    </row>
    <row r="6" spans="1:121" x14ac:dyDescent="0.3">
      <c r="A6">
        <v>3</v>
      </c>
      <c r="B6">
        <v>48</v>
      </c>
      <c r="C6">
        <f t="shared" ref="C6:C67" si="39">C$4</f>
        <v>34.542000000000002</v>
      </c>
      <c r="D6">
        <f t="shared" si="1"/>
        <v>125</v>
      </c>
      <c r="E6">
        <f t="shared" ref="E6:E43" si="40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20"/>
        <v>4.0096398347168494E-2</v>
      </c>
      <c r="J6">
        <f t="shared" si="21"/>
        <v>9.185026045864586E-2</v>
      </c>
      <c r="K6">
        <f t="shared" si="22"/>
        <v>0.12622445243308256</v>
      </c>
      <c r="L6">
        <f t="shared" si="23"/>
        <v>4.458558127395218E-2</v>
      </c>
      <c r="M6">
        <f t="shared" si="24"/>
        <v>6.187918073665577E-2</v>
      </c>
      <c r="N6">
        <f t="shared" si="25"/>
        <v>0.19211099617217242</v>
      </c>
      <c r="O6">
        <f t="shared" si="26"/>
        <v>0.26024318597548213</v>
      </c>
      <c r="P6">
        <f t="shared" si="27"/>
        <v>9.9617140622988321E-2</v>
      </c>
      <c r="Q6">
        <f t="shared" si="28"/>
        <v>0.13780367992461129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7.243612510296411E-3</v>
      </c>
      <c r="U6">
        <f t="shared" si="29"/>
        <v>0.18915519436124417</v>
      </c>
      <c r="V6">
        <f t="shared" si="30"/>
        <v>0.25446491266211302</v>
      </c>
      <c r="W6">
        <f t="shared" si="31"/>
        <v>9.4494211724163835E-2</v>
      </c>
      <c r="X6">
        <f t="shared" si="32"/>
        <v>0.12978505009939789</v>
      </c>
      <c r="Y6">
        <f t="shared" si="33"/>
        <v>0.30442372901162185</v>
      </c>
      <c r="Z6">
        <f t="shared" si="34"/>
        <v>0.40126466459770749</v>
      </c>
      <c r="AA6">
        <f t="shared" si="35"/>
        <v>0.16352888168701962</v>
      </c>
      <c r="AB6">
        <f t="shared" si="36"/>
        <v>0.22299457367438313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1.3880220293487315E-2</v>
      </c>
      <c r="AD6">
        <f t="shared" si="37"/>
        <v>0.79669697595081823</v>
      </c>
      <c r="AE6">
        <f t="shared" si="6"/>
        <v>8.6618974421184061E-3</v>
      </c>
      <c r="AF6">
        <f t="shared" si="7"/>
        <v>1.4131171750294295E-3</v>
      </c>
      <c r="AG6">
        <f t="shared" si="8"/>
        <v>1.8947246950336599E-3</v>
      </c>
      <c r="AH6">
        <f t="shared" si="9"/>
        <v>1.1128363218415014E-3</v>
      </c>
      <c r="AI6">
        <f t="shared" si="10"/>
        <v>1.6770688829741459E-3</v>
      </c>
      <c r="AJ6">
        <f t="shared" si="11"/>
        <v>2.9529801131766679E-6</v>
      </c>
      <c r="AK6">
        <f t="shared" si="12"/>
        <v>2.8434289435883866E-6</v>
      </c>
      <c r="AL6">
        <f t="shared" si="13"/>
        <v>1.97523138410776E-6</v>
      </c>
      <c r="AM6">
        <f t="shared" si="14"/>
        <v>1.5695988779499634E-4</v>
      </c>
      <c r="AN6">
        <f t="shared" si="15"/>
        <v>2.4283919519322769E-4</v>
      </c>
      <c r="AO6">
        <f t="shared" si="16"/>
        <v>3.7478698799091167E-7</v>
      </c>
      <c r="AP6">
        <f>AM5*T5*p_Stroke*p_Stroke_rec*(1-I5) + AN5*T5*p_Stroke*p_Stroke_rec*(1-I5) + AO5*(p_recur_Stroke*p_Stroke_rec)*(1-I5) + AP5*(p_recur_Stroke*p_Stroke_rec)*(1-I5) + AQ5*(p_recur_Stroke*p_Stroke_rec)*(1-I5)</f>
        <v>3.8768020722451328E-7</v>
      </c>
      <c r="AQ6">
        <f>AO5*(1-p_recur_Stroke-H5*rr_Stroke*rr_HF)*(1-I5) + AP5*(1-p_recur_Stroke-H5*rr_Stroke*rr_HF)*(1-I5) + AQ5*(1-p_recur_Stroke-H5*rr_Stroke*rr_HF)*(1-I5)</f>
        <v>2.6503447698201323E-7</v>
      </c>
      <c r="AR6">
        <f>AR5*(1-AC5-H5*rr_DM) + AD5*(1-T5-H5)*I5</f>
        <v>0.11915338936952903</v>
      </c>
      <c r="AS6">
        <f>AR5*AC5*p_Other + AD5*T5*p_Other*I5 + AE5*(1-T5*p_Stroke-T5*p_MI-H5*rr_Other)*I5 + AS5*(1-AC5*p_Stroke-AC5*p_MI-H5*rr_Other*rr_DM)</f>
        <v>1.7768332880015751E-3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3.3771373370962817E-4</v>
      </c>
      <c r="AU6">
        <f>AF5*(1-p_recur_Stroke-T5*p_MI-H5*rr_Stroke)*I5 + AG5*(1-p_recur_Stroke-T5*p_MI-H5*rr_Stroke)*I5 + AT5*(1-p_recur_Stroke-AC5*p_MI-H5*rr_Stroke*rr_DM) + AU5*(1-p_recur_Stroke-AC5*p_MI-H5*rr_Stroke*rr_DM)</f>
        <v>3.4331127488220983E-4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2.7129750771142633E-4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3.0438354334183585E-4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8.9030480159691981E-7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8.6769290466386235E-7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4.1667017544070588E-7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3.6891791682903983E-5</v>
      </c>
      <c r="BB6">
        <f>AM5*(1-T5*p_Stroke - H5*rr_HF)*I5 + AN5*(1-T5*p_Stroke - H5*rr_HF)*I5 + BA5*(1-AC5*p_Stroke - H5*rr_HF*rr_DM) + BB5*(1-AC5*p_Stroke - H5*rr_HF*rr_DM)</f>
        <v>4.3438802123610873E-5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1.1152179262627296E-7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1.1537129930359094E-7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5.5903829427849395E-8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7.8650645312979654E-3</v>
      </c>
      <c r="BG6">
        <f t="shared" si="17"/>
        <v>0.94199999999999995</v>
      </c>
      <c r="BH6">
        <f>(0.9442 - 0.0007*$B6 - dis_BMI*($C6-21.75))*AD6</f>
        <v>0.69184081883681769</v>
      </c>
      <c r="BI6">
        <f>0.959*(0.9442 - 0.0007*$B6 - dis_BMI*($C6-21.75))*AE6</f>
        <v>7.2134771055162653E-3</v>
      </c>
      <c r="BJ6">
        <f>(0.943*(0.9442 - 0.0007*$B6 - dis_BMI*($C6-21.75)) - 0.19*0.5)*AF6</f>
        <v>1.0229390957992679E-3</v>
      </c>
      <c r="BK6">
        <f>(0.943*(0.9442 - 0.0007*$B6 - dis_BMI*($C6-21.75)))*AG6</f>
        <v>1.5515680269674293E-3</v>
      </c>
      <c r="BL6">
        <f>(0.955*(0.9442 - 0.0007*$B6 - dis_BMI*($C6-21.75)) - 0.15*0.5)*AH6</f>
        <v>8.3942246644597705E-4</v>
      </c>
      <c r="BM6">
        <f>(0.955*(0.9442 - 0.0007*$B6 - dis_BMI*($C6-21.75)))*AI6</f>
        <v>1.3908083383952327E-3</v>
      </c>
      <c r="BN6">
        <f>(0.955*0.943*(0.9442 - 0.0007*$B6 - dis_BMI*($C6-21.75)) - 0.19*0.5)*AJ6</f>
        <v>2.0288107272158985E-6</v>
      </c>
      <c r="BO6">
        <f>(0.955*0.943*(0.9442 - 0.0007*$B6 - dis_BMI*($C6-21.75)) - 0.15*0.5)*AK6</f>
        <v>2.0104134460000891E-6</v>
      </c>
      <c r="BP6">
        <f>(0.955*0.943*(0.9442 - 0.0007*$B6 - dis_BMI*($C6-21.75)))*AL6</f>
        <v>1.5447067879311287E-6</v>
      </c>
      <c r="BQ6">
        <f>(0.93*(0.9442 - 0.0007*$B6 - dis_BMI*($C6-21.75)))*AM6</f>
        <v>1.2676070367323178E-4</v>
      </c>
      <c r="BR6">
        <f>(0.93*(0.9442 - 0.0007*$B6 - dis_BMI*($C6-21.75)))*AN6</f>
        <v>1.9611677667825223E-4</v>
      </c>
      <c r="BS6">
        <f>(0.93*0.943*(0.9442 - 0.0007*$B6 - dis_BMI*($C6-21.75)))*AO6</f>
        <v>2.8542509810704108E-7</v>
      </c>
      <c r="BT6">
        <f>(0.93*0.943*(0.9442 - 0.0007*$B6 - dis_BMI*($C6-21.75))-0.19*0.5)*AP6</f>
        <v>2.5841451825556263E-7</v>
      </c>
      <c r="BU6">
        <f>(0.93*0.943*(0.9442 - 0.0007*$B6 - dis_BMI*($C6-21.75)))*AQ6</f>
        <v>2.0184129657183787E-7</v>
      </c>
      <c r="BV6">
        <f>0.962*(0.9442 - 0.0007*$B6 - dis_BMI*($C6-21.75))*AR6</f>
        <v>9.9539277894392264E-2</v>
      </c>
      <c r="BW6">
        <f>0.962*0.959*(0.9442 - 0.0007*$B6 - dis_BMI*($C6-21.75))*AS6</f>
        <v>1.42348657075036E-3</v>
      </c>
      <c r="BX6">
        <f>0.962*(0.943*(0.9442 - 0.0007*$B6 - dis_BMI*($C6-21.75)) - 0.19*0.5)*AT6</f>
        <v>2.3517729823063226E-4</v>
      </c>
      <c r="BY6">
        <f>0.962*(0.943*(0.9442 - 0.0007*$B6 - dis_BMI*($C6-21.75)))*AU6</f>
        <v>2.7045053481724034E-4</v>
      </c>
      <c r="BZ6">
        <f>0.962*(0.955*(0.9442 - 0.0007*$B6 - dis_BMI*($C6-21.75)) - 0.15*0.5)*AV6</f>
        <v>1.9686575310987341E-4</v>
      </c>
      <c r="CA6">
        <f>0.962*(0.955*(0.9442 - 0.0007*$B6 - dis_BMI*($C6-21.75)))*AW6</f>
        <v>2.4283575100515775E-4</v>
      </c>
      <c r="CB6">
        <f>0.962*(0.955*0.943*(0.9442 - 0.0007*$B6 - dis_BMI*($C6-21.75)) - 0.19*0.5)*AX6</f>
        <v>5.8842998867590878E-7</v>
      </c>
      <c r="CC6">
        <f>0.962*(0.955*0.943*(0.9442 - 0.0007*$B6 - dis_BMI*($C6-21.75)) - 0.15*0.5)*AY6</f>
        <v>5.9017949788503459E-7</v>
      </c>
      <c r="CD6">
        <f>0.962*(0.955*0.943*(0.9442 - 0.0007*$B6 - dis_BMI*($C6-21.75)))*AZ6</f>
        <v>3.1346969771584393E-7</v>
      </c>
      <c r="CE6">
        <f>0.962*(0.93*(0.9442 - 0.0007*$B6 - dis_BMI*($C6-21.75)))*BA6</f>
        <v>2.8661623149057426E-5</v>
      </c>
      <c r="CF6">
        <f>0.962*(0.93*(0.9442 - 0.0007*$B6 - dis_BMI*($C6-21.75)))*BB6</f>
        <v>3.3748064805710361E-5</v>
      </c>
      <c r="CG6">
        <f>0.962*(0.93*0.943*(0.9442 - 0.0007*$B6 - dis_BMI*($C6-21.75)))*BC6</f>
        <v>8.1703839983140951E-8</v>
      </c>
      <c r="CH6">
        <f>0.962*(0.93*0.943*(0.9442 - 0.0007*$B6 - dis_BMI*($C6-21.75))-0.19*0.5)*BD6</f>
        <v>7.3980308212392423E-8</v>
      </c>
      <c r="CI6">
        <f>0.962*(0.93*0.943*(0.9442 - 0.0007*$B6 - dis_BMI*($C6-21.75)))*BE6</f>
        <v>4.0956636603972248E-8</v>
      </c>
      <c r="CJ6">
        <f t="shared" si="18"/>
        <v>0</v>
      </c>
      <c r="CK6">
        <f t="shared" si="19"/>
        <v>0.80616043317239694</v>
      </c>
      <c r="CL6">
        <f>CK6/(1+r_)^A6</f>
        <v>0.73775099651824927</v>
      </c>
      <c r="CM6">
        <f>AD6*c_PT_2</f>
        <v>1167.1610697679487</v>
      </c>
      <c r="CN6">
        <f>AE6*(c_Other+c_PT_2)</f>
        <v>136.37291332871217</v>
      </c>
      <c r="CO6">
        <f>AF6*(c_Stroke1+c_Stroke2+c_PT_2)</f>
        <v>35.725015301919008</v>
      </c>
      <c r="CP6">
        <f>AG6*(c_Stroke2 + c_PT_2)</f>
        <v>15.091482195943101</v>
      </c>
      <c r="CQ6">
        <f>AH6*(c_MI1+c_MI2 + c_PT_2)</f>
        <v>34.070596829499408</v>
      </c>
      <c r="CR6">
        <f>AI6*(c_MI2+c_PT_2)</f>
        <v>7.684329621787537</v>
      </c>
      <c r="CS6">
        <f>AJ6*(c_Stroke1+c_Stroke2+c_MI2+c_PT_2)</f>
        <v>8.3858729253991016E-2</v>
      </c>
      <c r="CT6">
        <f>AK6*(c_Stroke2+c_MI1+c_MI2+c_PT_2)</f>
        <v>0.10553670867022656</v>
      </c>
      <c r="CU6">
        <f>AL6*(c_Stroke2+c_MI2+c_PT_2)</f>
        <v>2.1889514198682198E-2</v>
      </c>
      <c r="CV6">
        <f>AM6*(c_HF1+c_PT_2)</f>
        <v>4.4725720027184206</v>
      </c>
      <c r="CW6">
        <f>AN6*(c_HF2+c_PT_2)</f>
        <v>4.1452650619483968</v>
      </c>
      <c r="CX6">
        <f>AO6*(c_Stroke2+c_HF1+c_PT_2)</f>
        <v>1.3115670644741954E-2</v>
      </c>
      <c r="CY6">
        <f>AP6*(c_Stroke1+c_Stroke2+c_HF2+c_PT_2)</f>
        <v>1.5850692952581451E-2</v>
      </c>
      <c r="CZ6">
        <f>AQ6*(c_Stroke2+c_HF2+c_PT_2)</f>
        <v>6.2468626224660515E-3</v>
      </c>
      <c r="DA6">
        <f>AR6*(c_DM+c_PT_2)</f>
        <v>1535.8871889732293</v>
      </c>
      <c r="DB6">
        <f>AS6*(c_Other+c_DM+c_PT_2)</f>
        <v>48.274783601714795</v>
      </c>
      <c r="DC6">
        <f>AT6*(c_Stroke1+c_Stroke2+c_DM+c_PT_2)</f>
        <v>12.396120309545612</v>
      </c>
      <c r="DD6">
        <f>AU6*(c_Stroke2+c_DM+c_PT_2)</f>
        <v>6.6568056199660486</v>
      </c>
      <c r="DE6">
        <f>AV6*(c_MI1+c_MI2+c_DM+c_PT_2)</f>
        <v>11.405618521696073</v>
      </c>
      <c r="DF6">
        <f>AW6*(c_MI2+c_DM+c_PT_2)</f>
        <v>4.8722673782727668</v>
      </c>
      <c r="DG6">
        <f>AX6*(c_Stroke1+c_Stroke2+c_MI2+c_DM+c_PT_2)</f>
        <v>3.5454608113994139E-2</v>
      </c>
      <c r="DH6">
        <f>AY6*(c_Stroke2+c_MI1+c_MI2+c_DM+c_PT_2)</f>
        <v>4.2118681285288541E-2</v>
      </c>
      <c r="DI6">
        <f>AZ6*(c_Stroke2+c_MI2+c_DM+c_PT_2)</f>
        <v>9.3779956386439677E-3</v>
      </c>
      <c r="DJ6">
        <f>BA6*(c_HF1+c_DM+c_PT_2)</f>
        <v>1.472720323981527</v>
      </c>
      <c r="DK6">
        <f>BB6*(c_HF2+c_DM+c_PT_2)</f>
        <v>1.2377886665122919</v>
      </c>
      <c r="DL6">
        <f>BC6*(c_Stroke2+c_HF1+c_DM+c_PT_2)</f>
        <v>5.1768416137115908E-3</v>
      </c>
      <c r="DM6">
        <f>BD6*(c_Stroke1+c_Stroke2+c_HF2+c_DM+c_PT_2)</f>
        <v>6.0351880378701457E-3</v>
      </c>
      <c r="DN6">
        <f>BE6*(c_Stroke2+c_HF2+c_DM+c_PT_2)</f>
        <v>1.9563545108275894E-3</v>
      </c>
      <c r="DO6">
        <f t="shared" si="5"/>
        <v>0</v>
      </c>
      <c r="DP6">
        <f t="shared" si="38"/>
        <v>3027.2731553529375</v>
      </c>
      <c r="DQ6">
        <f>DP6/(1+r_)^A6</f>
        <v>2770.3837787049624</v>
      </c>
    </row>
    <row r="7" spans="1:121" x14ac:dyDescent="0.3">
      <c r="A7">
        <v>4</v>
      </c>
      <c r="B7">
        <v>49</v>
      </c>
      <c r="C7">
        <f t="shared" si="39"/>
        <v>34.542000000000002</v>
      </c>
      <c r="D7">
        <f t="shared" si="1"/>
        <v>125</v>
      </c>
      <c r="E7">
        <f t="shared" si="40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0"/>
        <v>4.0096398347168494E-2</v>
      </c>
      <c r="J7">
        <f t="shared" si="21"/>
        <v>9.6885707702341062E-2</v>
      </c>
      <c r="K7">
        <f t="shared" si="22"/>
        <v>0.13300208329985042</v>
      </c>
      <c r="L7">
        <f t="shared" si="23"/>
        <v>4.7097091453607631E-2</v>
      </c>
      <c r="M7">
        <f t="shared" si="24"/>
        <v>6.5331043970311531E-2</v>
      </c>
      <c r="N7">
        <f t="shared" si="25"/>
        <v>0.20345595844271247</v>
      </c>
      <c r="O7">
        <f t="shared" si="26"/>
        <v>0.27487891727548275</v>
      </c>
      <c r="P7">
        <f t="shared" si="27"/>
        <v>0.10585886059095551</v>
      </c>
      <c r="Q7">
        <f t="shared" si="28"/>
        <v>0.14623700822201102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7.6583894192961948E-3</v>
      </c>
      <c r="U7">
        <f t="shared" si="29"/>
        <v>0.198907798375489</v>
      </c>
      <c r="V7">
        <f t="shared" si="30"/>
        <v>0.26699290823428579</v>
      </c>
      <c r="W7">
        <f t="shared" si="31"/>
        <v>9.9666502440329707E-2</v>
      </c>
      <c r="X7">
        <f t="shared" si="32"/>
        <v>0.13673851191273578</v>
      </c>
      <c r="Y7">
        <f t="shared" si="33"/>
        <v>0.32096310736317679</v>
      </c>
      <c r="Z7">
        <f t="shared" si="34"/>
        <v>0.42128172779698081</v>
      </c>
      <c r="AA7">
        <f t="shared" si="35"/>
        <v>0.1733721817020194</v>
      </c>
      <c r="AB7">
        <f t="shared" si="36"/>
        <v>0.23588281125347377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1.4631537948362788E-2</v>
      </c>
      <c r="AD7">
        <f t="shared" si="37"/>
        <v>0.75703624230164168</v>
      </c>
      <c r="AE7">
        <f t="shared" si="6"/>
        <v>1.128928693386743E-2</v>
      </c>
      <c r="AF7">
        <f t="shared" si="7"/>
        <v>1.5354601433113914E-3</v>
      </c>
      <c r="AG7">
        <f t="shared" si="8"/>
        <v>2.7608395077208269E-3</v>
      </c>
      <c r="AH7">
        <f t="shared" si="9"/>
        <v>1.173784677770692E-3</v>
      </c>
      <c r="AI7">
        <f t="shared" si="10"/>
        <v>2.4309568191179368E-3</v>
      </c>
      <c r="AJ7">
        <f t="shared" si="11"/>
        <v>4.9283484594541821E-6</v>
      </c>
      <c r="AK7">
        <f t="shared" si="12"/>
        <v>4.6058512216183656E-6</v>
      </c>
      <c r="AL7">
        <f t="shared" si="13"/>
        <v>5.8175174238141037E-6</v>
      </c>
      <c r="AM7">
        <f t="shared" si="14"/>
        <v>1.7431805141825964E-4</v>
      </c>
      <c r="AN7">
        <f t="shared" si="15"/>
        <v>3.8114139560672239E-4</v>
      </c>
      <c r="AO7">
        <f t="shared" si="16"/>
        <v>6.4743111870460663E-7</v>
      </c>
      <c r="AP7">
        <f>AM6*T6*p_Stroke*p_Stroke_rec*(1-I6) + AN6*T6*p_Stroke*p_Stroke_rec*(1-I6) + AO6*(p_recur_Stroke*p_Stroke_rec)*(1-I6) + AP6*(p_recur_Stroke*p_Stroke_rec)*(1-I6) + AQ6*(p_recur_Stroke*p_Stroke_rec)*(1-I6)</f>
        <v>6.9710848142265718E-7</v>
      </c>
      <c r="AQ7">
        <f>AO6*(1-p_recur_Stroke-H6*rr_Stroke*rr_HF)*(1-I6) + AP6*(1-p_recur_Stroke-H6*rr_Stroke*rr_HF)*(1-I6) + AQ6*(1-p_recur_Stroke-H6*rr_Stroke*rr_HF)*(1-I6)</f>
        <v>8.519557956816287E-7</v>
      </c>
      <c r="AR7">
        <f>AR6*(1-AC6-H6*rr_DM) + AD6*(1-T6-H6)*I6</f>
        <v>0.14873190682200466</v>
      </c>
      <c r="AS7">
        <f>AR6*AC6*p_Other + AD6*T6*p_Other*I6 + AE6*(1-T6*p_Stroke-T6*p_MI-H6*rr_Other)*I6 + AS6*(1-AC6*p_Stroke-AC6*p_MI-H6*rr_Other*rr_DM)</f>
        <v>3.1358850879852343E-3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4.9450195893305758E-4</v>
      </c>
      <c r="AU7">
        <f>AF6*(1-p_recur_Stroke-T6*p_MI-H6*rr_Stroke)*I6 + AG6*(1-p_recur_Stroke-T6*p_MI-H6*rr_Stroke)*I6 + AT6*(1-p_recur_Stroke-AC6*p_MI-H6*rr_Stroke*rr_DM) + AU6*(1-p_recur_Stroke-AC6*p_MI-H6*rr_Stroke*rr_DM)</f>
        <v>7.0556964512710925E-4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3.8706545642624963E-4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6.2284429612346473E-4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2.1367534254658528E-6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2.0311549019609728E-6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1.9342752189864909E-6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5.513613371209416E-5</v>
      </c>
      <c r="BB7">
        <f>AM6*(1-T6*p_Stroke - H6*rr_HF)*I6 + AN6*(1-T6*p_Stroke - H6*rr_HF)*I6 + BA6*(1-AC6*p_Stroke - H6*rr_HF*rr_DM) + BB6*(1-AC6*p_Stroke - H6*rr_HF*rr_DM)</f>
        <v>9.5516401326206288E-5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2.7587097244557615E-7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2.9627523214051648E-7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2.7917599201161691E-7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1.0965042649663227E-2</v>
      </c>
      <c r="BG7">
        <f t="shared" si="17"/>
        <v>0.94199999999999995</v>
      </c>
      <c r="BH7">
        <f>(0.9442 - 0.0007*$B7 - dis_BMI*($C7-21.75))*AD7</f>
        <v>0.65687005175223923</v>
      </c>
      <c r="BI7">
        <f>0.959*(0.9442 - 0.0007*$B7 - dis_BMI*($C7-21.75))*AE7</f>
        <v>9.3939427479476766E-3</v>
      </c>
      <c r="BJ7">
        <f>(0.943*(0.9442 - 0.0007*$B7 - dis_BMI*($C7-21.75)) - 0.19*0.5)*AF7</f>
        <v>1.1104881910854426E-3</v>
      </c>
      <c r="BK7">
        <f>(0.943*(0.9442 - 0.0007*$B7 - dis_BMI*($C7-21.75)))*AG7</f>
        <v>2.2589969485064293E-3</v>
      </c>
      <c r="BL7">
        <f>(0.955*(0.9442 - 0.0007*$B7 - dis_BMI*($C7-21.75)) - 0.15*0.5)*AH7</f>
        <v>8.8461168553285942E-4</v>
      </c>
      <c r="BM7">
        <f>(0.955*(0.9442 - 0.0007*$B7 - dis_BMI*($C7-21.75)))*AI7</f>
        <v>2.0143893032437787E-3</v>
      </c>
      <c r="BN7">
        <f>(0.955*0.943*(0.9442 - 0.0007*$B7 - dis_BMI*($C7-21.75)) - 0.19*0.5)*AJ7</f>
        <v>3.3828578232352556E-6</v>
      </c>
      <c r="BO7">
        <f>(0.955*0.943*(0.9442 - 0.0007*$B7 - dis_BMI*($C7-21.75)) - 0.15*0.5)*AK7</f>
        <v>3.2536101627310634E-6</v>
      </c>
      <c r="BP7">
        <f>(0.955*0.943*(0.9442 - 0.0007*$B7 - dis_BMI*($C7-21.75)))*AL7</f>
        <v>4.5458546714898599E-6</v>
      </c>
      <c r="BQ7">
        <f>(0.93*(0.9442 - 0.0007*$B7 - dis_BMI*($C7-21.75)))*AM7</f>
        <v>1.4066566431581592E-4</v>
      </c>
      <c r="BR7">
        <f>(0.93*(0.9442 - 0.0007*$B7 - dis_BMI*($C7-21.75)))*AN7</f>
        <v>3.0756142106382474E-4</v>
      </c>
      <c r="BS7">
        <f>(0.93*0.943*(0.9442 - 0.0007*$B7 - dis_BMI*($C7-21.75)))*AO7</f>
        <v>4.926641962386834E-7</v>
      </c>
      <c r="BT7">
        <f>(0.93*0.943*(0.9442 - 0.0007*$B7 - dis_BMI*($C7-21.75))-0.19*0.5)*AP7</f>
        <v>4.6424099371987703E-7</v>
      </c>
      <c r="BU7">
        <f>(0.93*0.943*(0.9442 - 0.0007*$B7 - dis_BMI*($C7-21.75)))*AQ7</f>
        <v>6.4829771875991718E-7</v>
      </c>
      <c r="BV7">
        <f>0.962*(0.9442 - 0.0007*$B7 - dis_BMI*($C7-21.75))*AR7</f>
        <v>0.12414865198929088</v>
      </c>
      <c r="BW7">
        <f>0.962*0.959*(0.9442 - 0.0007*$B7 - dis_BMI*($C7-21.75))*AS7</f>
        <v>2.5102478834508855E-3</v>
      </c>
      <c r="BX7">
        <f>0.962*(0.943*(0.9442 - 0.0007*$B7 - dis_BMI*($C7-21.75)) - 0.19*0.5)*AT7</f>
        <v>3.4404756248617379E-4</v>
      </c>
      <c r="BY7">
        <f>0.962*(0.943*(0.9442 - 0.0007*$B7 - dis_BMI*($C7-21.75)))*AU7</f>
        <v>5.553789864827292E-4</v>
      </c>
      <c r="BZ7">
        <f>0.962*(0.955*(0.9442 - 0.0007*$B7 - dis_BMI*($C7-21.75)) - 0.15*0.5)*AV7</f>
        <v>2.8062329682576592E-4</v>
      </c>
      <c r="CA7">
        <f>0.962*(0.955*(0.9442 - 0.0007*$B7 - dis_BMI*($C7-21.75)))*AW7</f>
        <v>4.965016838114583E-4</v>
      </c>
      <c r="CB7">
        <f>0.962*(0.955*0.943*(0.9442 - 0.0007*$B7 - dis_BMI*($C7-21.75)) - 0.19*0.5)*AX7</f>
        <v>1.4109506345354608E-6</v>
      </c>
      <c r="CC7">
        <f>0.962*(0.955*0.943*(0.9442 - 0.0007*$B7 - dis_BMI*($C7-21.75)) - 0.15*0.5)*AY7</f>
        <v>1.3803007627514205E-6</v>
      </c>
      <c r="CD7">
        <f>0.962*(0.955*0.943*(0.9442 - 0.0007*$B7 - dis_BMI*($C7-21.75)))*AZ7</f>
        <v>1.4540227266056557E-6</v>
      </c>
      <c r="CE7">
        <f>0.962*(0.93*(0.9442 - 0.0007*$B7 - dis_BMI*($C7-21.75)))*BA7</f>
        <v>4.2801315769710244E-5</v>
      </c>
      <c r="CF7">
        <f>0.962*(0.93*(0.9442 - 0.0007*$B7 - dis_BMI*($C7-21.75)))*BB7</f>
        <v>7.4147884138864992E-5</v>
      </c>
      <c r="CG7">
        <f>0.962*(0.93*0.943*(0.9442 - 0.0007*$B7 - dis_BMI*($C7-21.75)))*BC7</f>
        <v>2.0194751316970499E-7</v>
      </c>
      <c r="CH7">
        <f>0.962*(0.93*0.943*(0.9442 - 0.0007*$B7 - dis_BMI*($C7-21.75))-0.19*0.5)*BD7</f>
        <v>1.8980757457217633E-7</v>
      </c>
      <c r="CI7">
        <f>0.962*(0.93*0.943*(0.9442 - 0.0007*$B7 - dis_BMI*($C7-21.75)))*BE7</f>
        <v>2.0436690683197521E-7</v>
      </c>
      <c r="CJ7">
        <f t="shared" si="18"/>
        <v>0</v>
      </c>
      <c r="CK7">
        <f t="shared" si="19"/>
        <v>0.80145073723787608</v>
      </c>
      <c r="CL7">
        <f>CK7/(1+r_)^A7</f>
        <v>0.71207859957833308</v>
      </c>
      <c r="CM7">
        <f>AD7*c_PT_2</f>
        <v>1109.0580949719051</v>
      </c>
      <c r="CN7">
        <f>AE7*(c_Other+c_PT_2)</f>
        <v>177.73853348680882</v>
      </c>
      <c r="CO7">
        <f>AF7*(c_Stroke1+c_Stroke2+c_PT_2)</f>
        <v>38.817967883055289</v>
      </c>
      <c r="CP7">
        <f>AG7*(c_Stroke2 + c_PT_2)</f>
        <v>21.990086678996388</v>
      </c>
      <c r="CQ7">
        <f>AH7*(c_MI1+c_MI2 + c_PT_2)</f>
        <v>35.936591694627509</v>
      </c>
      <c r="CR7">
        <f>AI7*(c_MI2+c_PT_2)</f>
        <v>11.138644145198386</v>
      </c>
      <c r="CS7">
        <f>AJ7*(c_Stroke1+c_Stroke2+c_MI2+c_PT_2)</f>
        <v>0.13995523955157987</v>
      </c>
      <c r="CT7">
        <f>AK7*(c_Stroke2+c_MI1+c_MI2+c_PT_2)</f>
        <v>0.17095077394158725</v>
      </c>
      <c r="CU7">
        <f>AL7*(c_Stroke2+c_MI2+c_PT_2)</f>
        <v>6.4469728090707903E-2</v>
      </c>
      <c r="CV7">
        <f>AM7*(c_HF1+c_PT_2)</f>
        <v>4.9671928751633088</v>
      </c>
      <c r="CW7">
        <f>AN7*(c_HF2+c_PT_2)</f>
        <v>6.5060836230067514</v>
      </c>
      <c r="CX7">
        <f>AO7*(c_Stroke2+c_HF1+c_PT_2)</f>
        <v>2.2656851999067709E-2</v>
      </c>
      <c r="CY7">
        <f>AP7*(c_Stroke1+c_Stroke2+c_HF2+c_PT_2)</f>
        <v>2.850197737144676E-2</v>
      </c>
      <c r="CZ7">
        <f>AQ7*(c_Stroke2+c_HF2+c_PT_2)</f>
        <v>2.0080598104215988E-2</v>
      </c>
      <c r="DA7">
        <f>AR7*(c_DM+c_PT_2)</f>
        <v>1917.1542789356399</v>
      </c>
      <c r="DB7">
        <f>AS7*(c_Other+c_DM+c_PT_2)</f>
        <v>85.198861955470832</v>
      </c>
      <c r="DC7">
        <f>AT7*(c_Stroke1+c_Stroke2+c_DM+c_PT_2)</f>
        <v>18.151188904596811</v>
      </c>
      <c r="DD7">
        <f>AU7*(c_Stroke2+c_DM+c_PT_2)</f>
        <v>13.680995419014648</v>
      </c>
      <c r="DE7">
        <f>AV7*(c_MI1+c_MI2+c_DM+c_PT_2)</f>
        <v>16.27261885361596</v>
      </c>
      <c r="DF7">
        <f>AW7*(c_MI2+c_DM+c_PT_2)</f>
        <v>9.9698686480482994</v>
      </c>
      <c r="DG7">
        <f>AX7*(c_Stroke1+c_Stroke2+c_MI2+c_DM+c_PT_2)</f>
        <v>8.5091931662326661E-2</v>
      </c>
      <c r="DH7">
        <f>AY7*(c_Stroke2+c_MI1+c_MI2+c_DM+c_PT_2)</f>
        <v>9.8594290096087583E-2</v>
      </c>
      <c r="DI7">
        <f>AZ7*(c_Stroke2+c_MI2+c_DM+c_PT_2)</f>
        <v>4.3534732353728949E-2</v>
      </c>
      <c r="DJ7">
        <f>BA7*(c_HF1+c_DM+c_PT_2)</f>
        <v>2.2010344577867991</v>
      </c>
      <c r="DK7">
        <f>BB7*(c_HF2+c_DM+c_PT_2)</f>
        <v>2.7217398557902484</v>
      </c>
      <c r="DL7">
        <f>BC7*(c_Stroke2+c_HF1+c_DM+c_PT_2)</f>
        <v>1.2805930540923645E-2</v>
      </c>
      <c r="DM7">
        <f>BD7*(c_Stroke1+c_Stroke2+c_HF2+c_DM+c_PT_2)</f>
        <v>1.5498453668502558E-2</v>
      </c>
      <c r="DN7">
        <f>BE7*(c_Stroke2+c_HF2+c_DM+c_PT_2)</f>
        <v>9.7697638404465343E-3</v>
      </c>
      <c r="DO7">
        <f t="shared" si="5"/>
        <v>0</v>
      </c>
      <c r="DP7">
        <f t="shared" si="38"/>
        <v>3472.2156926599455</v>
      </c>
      <c r="DQ7">
        <f>DP7/(1+r_)^A7</f>
        <v>3085.0186704979642</v>
      </c>
    </row>
    <row r="8" spans="1:121" x14ac:dyDescent="0.3">
      <c r="A8">
        <v>5</v>
      </c>
      <c r="B8">
        <v>50</v>
      </c>
      <c r="C8">
        <f t="shared" si="39"/>
        <v>34.542000000000002</v>
      </c>
      <c r="D8">
        <f t="shared" si="1"/>
        <v>125</v>
      </c>
      <c r="E8">
        <f t="shared" si="40"/>
        <v>5.7</v>
      </c>
      <c r="F8">
        <v>2.99E-3</v>
      </c>
      <c r="G8">
        <v>4.8500000000000001E-3</v>
      </c>
      <c r="H8">
        <f t="shared" si="3"/>
        <v>3.362E-3</v>
      </c>
      <c r="I8">
        <f t="shared" si="20"/>
        <v>4.0096398347168494E-2</v>
      </c>
      <c r="J8">
        <f t="shared" si="21"/>
        <v>0.10207173066876185</v>
      </c>
      <c r="K8">
        <f t="shared" si="22"/>
        <v>0.13996658366005321</v>
      </c>
      <c r="L8">
        <f t="shared" si="23"/>
        <v>4.9691423942895274E-2</v>
      </c>
      <c r="M8">
        <f t="shared" si="24"/>
        <v>6.8892915739004468E-2</v>
      </c>
      <c r="N8">
        <f t="shared" si="25"/>
        <v>0.21513087870540959</v>
      </c>
      <c r="O8">
        <f t="shared" si="26"/>
        <v>0.28985068892085875</v>
      </c>
      <c r="P8">
        <f t="shared" si="27"/>
        <v>0.11232945862820942</v>
      </c>
      <c r="Q8">
        <f t="shared" si="28"/>
        <v>0.15495394786366679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8.0863082391374255E-3</v>
      </c>
      <c r="U8">
        <f t="shared" si="29"/>
        <v>0.20888539333233069</v>
      </c>
      <c r="V8">
        <f t="shared" si="30"/>
        <v>0.27974685969204682</v>
      </c>
      <c r="W8">
        <f t="shared" si="31"/>
        <v>0.10499254869997587</v>
      </c>
      <c r="X8">
        <f t="shared" si="32"/>
        <v>0.14388197758965993</v>
      </c>
      <c r="Y8">
        <f t="shared" si="33"/>
        <v>0.33781180100439923</v>
      </c>
      <c r="Z8">
        <f t="shared" si="34"/>
        <v>0.44146710851030457</v>
      </c>
      <c r="AA8">
        <f t="shared" si="35"/>
        <v>0.18352565230668927</v>
      </c>
      <c r="AB8">
        <f t="shared" si="36"/>
        <v>0.24911091604862956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1.5402209593025139E-2</v>
      </c>
      <c r="AD8">
        <f t="shared" si="37"/>
        <v>0.71887406315669766</v>
      </c>
      <c r="AE8">
        <f t="shared" si="6"/>
        <v>1.3796608488253051E-2</v>
      </c>
      <c r="AF8">
        <f t="shared" si="7"/>
        <v>1.6504531469652105E-3</v>
      </c>
      <c r="AG8">
        <f t="shared" si="8"/>
        <v>3.5823663457518638E-3</v>
      </c>
      <c r="AH8">
        <f t="shared" si="9"/>
        <v>1.2300842403150365E-3</v>
      </c>
      <c r="AI8">
        <f t="shared" si="10"/>
        <v>3.1393143043028033E-3</v>
      </c>
      <c r="AJ8">
        <f t="shared" si="11"/>
        <v>7.2341867483833738E-6</v>
      </c>
      <c r="AK8">
        <f t="shared" si="12"/>
        <v>6.5978784667133318E-6</v>
      </c>
      <c r="AL8">
        <f t="shared" si="13"/>
        <v>1.1474148103311059E-5</v>
      </c>
      <c r="AM8">
        <f t="shared" si="14"/>
        <v>1.9052363846230885E-4</v>
      </c>
      <c r="AN8">
        <f t="shared" si="15"/>
        <v>5.2925369311153121E-4</v>
      </c>
      <c r="AO8">
        <f t="shared" si="16"/>
        <v>9.7604084626330972E-7</v>
      </c>
      <c r="AP8">
        <f>AM7*T7*p_Stroke*p_Stroke_rec*(1-I7) + AN7*T7*p_Stroke*p_Stroke_rec*(1-I7) + AO7*(p_recur_Stroke*p_Stroke_rec)*(1-I7) + AP7*(p_recur_Stroke*p_Stroke_rec)*(1-I7) + AQ7*(p_recur_Stroke*p_Stroke_rec)*(1-I7)</f>
        <v>1.0968084794168469E-6</v>
      </c>
      <c r="AQ8">
        <f>AO7*(1-p_recur_Stroke-H7*rr_Stroke*rr_HF)*(1-I7) + AP7*(1-p_recur_Stroke-H7*rr_Stroke*rr_HF)*(1-I7) + AQ7*(1-p_recur_Stroke-H7*rr_Stroke*rr_HF)*(1-I7)</f>
        <v>1.8183475058471455E-6</v>
      </c>
      <c r="AR8">
        <f>AR7*(1-AC7-H7*rr_DM) + AD7*(1-T7-H7)*I7</f>
        <v>0.17605618257222</v>
      </c>
      <c r="AS8">
        <f>AR7*AC7*p_Other + AD7*T7*p_Other*I7 + AE7*(1-T7*p_Stroke-T7*p_MI-H7*rr_Other)*I7 + AS7*(1-AC7*p_Stroke-AC7*p_MI-H7*rr_Other*rr_DM)</f>
        <v>4.8672918656762583E-3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6.7161719980847457E-4</v>
      </c>
      <c r="AU8">
        <f>AF7*(1-p_recur_Stroke-T7*p_MI-H7*rr_Stroke)*I7 + AG7*(1-p_recur_Stroke-T7*p_MI-H7*rr_Stroke)*I7 + AT7*(1-p_recur_Stroke-AC7*p_MI-H7*rr_Stroke*rr_DM) + AU7*(1-p_recur_Stroke-AC7*p_MI-H7*rr_Stroke*rr_DM)</f>
        <v>1.1885096049030633E-3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5.139440458295485E-4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1.0450282561983259E-3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4.1025766303965703E-6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3.8165960926416561E-6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5.2167155494125304E-6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7.6107857304497149E-5</v>
      </c>
      <c r="BB8">
        <f>AM7*(1-T7*p_Stroke - H7*rr_HF)*I7 + AN7*(1-T7*p_Stroke - H7*rr_HF)*I7 + BA7*(1-AC7*p_Stroke - H7*rr_HF*rr_DM) + BB7*(1-AC7*p_Stroke - H7*rr_HF*rr_DM)</f>
        <v>1.7128008873770311E-4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5.4292042804008637E-7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6.0622634507001974E-7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8.0790733408458371E-7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1.4373081142932995E-2</v>
      </c>
      <c r="BG8">
        <f t="shared" si="17"/>
        <v>0.94199999999999973</v>
      </c>
      <c r="BH8">
        <f>(0.9442 - 0.0007*$B8 - dis_BMI*($C8-21.75))*AD8</f>
        <v>0.62325403606959795</v>
      </c>
      <c r="BI8">
        <f>0.959*(0.9442 - 0.0007*$B8 - dis_BMI*($C8-21.75))*AE8</f>
        <v>1.1471051576496917E-2</v>
      </c>
      <c r="BJ8">
        <f>(0.943*(0.9442 - 0.0007*$B8 - dis_BMI*($C8-21.75)) - 0.19*0.5)*AF8</f>
        <v>1.1925649186557497E-3</v>
      </c>
      <c r="BK8">
        <f>(0.943*(0.9442 - 0.0007*$B8 - dis_BMI*($C8-21.75)))*AG8</f>
        <v>2.9288287161942437E-3</v>
      </c>
      <c r="BL8">
        <f>(0.955*(0.9442 - 0.0007*$B8 - dis_BMI*($C8-21.75)) - 0.15*0.5)*AH8</f>
        <v>9.2621900535950466E-4</v>
      </c>
      <c r="BM8">
        <f>(0.955*(0.9442 - 0.0007*$B8 - dis_BMI*($C8-21.75)))*AI8</f>
        <v>2.5992643808339724E-3</v>
      </c>
      <c r="BN8">
        <f>(0.955*0.943*(0.9442 - 0.0007*$B8 - dis_BMI*($C8-21.75)) - 0.19*0.5)*AJ8</f>
        <v>4.9610432791834644E-6</v>
      </c>
      <c r="BO8">
        <f>(0.955*0.943*(0.9442 - 0.0007*$B8 - dis_BMI*($C8-21.75)) - 0.15*0.5)*AK8</f>
        <v>4.6566348775986945E-6</v>
      </c>
      <c r="BP8">
        <f>(0.955*0.943*(0.9442 - 0.0007*$B8 - dis_BMI*($C8-21.75)))*AL8</f>
        <v>8.9587579020926286E-6</v>
      </c>
      <c r="BQ8">
        <f>(0.93*(0.9442 - 0.0007*$B8 - dis_BMI*($C8-21.75)))*AM8</f>
        <v>1.53618705185565E-4</v>
      </c>
      <c r="BR8">
        <f>(0.93*(0.9442 - 0.0007*$B8 - dis_BMI*($C8-21.75)))*AN8</f>
        <v>4.2673585129204827E-4</v>
      </c>
      <c r="BS8">
        <f>(0.93*0.943*(0.9442 - 0.0007*$B8 - dis_BMI*($C8-21.75)))*AO8</f>
        <v>7.4212133824814684E-7</v>
      </c>
      <c r="BT8">
        <f>(0.93*0.943*(0.9442 - 0.0007*$B8 - dis_BMI*($C8-21.75))-0.19*0.5)*AP8</f>
        <v>7.2974880202186772E-7</v>
      </c>
      <c r="BU8">
        <f>(0.93*0.943*(0.9442 - 0.0007*$B8 - dis_BMI*($C8-21.75)))*AQ8</f>
        <v>1.3825594385784777E-6</v>
      </c>
      <c r="BV8">
        <f>0.962*(0.9442 - 0.0007*$B8 - dis_BMI*($C8-21.75))*AR8</f>
        <v>0.14683805992084256</v>
      </c>
      <c r="BW8">
        <f>0.962*0.959*(0.9442 - 0.0007*$B8 - dis_BMI*($C8-21.75))*AS8</f>
        <v>3.8930802266125548E-3</v>
      </c>
      <c r="BX8">
        <f>0.962*(0.943*(0.9442 - 0.0007*$B8 - dis_BMI*($C8-21.75)) - 0.19*0.5)*AT8</f>
        <v>4.6684822434759862E-4</v>
      </c>
      <c r="BY8">
        <f>0.962*(0.943*(0.9442 - 0.0007*$B8 - dis_BMI*($C8-21.75)))*AU8</f>
        <v>9.3476349899051625E-4</v>
      </c>
      <c r="BZ8">
        <f>0.962*(0.955*(0.9442 - 0.0007*$B8 - dis_BMI*($C8-21.75)) - 0.15*0.5)*AV8</f>
        <v>3.7228003391843496E-4</v>
      </c>
      <c r="CA8">
        <f>0.962*(0.955*(0.9442 - 0.0007*$B8 - dis_BMI*($C8-21.75)))*AW8</f>
        <v>8.3237449026188695E-4</v>
      </c>
      <c r="CB8">
        <f>0.962*(0.955*0.943*(0.9442 - 0.0007*$B8 - dis_BMI*($C8-21.75)) - 0.19*0.5)*AX8</f>
        <v>2.7065438883777896E-6</v>
      </c>
      <c r="CC8">
        <f>0.962*(0.955*0.943*(0.9442 - 0.0007*$B8 - dis_BMI*($C8-21.75)) - 0.15*0.5)*AY8</f>
        <v>2.5913086721386866E-6</v>
      </c>
      <c r="CD8">
        <f>0.962*(0.955*0.943*(0.9442 - 0.0007*$B8 - dis_BMI*($C8-21.75)))*AZ8</f>
        <v>3.9183170866991848E-6</v>
      </c>
      <c r="CE8">
        <f>0.962*(0.93*(0.9442 - 0.0007*$B8 - dis_BMI*($C8-21.75)))*BA8</f>
        <v>5.9033672386191533E-5</v>
      </c>
      <c r="CF8">
        <f>0.962*(0.93*(0.9442 - 0.0007*$B8 - dis_BMI*($C8-21.75)))*BB8</f>
        <v>1.328547800835527E-4</v>
      </c>
      <c r="CG8">
        <f>0.962*(0.93*0.943*(0.9442 - 0.0007*$B8 - dis_BMI*($C8-21.75)))*BC8</f>
        <v>3.9711672763259029E-7</v>
      </c>
      <c r="CH8">
        <f>0.962*(0.93*0.943*(0.9442 - 0.0007*$B8 - dis_BMI*($C8-21.75))-0.19*0.5)*BD8</f>
        <v>3.8801853285324405E-7</v>
      </c>
      <c r="CI8">
        <f>0.962*(0.93*0.943*(0.9442 - 0.0007*$B8 - dis_BMI*($C8-21.75)))*BE8</f>
        <v>5.9094021917766391E-7</v>
      </c>
      <c r="CJ8">
        <f t="shared" si="18"/>
        <v>0</v>
      </c>
      <c r="CK8">
        <f t="shared" si="19"/>
        <v>0.79651363718182377</v>
      </c>
      <c r="CL8">
        <f>CK8/(1+r_)^A8</f>
        <v>0.68707966031482215</v>
      </c>
      <c r="CM8">
        <f>AD8*c_PT_2</f>
        <v>1053.1505025245622</v>
      </c>
      <c r="CN8">
        <f>AE8*(c_Other+c_PT_2)</f>
        <v>217.21380403905604</v>
      </c>
      <c r="CO8">
        <f>AF8*(c_Stroke1+c_Stroke2+c_PT_2)</f>
        <v>41.725106008427488</v>
      </c>
      <c r="CP8">
        <f>AG8*(c_Stroke2 + c_PT_2)</f>
        <v>28.533547943913597</v>
      </c>
      <c r="CQ8">
        <f>AH8*(c_MI1+c_MI2 + c_PT_2)</f>
        <v>37.66025910148516</v>
      </c>
      <c r="CR8">
        <f>AI8*(c_MI2+c_PT_2)</f>
        <v>14.384338142315444</v>
      </c>
      <c r="CS8">
        <f>AJ8*(c_Stroke1+c_Stroke2+c_MI2+c_PT_2)</f>
        <v>0.20543643528059105</v>
      </c>
      <c r="CT8">
        <f>AK8*(c_Stroke2+c_MI1+c_MI2+c_PT_2)</f>
        <v>0.24488685717053202</v>
      </c>
      <c r="CU8">
        <f>AL8*(c_Stroke2+c_MI2+c_PT_2)</f>
        <v>0.12715650928089314</v>
      </c>
      <c r="CV8">
        <f>AM8*(c_HF1+c_PT_2)</f>
        <v>5.4289710779834905</v>
      </c>
      <c r="CW8">
        <f>AN8*(c_HF2+c_PT_2)</f>
        <v>9.0343605414138377</v>
      </c>
      <c r="CX8">
        <f>AO8*(c_Stroke2+c_HF1+c_PT_2)</f>
        <v>3.415654941498452E-2</v>
      </c>
      <c r="CY8">
        <f>AP8*(c_Stroke1+c_Stroke2+c_HF2+c_PT_2)</f>
        <v>4.4844111489437205E-2</v>
      </c>
      <c r="CZ8">
        <f>AQ8*(c_Stroke2+c_HF2+c_PT_2)</f>
        <v>4.2858450712817221E-2</v>
      </c>
      <c r="DA8">
        <f>AR8*(c_DM+c_PT_2)</f>
        <v>2269.3641933559156</v>
      </c>
      <c r="DB8">
        <f>AS8*(c_Other+c_DM+c_PT_2)</f>
        <v>132.23945269855827</v>
      </c>
      <c r="DC8">
        <f>AT8*(c_Stroke1+c_Stroke2+c_DM+c_PT_2)</f>
        <v>24.652380936169866</v>
      </c>
      <c r="DD8">
        <f>AU8*(c_Stroke2+c_DM+c_PT_2)</f>
        <v>23.045201239070398</v>
      </c>
      <c r="DE8">
        <f>AV8*(c_MI1+c_MI2+c_DM+c_PT_2)</f>
        <v>21.606721630720049</v>
      </c>
      <c r="DF8">
        <f>AW8*(c_MI2+c_DM+c_PT_2)</f>
        <v>16.727767296966604</v>
      </c>
      <c r="DG8">
        <f>AX8*(c_Stroke1+c_Stroke2+c_MI2+c_DM+c_PT_2)</f>
        <v>0.16337690915228262</v>
      </c>
      <c r="DH8">
        <f>AY8*(c_Stroke2+c_MI1+c_MI2+c_DM+c_PT_2)</f>
        <v>0.18526139093291863</v>
      </c>
      <c r="DI8">
        <f>AZ8*(c_Stroke2+c_MI2+c_DM+c_PT_2)</f>
        <v>0.11741261687062782</v>
      </c>
      <c r="DJ8">
        <f>BA8*(c_HF1+c_DM+c_PT_2)</f>
        <v>3.0382256635955263</v>
      </c>
      <c r="DK8">
        <f>BB8*(c_HF2+c_DM+c_PT_2)</f>
        <v>4.8806261285808503</v>
      </c>
      <c r="DL8">
        <f>BC8*(c_Stroke2+c_HF1+c_DM+c_PT_2)</f>
        <v>2.5202366269620809E-2</v>
      </c>
      <c r="DM8">
        <f>BD8*(c_Stroke1+c_Stroke2+c_HF2+c_DM+c_PT_2)</f>
        <v>3.1712306336957805E-2</v>
      </c>
      <c r="DN8">
        <f>BE8*(c_Stroke2+c_HF2+c_DM+c_PT_2)</f>
        <v>2.8272717156290008E-2</v>
      </c>
      <c r="DO8">
        <f t="shared" si="5"/>
        <v>0</v>
      </c>
      <c r="DP8">
        <f t="shared" si="38"/>
        <v>3903.936035548802</v>
      </c>
      <c r="DQ8">
        <f>DP8/(1+r_)^A8</f>
        <v>3367.5695179382851</v>
      </c>
    </row>
    <row r="9" spans="1:121" x14ac:dyDescent="0.3">
      <c r="A9">
        <v>6</v>
      </c>
      <c r="B9">
        <v>51</v>
      </c>
      <c r="C9">
        <f t="shared" si="39"/>
        <v>34.542000000000002</v>
      </c>
      <c r="D9">
        <f t="shared" si="1"/>
        <v>125</v>
      </c>
      <c r="E9">
        <f t="shared" si="40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0"/>
        <v>4.0096398347168494E-2</v>
      </c>
      <c r="J9">
        <f t="shared" si="21"/>
        <v>0.10740801271405009</v>
      </c>
      <c r="K9">
        <f t="shared" si="22"/>
        <v>0.14711607508525293</v>
      </c>
      <c r="L9">
        <f t="shared" si="23"/>
        <v>5.2369174205510571E-2</v>
      </c>
      <c r="M9">
        <f t="shared" si="24"/>
        <v>7.2565233381571503E-2</v>
      </c>
      <c r="N9">
        <f t="shared" si="25"/>
        <v>0.22712743333650354</v>
      </c>
      <c r="O9">
        <f t="shared" si="26"/>
        <v>0.3051393933323544</v>
      </c>
      <c r="P9">
        <f t="shared" si="27"/>
        <v>0.11902946743959197</v>
      </c>
      <c r="Q9">
        <f t="shared" si="28"/>
        <v>0.16395232686186778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8.5273318728746779E-3</v>
      </c>
      <c r="U9">
        <f t="shared" si="29"/>
        <v>0.21908155758333125</v>
      </c>
      <c r="V9">
        <f t="shared" si="30"/>
        <v>0.29271380924653101</v>
      </c>
      <c r="W9">
        <f t="shared" si="31"/>
        <v>0.11047193935413202</v>
      </c>
      <c r="X9">
        <f t="shared" si="32"/>
        <v>0.15121336715202827</v>
      </c>
      <c r="Y9">
        <f t="shared" si="33"/>
        <v>0.35494241832383033</v>
      </c>
      <c r="Z9">
        <f t="shared" si="34"/>
        <v>0.46177388357855276</v>
      </c>
      <c r="AA9">
        <f t="shared" si="35"/>
        <v>0.19398451974311959</v>
      </c>
      <c r="AB9">
        <f t="shared" si="36"/>
        <v>0.26266603906549735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1.6191791606891544E-2</v>
      </c>
      <c r="AD9">
        <f t="shared" si="37"/>
        <v>0.68214989952115845</v>
      </c>
      <c r="AE9">
        <f t="shared" si="6"/>
        <v>1.6179602720471909E-2</v>
      </c>
      <c r="AF9">
        <f t="shared" si="7"/>
        <v>1.7579183282431222E-3</v>
      </c>
      <c r="AG9">
        <f t="shared" si="8"/>
        <v>4.3584487903302084E-3</v>
      </c>
      <c r="AH9">
        <f t="shared" si="9"/>
        <v>1.2817282796471364E-3</v>
      </c>
      <c r="AI9">
        <f t="shared" si="10"/>
        <v>3.8030006401956608E-3</v>
      </c>
      <c r="AJ9">
        <f t="shared" si="11"/>
        <v>9.8583264835210512E-6</v>
      </c>
      <c r="AK9">
        <f t="shared" si="12"/>
        <v>8.8098482426325009E-6</v>
      </c>
      <c r="AL9">
        <f t="shared" si="13"/>
        <v>1.8881160480710617E-5</v>
      </c>
      <c r="AM9">
        <f t="shared" si="14"/>
        <v>2.0558729103503903E-4</v>
      </c>
      <c r="AN9">
        <f t="shared" si="15"/>
        <v>6.8540424096183211E-4</v>
      </c>
      <c r="AO9">
        <f t="shared" si="16"/>
        <v>1.3586429726247514E-6</v>
      </c>
      <c r="AP9">
        <f>AM8*T8*p_Stroke*p_Stroke_rec*(1-I8) + AN8*T8*p_Stroke*p_Stroke_rec*(1-I8) + AO8*(p_recur_Stroke*p_Stroke_rec)*(1-I8) + AP8*(p_recur_Stroke*p_Stroke_rec)*(1-I8) + AQ8*(p_recur_Stroke*p_Stroke_rec)*(1-I8)</f>
        <v>1.5945653345781902E-6</v>
      </c>
      <c r="AQ9">
        <f>AO8*(1-p_recur_Stroke-H8*rr_Stroke*rr_HF)*(1-I8) + AP8*(1-p_recur_Stroke-H8*rr_Stroke*rr_HF)*(1-I8) + AQ8*(1-p_recur_Stroke-H8*rr_Stroke*rr_HF)*(1-I8)</f>
        <v>3.2154170563288764E-6</v>
      </c>
      <c r="AR9">
        <f>AR8*(1-AC8-H8*rr_DM) + AD8*(1-T8-H8)*I8</f>
        <v>0.20115811410481604</v>
      </c>
      <c r="AS9">
        <f>AR8*AC8*p_Other + AD8*T8*p_Other*I8 + AE8*(1-T8*p_Stroke-T8*p_MI-H8*rr_Other)*I8 + AS8*(1-AC8*p_Stroke-AC8*p_MI-H8*rr_Other*rr_DM)</f>
        <v>6.9650541886315948E-3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8.6843755253307865E-4</v>
      </c>
      <c r="AU9">
        <f>AF8*(1-p_recur_Stroke-T8*p_MI-H8*rr_Stroke)*I8 + AG8*(1-p_recur_Stroke-T8*p_MI-H8*rr_Stroke)*I8 + AT8*(1-p_recur_Stroke-AC8*p_MI-H8*rr_Stroke*rr_DM) + AU8*(1-p_recur_Stroke-AC8*p_MI-H8*rr_Stroke*rr_DM)</f>
        <v>1.7901561821017107E-3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6.5140932450671906E-4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1.5685549260075835E-3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6.9428553420291177E-6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6.3389986262088805E-6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1.0966108428111284E-5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9.9715817975420297E-5</v>
      </c>
      <c r="BB9">
        <f>AM8*(1-T8*p_Stroke - H8*rr_HF)*I8 + AN8*(1-T8*p_Stroke - H8*rr_HF)*I8 + BA8*(1-AC8*p_Stroke - H8*rr_HF*rr_DM) + BB8*(1-AC8*p_Stroke - H8*rr_HF*rr_DM)</f>
        <v>2.7340099563460864E-4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9.3765539631058255E-7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1.0889297249362953E-6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1.8134160318966431E-6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1.8131761171629963E-2</v>
      </c>
      <c r="BG9">
        <f t="shared" si="17"/>
        <v>0.94199999999999984</v>
      </c>
      <c r="BH9">
        <f>(0.9442 - 0.0007*$B9 - dis_BMI*($C9-21.75))*AD9</f>
        <v>0.59093718071654622</v>
      </c>
      <c r="BI9">
        <f>0.959*(0.9442 - 0.0007*$B9 - dis_BMI*($C9-21.75))*AE9</f>
        <v>1.3441506832587756E-2</v>
      </c>
      <c r="BJ9">
        <f>(0.943*(0.9442 - 0.0007*$B9 - dis_BMI*($C9-21.75)) - 0.19*0.5)*AF9</f>
        <v>1.2690554367007943E-3</v>
      </c>
      <c r="BK9">
        <f>(0.943*(0.9442 - 0.0007*$B9 - dis_BMI*($C9-21.75)))*AG9</f>
        <v>3.5604520121664193E-3</v>
      </c>
      <c r="BL9">
        <f>(0.955*(0.9442 - 0.0007*$B9 - dis_BMI*($C9-21.75)) - 0.15*0.5)*AH9</f>
        <v>9.6424868620825896E-4</v>
      </c>
      <c r="BM9">
        <f>(0.955*(0.9442 - 0.0007*$B9 - dis_BMI*($C9-21.75)))*AI9</f>
        <v>3.1462357857721186E-3</v>
      </c>
      <c r="BN9">
        <f>(0.955*0.943*(0.9442 - 0.0007*$B9 - dis_BMI*($C9-21.75)) - 0.19*0.5)*AJ9</f>
        <v>6.7544049033562813E-6</v>
      </c>
      <c r="BO9">
        <f>(0.955*0.943*(0.9442 - 0.0007*$B9 - dis_BMI*($C9-21.75)) - 0.15*0.5)*AK9</f>
        <v>6.2122399248143967E-6</v>
      </c>
      <c r="BP9">
        <f>(0.955*0.943*(0.9442 - 0.0007*$B9 - dis_BMI*($C9-21.75)))*AL9</f>
        <v>1.4730084704876837E-5</v>
      </c>
      <c r="BQ9">
        <f>(0.93*(0.9442 - 0.0007*$B9 - dis_BMI*($C9-21.75)))*AM9</f>
        <v>1.6563065103994152E-4</v>
      </c>
      <c r="BR9">
        <f>(0.93*(0.9442 - 0.0007*$B9 - dis_BMI*($C9-21.75)))*AN9</f>
        <v>5.5219342637622911E-4</v>
      </c>
      <c r="BS9">
        <f>(0.93*0.943*(0.9442 - 0.0007*$B9 - dis_BMI*($C9-21.75)))*AO9</f>
        <v>1.0321943665553298E-6</v>
      </c>
      <c r="BT9">
        <f>(0.93*0.943*(0.9442 - 0.0007*$B9 - dis_BMI*($C9-21.75))-0.19*0.5)*AP9</f>
        <v>1.0599466605884216E-6</v>
      </c>
      <c r="BU9">
        <f>(0.93*0.943*(0.9442 - 0.0007*$B9 - dis_BMI*($C9-21.75)))*AQ9</f>
        <v>2.442831147359312E-6</v>
      </c>
      <c r="BV9">
        <f>0.962*(0.9442 - 0.0007*$B9 - dis_BMI*($C9-21.75))*AR9</f>
        <v>0.16763863803570161</v>
      </c>
      <c r="BW9">
        <f>0.962*0.959*(0.9442 - 0.0007*$B9 - dis_BMI*($C9-21.75))*AS9</f>
        <v>5.5664674671014993E-3</v>
      </c>
      <c r="BX9">
        <f>0.962*(0.943*(0.9442 - 0.0007*$B9 - dis_BMI*($C9-21.75)) - 0.19*0.5)*AT9</f>
        <v>6.031086628652927E-4</v>
      </c>
      <c r="BY9">
        <f>0.962*(0.943*(0.9442 - 0.0007*$B9 - dis_BMI*($C9-21.75)))*AU9</f>
        <v>1.4068221054690218E-3</v>
      </c>
      <c r="BZ9">
        <f>0.962*(0.955*(0.9442 - 0.0007*$B9 - dis_BMI*($C9-21.75)) - 0.15*0.5)*AV9</f>
        <v>4.7143533671806627E-4</v>
      </c>
      <c r="CA9">
        <f>0.962*(0.955*(0.9442 - 0.0007*$B9 - dis_BMI*($C9-21.75)))*AW9</f>
        <v>1.2483595010870372E-3</v>
      </c>
      <c r="CB9">
        <f>0.962*(0.955*0.943*(0.9442 - 0.0007*$B9 - dis_BMI*($C9-21.75)) - 0.19*0.5)*AX9</f>
        <v>4.5761166164070148E-6</v>
      </c>
      <c r="CC9">
        <f>0.962*(0.955*0.943*(0.9442 - 0.0007*$B9 - dis_BMI*($C9-21.75)) - 0.15*0.5)*AY9</f>
        <v>4.3000699731115347E-6</v>
      </c>
      <c r="CD9">
        <f>0.962*(0.955*0.943*(0.9442 - 0.0007*$B9 - dis_BMI*($C9-21.75)))*AZ9</f>
        <v>8.2300821159057643E-6</v>
      </c>
      <c r="CE9">
        <f>0.962*(0.93*(0.9442 - 0.0007*$B9 - dis_BMI*($C9-21.75)))*BA9</f>
        <v>7.7282928959026846E-5</v>
      </c>
      <c r="CF9">
        <f>0.962*(0.93*(0.9442 - 0.0007*$B9 - dis_BMI*($C9-21.75)))*BB9</f>
        <v>2.1189446320507517E-4</v>
      </c>
      <c r="CG9">
        <f>0.962*(0.93*0.943*(0.9442 - 0.0007*$B9 - dis_BMI*($C9-21.75)))*BC9</f>
        <v>6.8529011456576905E-7</v>
      </c>
      <c r="CH9">
        <f>0.962*(0.93*0.943*(0.9442 - 0.0007*$B9 - dis_BMI*($C9-21.75))-0.19*0.5)*BD9</f>
        <v>6.9633242320802758E-7</v>
      </c>
      <c r="CI9">
        <f>0.962*(0.93*0.943*(0.9442 - 0.0007*$B9 - dis_BMI*($C9-21.75)))*BE9</f>
        <v>1.3253441351093383E-6</v>
      </c>
      <c r="CJ9">
        <f t="shared" si="18"/>
        <v>0</v>
      </c>
      <c r="CK9">
        <f t="shared" si="19"/>
        <v>0.79131255698559011</v>
      </c>
      <c r="CL9">
        <f>CK9/(1+r_)^A9</f>
        <v>0.6627118085915189</v>
      </c>
      <c r="CM9">
        <f>AD9*c_PT_2</f>
        <v>999.34960279849713</v>
      </c>
      <c r="CN9">
        <f>AE9*(c_Other+c_PT_2)</f>
        <v>254.73166523110973</v>
      </c>
      <c r="CO9">
        <f>AF9*(c_Stroke1+c_Stroke2+c_PT_2)</f>
        <v>44.441933256314371</v>
      </c>
      <c r="CP9">
        <f>AG9*(c_Stroke2 + c_PT_2)</f>
        <v>34.715044614980108</v>
      </c>
      <c r="CQ9">
        <f>AH9*(c_MI1+c_MI2 + c_PT_2)</f>
        <v>39.241393009676727</v>
      </c>
      <c r="CR9">
        <f>AI9*(c_MI2+c_PT_2)</f>
        <v>17.425348933376519</v>
      </c>
      <c r="CS9">
        <f>AJ9*(c_Stroke1+c_Stroke2+c_MI2+c_PT_2)</f>
        <v>0.27995675547903082</v>
      </c>
      <c r="CT9">
        <f>AK9*(c_Stroke2+c_MI1+c_MI2+c_PT_2)</f>
        <v>0.32698632737354788</v>
      </c>
      <c r="CU9">
        <f>AL9*(c_Stroke2+c_MI2+c_PT_2)</f>
        <v>0.20924102044723505</v>
      </c>
      <c r="CV9">
        <f>AM9*(c_HF1+c_PT_2)</f>
        <v>5.8582098580434367</v>
      </c>
      <c r="CW9">
        <f>AN9*(c_HF2+c_PT_2)</f>
        <v>11.699850393218474</v>
      </c>
      <c r="CX9">
        <f>AO9*(c_Stroke2+c_HF1+c_PT_2)</f>
        <v>4.7545710827003179E-2</v>
      </c>
      <c r="CY9">
        <f>AP9*(c_Stroke1+c_Stroke2+c_HF2+c_PT_2)</f>
        <v>6.5195398269563887E-2</v>
      </c>
      <c r="CZ9">
        <f>AQ9*(c_Stroke2+c_HF2+c_PT_2)</f>
        <v>7.5787380017671616E-2</v>
      </c>
      <c r="DA9">
        <f>AR9*(c_DM+c_PT_2)</f>
        <v>2592.9280908110786</v>
      </c>
      <c r="DB9">
        <f>AS9*(c_Other+c_DM+c_PT_2)</f>
        <v>189.2335572509318</v>
      </c>
      <c r="DC9">
        <f>AT9*(c_Stroke1+c_Stroke2+c_DM+c_PT_2)</f>
        <v>31.876868803279184</v>
      </c>
      <c r="DD9">
        <f>AU9*(c_Stroke2+c_DM+c_PT_2)</f>
        <v>34.711128370952167</v>
      </c>
      <c r="DE9">
        <f>AV9*(c_MI1+c_MI2+c_DM+c_PT_2)</f>
        <v>27.385899411586976</v>
      </c>
      <c r="DF9">
        <f>AW9*(c_MI2+c_DM+c_PT_2)</f>
        <v>25.107858700603391</v>
      </c>
      <c r="DG9">
        <f>AX9*(c_Stroke1+c_Stroke2+c_MI2+c_DM+c_PT_2)</f>
        <v>0.27648532828562555</v>
      </c>
      <c r="DH9">
        <f>AY9*(c_Stroke2+c_MI1+c_MI2+c_DM+c_PT_2)</f>
        <v>0.30770133231480529</v>
      </c>
      <c r="DI9">
        <f>AZ9*(c_Stroke2+c_MI2+c_DM+c_PT_2)</f>
        <v>0.24681420239150065</v>
      </c>
      <c r="DJ9">
        <f>BA9*(c_HF1+c_DM+c_PT_2)</f>
        <v>3.9806554535787781</v>
      </c>
      <c r="DK9">
        <f>BB9*(c_HF2+c_DM+c_PT_2)</f>
        <v>7.7905613706081729</v>
      </c>
      <c r="DL9">
        <f>BC9*(c_Stroke2+c_HF1+c_DM+c_PT_2)</f>
        <v>4.3525963496737242E-2</v>
      </c>
      <c r="DM9">
        <f>BD9*(c_Stroke1+c_Stroke2+c_HF2+c_DM+c_PT_2)</f>
        <v>5.6963002841142543E-2</v>
      </c>
      <c r="DN9">
        <f>BE9*(c_Stroke2+c_HF2+c_DM+c_PT_2)</f>
        <v>6.3460494036223031E-2</v>
      </c>
      <c r="DO9">
        <f t="shared" si="5"/>
        <v>0</v>
      </c>
      <c r="DP9">
        <f t="shared" si="38"/>
        <v>4322.4773311836152</v>
      </c>
      <c r="DQ9">
        <f>DP9/(1+r_)^A9</f>
        <v>3620.0067147382565</v>
      </c>
    </row>
    <row r="10" spans="1:121" x14ac:dyDescent="0.3">
      <c r="A10">
        <v>7</v>
      </c>
      <c r="B10">
        <v>52</v>
      </c>
      <c r="C10">
        <f t="shared" si="39"/>
        <v>34.542000000000002</v>
      </c>
      <c r="D10">
        <f t="shared" si="1"/>
        <v>125</v>
      </c>
      <c r="E10">
        <f t="shared" si="40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0"/>
        <v>4.0096398347168494E-2</v>
      </c>
      <c r="J10">
        <f t="shared" si="21"/>
        <v>0.11289408811242796</v>
      </c>
      <c r="K10">
        <f t="shared" si="22"/>
        <v>0.15444843308254719</v>
      </c>
      <c r="L10">
        <f t="shared" si="23"/>
        <v>5.5130894032710653E-2</v>
      </c>
      <c r="M10">
        <f t="shared" si="24"/>
        <v>7.6348357444640302E-2</v>
      </c>
      <c r="N10">
        <f t="shared" si="25"/>
        <v>0.23943633841285794</v>
      </c>
      <c r="O10">
        <f t="shared" si="26"/>
        <v>0.32072461130842644</v>
      </c>
      <c r="P10">
        <f t="shared" si="27"/>
        <v>0.12595907746211887</v>
      </c>
      <c r="Q10">
        <f t="shared" si="28"/>
        <v>0.17322938204549421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8.9814064502058821E-3</v>
      </c>
      <c r="U10">
        <f t="shared" si="29"/>
        <v>0.22948944693557971</v>
      </c>
      <c r="V10">
        <f t="shared" si="30"/>
        <v>0.30588026521412193</v>
      </c>
      <c r="W10">
        <f t="shared" si="31"/>
        <v>0.11610410710640606</v>
      </c>
      <c r="X10">
        <f t="shared" si="32"/>
        <v>0.15873034412156917</v>
      </c>
      <c r="Y10">
        <f t="shared" si="33"/>
        <v>0.37232617874983953</v>
      </c>
      <c r="Z10">
        <f t="shared" si="34"/>
        <v>0.48215426367744851</v>
      </c>
      <c r="AA10">
        <f t="shared" si="35"/>
        <v>0.204743241642246</v>
      </c>
      <c r="AB10">
        <f t="shared" si="36"/>
        <v>0.27653418633630977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1.6999804217988128E-2</v>
      </c>
      <c r="AD10">
        <f t="shared" si="37"/>
        <v>0.64674849450611727</v>
      </c>
      <c r="AE10">
        <f t="shared" si="6"/>
        <v>1.8431157464643168E-2</v>
      </c>
      <c r="AF10">
        <f t="shared" si="7"/>
        <v>1.8577025042696275E-3</v>
      </c>
      <c r="AG10">
        <f t="shared" si="8"/>
        <v>5.0863674541913925E-3</v>
      </c>
      <c r="AH10">
        <f t="shared" si="9"/>
        <v>1.3287293800278216E-3</v>
      </c>
      <c r="AI10">
        <f t="shared" si="10"/>
        <v>4.4219932873274734E-3</v>
      </c>
      <c r="AJ10">
        <f t="shared" si="11"/>
        <v>1.278615324957524E-5</v>
      </c>
      <c r="AK10">
        <f t="shared" si="12"/>
        <v>1.1230029254251934E-5</v>
      </c>
      <c r="AL10">
        <f t="shared" si="13"/>
        <v>2.794383463712863E-5</v>
      </c>
      <c r="AM10">
        <f t="shared" si="14"/>
        <v>2.1952035412038968E-4</v>
      </c>
      <c r="AN10">
        <f t="shared" si="15"/>
        <v>8.4772646346605225E-4</v>
      </c>
      <c r="AO10">
        <f t="shared" si="16"/>
        <v>1.7928282294984427E-6</v>
      </c>
      <c r="AP10">
        <f>AM9*T9*p_Stroke*p_Stroke_rec*(1-I9) + AN9*T9*p_Stroke*p_Stroke_rec*(1-I9) + AO9*(p_recur_Stroke*p_Stroke_rec)*(1-I9) + AP9*(p_recur_Stroke*p_Stroke_rec)*(1-I9) + AQ9*(p_recur_Stroke*p_Stroke_rec)*(1-I9)</f>
        <v>2.1969377004619523E-6</v>
      </c>
      <c r="AQ10">
        <f>AO9*(1-p_recur_Stroke-H9*rr_Stroke*rr_HF)*(1-I9) + AP9*(1-p_recur_Stroke-H9*rr_Stroke*rr_HF)*(1-I9) + AQ9*(1-p_recur_Stroke-H9*rr_Stroke*rr_HF)*(1-I9)</f>
        <v>5.0836997345949291E-6</v>
      </c>
      <c r="AR10">
        <f>AR9*(1-AC9-H9*rr_DM) + AD9*(1-T9-H9)*I9</f>
        <v>0.22404531807799852</v>
      </c>
      <c r="AS10">
        <f>AR9*AC9*p_Other + AD9*T9*p_Other*I9 + AE9*(1-T9*p_Stroke-T9*p_MI-H9*rr_Other)*I9 + AS9*(1-AC9*p_Stroke-AC9*p_MI-H9*rr_Other*rr_DM)</f>
        <v>9.4182948716739837E-3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1.084175435230971E-3</v>
      </c>
      <c r="AU10">
        <f>AF9*(1-p_recur_Stroke-T9*p_MI-H9*rr_Stroke)*I9 + AG9*(1-p_recur_Stroke-T9*p_MI-H9*rr_Stroke)*I9 + AT9*(1-p_recur_Stroke-AC9*p_MI-H9*rr_Stroke*rr_DM) + AU9*(1-p_recur_Stroke-AC9*p_MI-H9*rr_Stroke*rr_DM)</f>
        <v>2.506516974268617E-3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7.9886332354952346E-4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2.1900794150665841E-3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1.081707299248079E-5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9.714957851680573E-6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1.9898363322207069E-5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1.258531400579293E-4</v>
      </c>
      <c r="BB10">
        <f>AM9*(1-T9*p_Stroke - H9*rr_HF)*I9 + AN9*(1-T9*p_Stroke - H9*rr_HF)*I9 + BA9*(1-AC9*p_Stroke - H9*rr_HF*rr_DM) + BB9*(1-AC9*p_Stroke - H9*rr_HF*rr_DM)</f>
        <v>4.0419690539342202E-4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1.4858240582033058E-6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1.794071541121882E-6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3.4968154164280567E-6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2.2376769854609645E-2</v>
      </c>
      <c r="BG10">
        <f t="shared" si="17"/>
        <v>0.94200000000000028</v>
      </c>
      <c r="BH10">
        <f>(0.9442 - 0.0007*$B10 - dis_BMI*($C10-21.75))*AD10</f>
        <v>0.55981670106496983</v>
      </c>
      <c r="BI10">
        <f>0.959*(0.9442 - 0.0007*$B10 - dis_BMI*($C10-21.75))*AE10</f>
        <v>1.5299655108909809E-2</v>
      </c>
      <c r="BJ10">
        <f>(0.943*(0.9442 - 0.0007*$B10 - dis_BMI*($C10-21.75)) - 0.19*0.5)*AF10</f>
        <v>1.3398641697284382E-3</v>
      </c>
      <c r="BK10">
        <f>(0.943*(0.9442 - 0.0007*$B10 - dis_BMI*($C10-21.75)))*AG10</f>
        <v>4.1517371356069033E-3</v>
      </c>
      <c r="BL10">
        <f>(0.955*(0.9442 - 0.0007*$B10 - dis_BMI*($C10-21.75)) - 0.15*0.5)*AH10</f>
        <v>9.9871952350196434E-4</v>
      </c>
      <c r="BM10">
        <f>(0.955*(0.9442 - 0.0007*$B10 - dis_BMI*($C10-21.75)))*AI10</f>
        <v>3.6553744741338653E-3</v>
      </c>
      <c r="BN10">
        <f>(0.955*0.943*(0.9442 - 0.0007*$B10 - dis_BMI*($C10-21.75)) - 0.19*0.5)*AJ10</f>
        <v>8.7523369153277224E-6</v>
      </c>
      <c r="BO10">
        <f>(0.955*0.943*(0.9442 - 0.0007*$B10 - dis_BMI*($C10-21.75)) - 0.15*0.5)*AK10</f>
        <v>7.9117444573411161E-6</v>
      </c>
      <c r="BP10">
        <f>(0.955*0.943*(0.9442 - 0.0007*$B10 - dis_BMI*($C10-21.75)))*AL10</f>
        <v>2.1782689011995278E-5</v>
      </c>
      <c r="BQ10">
        <f>(0.93*(0.9442 - 0.0007*$B10 - dis_BMI*($C10-21.75)))*AM10</f>
        <v>1.7671286473630777E-4</v>
      </c>
      <c r="BR10">
        <f>(0.93*(0.9442 - 0.0007*$B10 - dis_BMI*($C10-21.75)))*AN10</f>
        <v>6.8241586285757003E-4</v>
      </c>
      <c r="BS10">
        <f>(0.93*0.943*(0.9442 - 0.0007*$B10 - dis_BMI*($C10-21.75)))*AO10</f>
        <v>1.3609549433548396E-6</v>
      </c>
      <c r="BT10">
        <f>(0.93*0.943*(0.9442 - 0.0007*$B10 - dis_BMI*($C10-21.75))-0.19*0.5)*AP10</f>
        <v>1.4590096516237446E-6</v>
      </c>
      <c r="BU10">
        <f>(0.93*0.943*(0.9442 - 0.0007*$B10 - dis_BMI*($C10-21.75)))*AQ10</f>
        <v>3.8590904418457365E-6</v>
      </c>
      <c r="BV10">
        <f>0.962*(0.9442 - 0.0007*$B10 - dis_BMI*($C10-21.75))*AR10</f>
        <v>0.18656121826013405</v>
      </c>
      <c r="BW10">
        <f>0.962*0.959*(0.9442 - 0.0007*$B10 - dis_BMI*($C10-21.75))*AS10</f>
        <v>7.5210138220033846E-3</v>
      </c>
      <c r="BX10">
        <f>0.962*(0.943*(0.9442 - 0.0007*$B10 - dis_BMI*($C10-21.75)) - 0.19*0.5)*AT10</f>
        <v>7.5224488259988381E-4</v>
      </c>
      <c r="BY10">
        <f>0.962*(0.943*(0.9442 - 0.0007*$B10 - dis_BMI*($C10-21.75)))*AU10</f>
        <v>1.9681937076592442E-3</v>
      </c>
      <c r="BZ10">
        <f>0.962*(0.955*(0.9442 - 0.0007*$B10 - dis_BMI*($C10-21.75)) - 0.15*0.5)*AV10</f>
        <v>5.7763640531877081E-4</v>
      </c>
      <c r="CA10">
        <f>0.962*(0.955*(0.9442 - 0.0007*$B10 - dis_BMI*($C10-21.75)))*AW10</f>
        <v>1.741601263259447E-3</v>
      </c>
      <c r="CB10">
        <f>0.962*(0.955*0.943*(0.9442 - 0.0007*$B10 - dis_BMI*($C10-21.75)) - 0.19*0.5)*AX10</f>
        <v>7.1230985687372494E-6</v>
      </c>
      <c r="CC10">
        <f>0.962*(0.955*0.943*(0.9442 - 0.0007*$B10 - dis_BMI*($C10-21.75)) - 0.15*0.5)*AY10</f>
        <v>6.5842658316103398E-6</v>
      </c>
      <c r="CD10">
        <f>0.962*(0.955*0.943*(0.9442 - 0.0007*$B10 - dis_BMI*($C10-21.75)))*AZ10</f>
        <v>1.4921686691406533E-5</v>
      </c>
      <c r="CE10">
        <f>0.962*(0.93*(0.9442 - 0.0007*$B10 - dis_BMI*($C10-21.75)))*BA10</f>
        <v>9.7461367455551061E-5</v>
      </c>
      <c r="CF10">
        <f>0.962*(0.93*(0.9442 - 0.0007*$B10 - dis_BMI*($C10-21.75)))*BB10</f>
        <v>3.1301231818937794E-4</v>
      </c>
      <c r="CG10">
        <f>0.962*(0.93*0.943*(0.9442 - 0.0007*$B10 - dis_BMI*($C10-21.75)))*BC10</f>
        <v>1.0850444344167824E-6</v>
      </c>
      <c r="CH10">
        <f>0.962*(0.93*0.943*(0.9442 - 0.0007*$B10 - dis_BMI*($C10-21.75))-0.19*0.5)*BD10</f>
        <v>1.1461864035977061E-6</v>
      </c>
      <c r="CI10">
        <f>0.962*(0.93*0.943*(0.9442 - 0.0007*$B10 - dis_BMI*($C10-21.75)))*BE10</f>
        <v>2.5535998591691296E-6</v>
      </c>
      <c r="CJ10">
        <f t="shared" si="18"/>
        <v>0</v>
      </c>
      <c r="CK10">
        <f t="shared" si="19"/>
        <v>0.7857321019382747</v>
      </c>
      <c r="CL10">
        <f>CK10/(1+r_)^A10</f>
        <v>0.6388721022759819</v>
      </c>
      <c r="CM10">
        <f>AD10*c_PT_2</f>
        <v>947.48654445146178</v>
      </c>
      <c r="CN10">
        <f>AE10*(c_Other+c_PT_2)</f>
        <v>290.18014312334202</v>
      </c>
      <c r="CO10">
        <f>AF10*(c_Stroke1+c_Stroke2+c_PT_2)</f>
        <v>46.964577010440451</v>
      </c>
      <c r="CP10">
        <f>AG10*(c_Stroke2 + c_PT_2)</f>
        <v>40.512916772634441</v>
      </c>
      <c r="CQ10">
        <f>AH10*(c_MI1+c_MI2 + c_PT_2)</f>
        <v>40.680378698931783</v>
      </c>
      <c r="CR10">
        <f>AI10*(c_MI2+c_PT_2)</f>
        <v>20.261573242534482</v>
      </c>
      <c r="CS10">
        <f>AJ10*(c_Stroke1+c_Stroke2+c_MI2+c_PT_2)</f>
        <v>0.36310117998143765</v>
      </c>
      <c r="CT10">
        <f>AK10*(c_Stroke2+c_MI1+c_MI2+c_PT_2)</f>
        <v>0.41681376580081475</v>
      </c>
      <c r="CU10">
        <f>AL10*(c_Stroke2+c_MI2+c_PT_2)</f>
        <v>0.30967357544865948</v>
      </c>
      <c r="CV10">
        <f>AM10*(c_HF1+c_PT_2)</f>
        <v>6.2552324906605037</v>
      </c>
      <c r="CW10">
        <f>AN10*(c_HF2+c_PT_2)</f>
        <v>14.470690731365512</v>
      </c>
      <c r="CX10">
        <f>AO10*(c_Stroke2+c_HF1+c_PT_2)</f>
        <v>6.2740023891298E-2</v>
      </c>
      <c r="CY10">
        <f>AP10*(c_Stroke1+c_Stroke2+c_HF2+c_PT_2)</f>
        <v>8.9823994821087383E-2</v>
      </c>
      <c r="CZ10">
        <f>AQ10*(c_Stroke2+c_HF2+c_PT_2)</f>
        <v>0.11982280274440248</v>
      </c>
      <c r="DA10">
        <f>AR10*(c_DM+c_PT_2)</f>
        <v>2887.9441500254011</v>
      </c>
      <c r="DB10">
        <f>AS10*(c_Other+c_DM+c_PT_2)</f>
        <v>255.88565336851048</v>
      </c>
      <c r="DC10">
        <f>AT10*(c_Stroke1+c_Stroke2+c_DM+c_PT_2)</f>
        <v>39.795743525588023</v>
      </c>
      <c r="DD10">
        <f>AU10*(c_Stroke2+c_DM+c_PT_2)</f>
        <v>48.601364131068486</v>
      </c>
      <c r="DE10">
        <f>AV10*(c_MI1+c_MI2+c_DM+c_PT_2)</f>
        <v>33.585012985345514</v>
      </c>
      <c r="DF10">
        <f>AW10*(c_MI2+c_DM+c_PT_2)</f>
        <v>35.05660119697081</v>
      </c>
      <c r="DG10">
        <f>AX10*(c_Stroke1+c_Stroke2+c_MI2+c_DM+c_PT_2)</f>
        <v>0.43076829777956249</v>
      </c>
      <c r="DH10">
        <f>AY10*(c_Stroke2+c_MI1+c_MI2+c_DM+c_PT_2)</f>
        <v>0.47157376907842669</v>
      </c>
      <c r="DI10">
        <f>AZ10*(c_Stroke2+c_MI2+c_DM+c_PT_2)</f>
        <v>0.4478524632929145</v>
      </c>
      <c r="DJ10">
        <f>BA10*(c_HF1+c_DM+c_PT_2)</f>
        <v>5.0240573511125373</v>
      </c>
      <c r="DK10">
        <f>BB10*(c_HF2+c_DM+c_PT_2)</f>
        <v>11.51759081918556</v>
      </c>
      <c r="DL10">
        <f>BC10*(c_Stroke2+c_HF1+c_DM+c_PT_2)</f>
        <v>6.8971952781797449E-2</v>
      </c>
      <c r="DM10">
        <f>BD10*(c_Stroke1+c_Stroke2+c_HF2+c_DM+c_PT_2)</f>
        <v>9.3849676387626771E-2</v>
      </c>
      <c r="DN10">
        <f>BE10*(c_Stroke2+c_HF2+c_DM+c_PT_2)</f>
        <v>0.12237105549789984</v>
      </c>
      <c r="DO10">
        <f t="shared" si="5"/>
        <v>0</v>
      </c>
      <c r="DP10">
        <f t="shared" si="38"/>
        <v>4727.2195924820599</v>
      </c>
      <c r="DQ10">
        <f>DP10/(1+r_)^A10</f>
        <v>3843.6621229031507</v>
      </c>
    </row>
    <row r="11" spans="1:121" x14ac:dyDescent="0.3">
      <c r="A11">
        <v>8</v>
      </c>
      <c r="B11">
        <v>53</v>
      </c>
      <c r="C11">
        <f t="shared" si="39"/>
        <v>34.542000000000002</v>
      </c>
      <c r="D11">
        <f t="shared" si="1"/>
        <v>125</v>
      </c>
      <c r="E11">
        <f t="shared" si="40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0"/>
        <v>4.0096398347168494E-2</v>
      </c>
      <c r="J11">
        <f t="shared" si="21"/>
        <v>0.11852934142051474</v>
      </c>
      <c r="K11">
        <f t="shared" si="22"/>
        <v>0.1619612882089444</v>
      </c>
      <c r="L11">
        <f t="shared" si="23"/>
        <v>5.7977091029264183E-2</v>
      </c>
      <c r="M11">
        <f t="shared" si="24"/>
        <v>8.0242570923442558E-2</v>
      </c>
      <c r="N11">
        <f t="shared" si="25"/>
        <v>0.25204735941326273</v>
      </c>
      <c r="O11">
        <f t="shared" si="26"/>
        <v>0.33658467406050308</v>
      </c>
      <c r="P11">
        <f t="shared" si="27"/>
        <v>0.1331181289707265</v>
      </c>
      <c r="Q11">
        <f t="shared" si="28"/>
        <v>0.18278175267893981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9.4484613170932735E-3</v>
      </c>
      <c r="U11">
        <f t="shared" si="29"/>
        <v>0.24010180613067145</v>
      </c>
      <c r="V11">
        <f t="shared" si="30"/>
        <v>0.31923223727702943</v>
      </c>
      <c r="W11">
        <f t="shared" si="31"/>
        <v>0.1218883279401064</v>
      </c>
      <c r="X11">
        <f t="shared" si="32"/>
        <v>0.16643031694841992</v>
      </c>
      <c r="Y11">
        <f t="shared" si="33"/>
        <v>0.38993303072528929</v>
      </c>
      <c r="Z11">
        <f t="shared" si="34"/>
        <v>0.50255988895304216</v>
      </c>
      <c r="AA11">
        <f t="shared" si="35"/>
        <v>0.21579550584143004</v>
      </c>
      <c r="AB11">
        <f t="shared" si="36"/>
        <v>0.2907002474281063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1.7825732682501438E-2</v>
      </c>
      <c r="AD11">
        <f t="shared" si="37"/>
        <v>0.61272610088648638</v>
      </c>
      <c r="AE11">
        <f t="shared" si="6"/>
        <v>2.0551179834171814E-2</v>
      </c>
      <c r="AF11">
        <f t="shared" si="7"/>
        <v>1.9493495546322277E-3</v>
      </c>
      <c r="AG11">
        <f t="shared" si="8"/>
        <v>5.7680935781189704E-3</v>
      </c>
      <c r="AH11">
        <f t="shared" si="9"/>
        <v>1.370957529771121E-3</v>
      </c>
      <c r="AI11">
        <f t="shared" si="10"/>
        <v>4.9981289445019204E-3</v>
      </c>
      <c r="AJ11">
        <f t="shared" si="11"/>
        <v>1.5997212543252502E-5</v>
      </c>
      <c r="AK11">
        <f t="shared" si="12"/>
        <v>1.3840693443654899E-5</v>
      </c>
      <c r="AL11">
        <f t="shared" si="13"/>
        <v>3.8598066680532026E-5</v>
      </c>
      <c r="AM11">
        <f t="shared" si="14"/>
        <v>2.3230696461596655E-4</v>
      </c>
      <c r="AN11">
        <f t="shared" si="15"/>
        <v>1.0147865743296764E-3</v>
      </c>
      <c r="AO11">
        <f t="shared" si="16"/>
        <v>2.2750546656277859E-6</v>
      </c>
      <c r="AP11">
        <f>AM10*T10*p_Stroke*p_Stroke_rec*(1-I10) + AN10*T10*p_Stroke*p_Stroke_rec*(1-I10) + AO10*(p_recur_Stroke*p_Stroke_rec)*(1-I10) + AP10*(p_recur_Stroke*p_Stroke_rec)*(1-I10) + AQ10*(p_recur_Stroke*p_Stroke_rec)*(1-I10)</f>
        <v>2.9084853342419907E-6</v>
      </c>
      <c r="AQ11">
        <f>AO10*(1-p_recur_Stroke-H10*rr_Stroke*rr_HF)*(1-I10) + AP10*(1-p_recur_Stroke-H10*rr_Stroke*rr_HF)*(1-I10) + AQ10*(1-p_recur_Stroke-H10*rr_Stroke*rr_HF)*(1-I10)</f>
        <v>7.4635516933057459E-6</v>
      </c>
      <c r="AR11">
        <f>AR10*(1-AC10-H10*rr_DM) + AD10*(1-T10-H10)*I10</f>
        <v>0.24478745158243032</v>
      </c>
      <c r="AS11">
        <f>AR10*AC10*p_Other + AD10*T10*p_Other*I10 + AE10*(1-T10*p_Stroke-T10*p_MI-H10*rr_Other)*I10 + AS10*(1-AC10*p_Stroke-AC10*p_MI-H10*rr_Other*rr_DM)</f>
        <v>1.2216149505046767E-2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1.3176448971110441E-3</v>
      </c>
      <c r="AU11">
        <f>AF10*(1-p_recur_Stroke-T10*p_MI-H10*rr_Stroke)*I10 + AG10*(1-p_recur_Stroke-T10*p_MI-H10*rr_Stroke)*I10 + AT10*(1-p_recur_Stroke-AC10*p_MI-H10*rr_Stroke*rr_DM) + AU10*(1-p_recur_Stroke-AC10*p_MI-H10*rr_Stroke*rr_DM)</f>
        <v>3.3349758904890545E-3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9.5551552132625743E-4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2.9066911800172401E-3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1.5883440492497218E-5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1.4056438655015522E-5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3.2778739052710716E-5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1.5437674786850946E-4</v>
      </c>
      <c r="BB11">
        <f>AM10*(1-T10*p_Stroke - H10*rr_HF)*I10 + AN10*(1-T10*p_Stroke - H10*rr_HF)*I10 + BA10*(1-AC10*p_Stroke - H10*rr_HF*rr_DM) + BB10*(1-AC10*p_Stroke - H10*rr_HF*rr_DM)</f>
        <v>5.6587345507444833E-4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2.21283442629681E-6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2.7763141048504845E-6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6.0954686548605621E-6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2.699553105426146E-2</v>
      </c>
      <c r="BG11">
        <f t="shared" si="17"/>
        <v>0.94199999999999995</v>
      </c>
      <c r="BH11">
        <f>(0.9442 - 0.0007*$B11 - dis_BMI*($C11-21.75))*AD11</f>
        <v>0.52993847158175</v>
      </c>
      <c r="BI11">
        <f>0.959*(0.9442 - 0.0007*$B11 - dis_BMI*($C11-21.75))*AE11</f>
        <v>1.704568406888575E-2</v>
      </c>
      <c r="BJ11">
        <f>(0.943*(0.9442 - 0.0007*$B11 - dis_BMI*($C11-21.75)) - 0.19*0.5)*AF11</f>
        <v>1.4046776535945032E-3</v>
      </c>
      <c r="BK11">
        <f>(0.943*(0.9442 - 0.0007*$B11 - dis_BMI*($C11-21.75)))*AG11</f>
        <v>4.7043871853328159E-3</v>
      </c>
      <c r="BL11">
        <f>(0.955*(0.9442 - 0.0007*$B11 - dis_BMI*($C11-21.75)) - 0.15*0.5)*AH11</f>
        <v>1.029543194232355E-3</v>
      </c>
      <c r="BM11">
        <f>(0.955*(0.9442 - 0.0007*$B11 - dis_BMI*($C11-21.75)))*AI11</f>
        <v>4.1282871308164926E-3</v>
      </c>
      <c r="BN11">
        <f>(0.955*0.943*(0.9442 - 0.0007*$B11 - dis_BMI*($C11-21.75)) - 0.19*0.5)*AJ11</f>
        <v>1.0940276429237775E-5</v>
      </c>
      <c r="BO11">
        <f>(0.955*0.943*(0.9442 - 0.0007*$B11 - dis_BMI*($C11-21.75)) - 0.15*0.5)*AK11</f>
        <v>9.7422761696657248E-6</v>
      </c>
      <c r="BP11">
        <f>(0.955*0.943*(0.9442 - 0.0007*$B11 - dis_BMI*($C11-21.75)))*AL11</f>
        <v>3.0063510007216895E-5</v>
      </c>
      <c r="BQ11">
        <f>(0.93*(0.9442 - 0.0007*$B11 - dis_BMI*($C11-21.75)))*AM11</f>
        <v>1.8685479491911656E-4</v>
      </c>
      <c r="BR11">
        <f>(0.93*(0.9442 - 0.0007*$B11 - dis_BMI*($C11-21.75)))*AN11</f>
        <v>8.1623784954750356E-4</v>
      </c>
      <c r="BS11">
        <f>(0.93*0.943*(0.9442 - 0.0007*$B11 - dis_BMI*($C11-21.75)))*AO11</f>
        <v>1.7256215106539877E-6</v>
      </c>
      <c r="BT11">
        <f>(0.93*0.943*(0.9442 - 0.0007*$B11 - dis_BMI*($C11-21.75))-0.19*0.5)*AP11</f>
        <v>1.9297704908854633E-6</v>
      </c>
      <c r="BU11">
        <f>(0.93*0.943*(0.9442 - 0.0007*$B11 - dis_BMI*($C11-21.75)))*AQ11</f>
        <v>5.6610795082993945E-6</v>
      </c>
      <c r="BV11">
        <f>0.962*(0.9442 - 0.0007*$B11 - dis_BMI*($C11-21.75))*AR11</f>
        <v>0.20366823092925895</v>
      </c>
      <c r="BW11">
        <f>0.962*0.959*(0.9442 - 0.0007*$B11 - dis_BMI*($C11-21.75))*AS11</f>
        <v>9.7473617995482518E-3</v>
      </c>
      <c r="BX11">
        <f>0.962*(0.943*(0.9442 - 0.0007*$B11 - dis_BMI*($C11-21.75)) - 0.19*0.5)*AT11</f>
        <v>9.1339873708362975E-4</v>
      </c>
      <c r="BY11">
        <f>0.962*(0.943*(0.9442 - 0.0007*$B11 - dis_BMI*($C11-21.75)))*AU11</f>
        <v>2.616607196153242E-3</v>
      </c>
      <c r="BZ11">
        <f>0.962*(0.955*(0.9442 - 0.0007*$B11 - dis_BMI*($C11-21.75)) - 0.15*0.5)*AV11</f>
        <v>6.9029287220017603E-4</v>
      </c>
      <c r="CA11">
        <f>0.962*(0.955*(0.9442 - 0.0007*$B11 - dis_BMI*($C11-21.75)))*AW11</f>
        <v>2.309598051554044E-3</v>
      </c>
      <c r="CB11">
        <f>0.962*(0.955*0.943*(0.9442 - 0.0007*$B11 - dis_BMI*($C11-21.75)) - 0.19*0.5)*AX11</f>
        <v>1.0449695436448848E-5</v>
      </c>
      <c r="CC11">
        <f>0.962*(0.955*0.943*(0.9442 - 0.0007*$B11 - dis_BMI*($C11-21.75)) - 0.15*0.5)*AY11</f>
        <v>9.5181591151152005E-6</v>
      </c>
      <c r="CD11">
        <f>0.962*(0.955*0.943*(0.9442 - 0.0007*$B11 - dis_BMI*($C11-21.75)))*AZ11</f>
        <v>2.4560739979521647E-5</v>
      </c>
      <c r="CE11">
        <f>0.962*(0.93*(0.9442 - 0.0007*$B11 - dis_BMI*($C11-21.75)))*BA11</f>
        <v>1.1945352674949341E-4</v>
      </c>
      <c r="CF11">
        <f>0.962*(0.93*(0.9442 - 0.0007*$B11 - dis_BMI*($C11-21.75)))*BB11</f>
        <v>4.3786114706949569E-4</v>
      </c>
      <c r="CG11">
        <f>0.962*(0.93*0.943*(0.9442 - 0.0007*$B11 - dis_BMI*($C11-21.75)))*BC11</f>
        <v>1.6146474117664891E-6</v>
      </c>
      <c r="CH11">
        <f>0.962*(0.93*0.943*(0.9442 - 0.0007*$B11 - dis_BMI*($C11-21.75))-0.19*0.5)*BD11</f>
        <v>1.772076451284552E-6</v>
      </c>
      <c r="CI11">
        <f>0.962*(0.93*0.943*(0.9442 - 0.0007*$B11 - dis_BMI*($C11-21.75)))*BE11</f>
        <v>4.4477040713547931E-6</v>
      </c>
      <c r="CJ11">
        <f t="shared" si="18"/>
        <v>0</v>
      </c>
      <c r="CK11">
        <f t="shared" si="19"/>
        <v>0.77986937327527694</v>
      </c>
      <c r="CL11">
        <f>CK11/(1+r_)^A11</f>
        <v>0.6156360848221254</v>
      </c>
      <c r="CM11">
        <f>AD11*c_PT_2</f>
        <v>897.64373779870255</v>
      </c>
      <c r="CN11">
        <f>AE11*(c_Other+c_PT_2)</f>
        <v>323.55777530920102</v>
      </c>
      <c r="CO11">
        <f>AF11*(c_Stroke1+c_Stroke2+c_PT_2)</f>
        <v>49.281506090657345</v>
      </c>
      <c r="CP11">
        <f>AG11*(c_Stroke2 + c_PT_2)</f>
        <v>45.9428653497176</v>
      </c>
      <c r="CQ11">
        <f>AH11*(c_MI1+c_MI2 + c_PT_2)</f>
        <v>41.973235731472641</v>
      </c>
      <c r="CR11">
        <f>AI11*(c_MI2+c_PT_2)</f>
        <v>22.901426823707798</v>
      </c>
      <c r="CS11">
        <f>AJ11*(c_Stroke1+c_Stroke2+c_MI2+c_PT_2)</f>
        <v>0.45428884180328455</v>
      </c>
      <c r="CT11">
        <f>AK11*(c_Stroke2+c_MI1+c_MI2+c_PT_2)</f>
        <v>0.51371117785469522</v>
      </c>
      <c r="CU11">
        <f>AL11*(c_Stroke2+c_MI2+c_PT_2)</f>
        <v>0.4277437749536559</v>
      </c>
      <c r="CV11">
        <f>AM11*(c_HF1+c_PT_2)</f>
        <v>6.6195869567319665</v>
      </c>
      <c r="CW11">
        <f>AN11*(c_HF2+c_PT_2)</f>
        <v>17.322406823807576</v>
      </c>
      <c r="CX11">
        <f>AO11*(c_Stroke2+c_HF1+c_PT_2)</f>
        <v>7.9615538023644364E-2</v>
      </c>
      <c r="CY11">
        <f>AP11*(c_Stroke1+c_Stroke2+c_HF2+c_PT_2)</f>
        <v>0.11891633137581803</v>
      </c>
      <c r="CZ11">
        <f>AQ11*(c_Stroke2+c_HF2+c_PT_2)</f>
        <v>0.17591591341121643</v>
      </c>
      <c r="DA11">
        <f>AR11*(c_DM+c_PT_2)</f>
        <v>3155.3102508975267</v>
      </c>
      <c r="DB11">
        <f>AS11*(c_Other+c_DM+c_PT_2)</f>
        <v>331.9005659026156</v>
      </c>
      <c r="DC11">
        <f>AT11*(c_Stroke1+c_Stroke2+c_DM+c_PT_2)</f>
        <v>48.365473593357983</v>
      </c>
      <c r="DD11">
        <f>AU11*(c_Stroke2+c_DM+c_PT_2)</f>
        <v>64.66518251658276</v>
      </c>
      <c r="DE11">
        <f>AV11*(c_MI1+c_MI2+c_DM+c_PT_2)</f>
        <v>40.170828032077189</v>
      </c>
      <c r="DF11">
        <f>AW11*(c_MI2+c_DM+c_PT_2)</f>
        <v>46.52740571853596</v>
      </c>
      <c r="DG11">
        <f>AX11*(c_Stroke1+c_Stroke2+c_MI2+c_DM+c_PT_2)</f>
        <v>0.63252625073271673</v>
      </c>
      <c r="DH11">
        <f>AY11*(c_Stroke2+c_MI1+c_MI2+c_DM+c_PT_2)</f>
        <v>0.68231358875310844</v>
      </c>
      <c r="DI11">
        <f>AZ11*(c_Stroke2+c_MI2+c_DM+c_PT_2)</f>
        <v>0.73775107985936006</v>
      </c>
      <c r="DJ11">
        <f>BA11*(c_HF1+c_DM+c_PT_2)</f>
        <v>6.1627197749108973</v>
      </c>
      <c r="DK11">
        <f>BB11*(c_HF2+c_DM+c_PT_2)</f>
        <v>16.124564102346405</v>
      </c>
      <c r="DL11">
        <f>BC11*(c_Stroke2+c_HF1+c_DM+c_PT_2)</f>
        <v>0.10271977406869792</v>
      </c>
      <c r="DM11">
        <f>BD11*(c_Stroke1+c_Stroke2+c_HF2+c_DM+c_PT_2)</f>
        <v>0.14523176713883371</v>
      </c>
      <c r="DN11">
        <f>BE11*(c_Stroke2+c_HF2+c_DM+c_PT_2)</f>
        <v>0.21331092557684536</v>
      </c>
      <c r="DO11">
        <f t="shared" si="5"/>
        <v>0</v>
      </c>
      <c r="DP11">
        <f t="shared" si="38"/>
        <v>5118.7535763855039</v>
      </c>
      <c r="DQ11">
        <f>DP11/(1+r_)^A11</f>
        <v>4040.7913413762012</v>
      </c>
    </row>
    <row r="12" spans="1:121" x14ac:dyDescent="0.3">
      <c r="A12">
        <v>9</v>
      </c>
      <c r="B12">
        <v>54</v>
      </c>
      <c r="C12">
        <f t="shared" si="39"/>
        <v>34.542000000000002</v>
      </c>
      <c r="D12">
        <f t="shared" si="1"/>
        <v>125</v>
      </c>
      <c r="E12">
        <f t="shared" si="40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0"/>
        <v>4.0096398347168494E-2</v>
      </c>
      <c r="J12">
        <f t="shared" si="21"/>
        <v>0.12431300701085368</v>
      </c>
      <c r="K12">
        <f t="shared" si="22"/>
        <v>0.16965202761544329</v>
      </c>
      <c r="L12">
        <f t="shared" si="23"/>
        <v>6.0908228110773899E-2</v>
      </c>
      <c r="M12">
        <f t="shared" si="24"/>
        <v>8.4248078547809357E-2</v>
      </c>
      <c r="N12">
        <f t="shared" si="25"/>
        <v>0.26494932516621639</v>
      </c>
      <c r="O12">
        <f t="shared" si="26"/>
        <v>0.35269673369307974</v>
      </c>
      <c r="P12">
        <f t="shared" si="27"/>
        <v>0.14050610478524705</v>
      </c>
      <c r="Q12">
        <f t="shared" si="28"/>
        <v>0.19260547576503106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9.9284090672550947E-3</v>
      </c>
      <c r="U12">
        <f t="shared" si="29"/>
        <v>0.25091098152072211</v>
      </c>
      <c r="V12">
        <f t="shared" si="30"/>
        <v>0.33275527381586922</v>
      </c>
      <c r="W12">
        <f t="shared" si="31"/>
        <v>0.12782372073000836</v>
      </c>
      <c r="X12">
        <f t="shared" si="32"/>
        <v>0.17431044090365588</v>
      </c>
      <c r="Y12">
        <f t="shared" si="33"/>
        <v>0.40773178049076697</v>
      </c>
      <c r="Z12">
        <f t="shared" si="34"/>
        <v>0.52294213425581382</v>
      </c>
      <c r="AA12">
        <f t="shared" si="35"/>
        <v>0.22713423196182314</v>
      </c>
      <c r="AB12">
        <f t="shared" si="36"/>
        <v>0.30514803005303637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1.8669028592578376E-2</v>
      </c>
      <c r="AD12">
        <f t="shared" si="37"/>
        <v>0.58000232103615579</v>
      </c>
      <c r="AE12">
        <f t="shared" si="6"/>
        <v>2.2534135247684443E-2</v>
      </c>
      <c r="AF12">
        <f t="shared" si="7"/>
        <v>2.0331847314329051E-3</v>
      </c>
      <c r="AG12">
        <f t="shared" si="8"/>
        <v>6.4012021933979807E-3</v>
      </c>
      <c r="AH12">
        <f t="shared" si="9"/>
        <v>1.4086528546457609E-3</v>
      </c>
      <c r="AI12">
        <f t="shared" si="10"/>
        <v>5.5313563348817849E-3</v>
      </c>
      <c r="AJ12">
        <f t="shared" si="11"/>
        <v>1.9475494154264389E-5</v>
      </c>
      <c r="AK12">
        <f t="shared" si="12"/>
        <v>1.663068977996313E-5</v>
      </c>
      <c r="AL12">
        <f t="shared" si="13"/>
        <v>5.0717540015713796E-5</v>
      </c>
      <c r="AM12">
        <f t="shared" si="14"/>
        <v>2.4399586822874294E-4</v>
      </c>
      <c r="AN12">
        <f t="shared" si="15"/>
        <v>1.1848626190687406E-3</v>
      </c>
      <c r="AO12">
        <f t="shared" si="16"/>
        <v>2.8027933252129071E-6</v>
      </c>
      <c r="AP12">
        <f>AM11*T11*p_Stroke*p_Stroke_rec*(1-I11) + AN11*T11*p_Stroke*p_Stroke_rec*(1-I11) + AO11*(p_recur_Stroke*p_Stroke_rec)*(1-I11) + AP11*(p_recur_Stroke*p_Stroke_rec)*(1-I11) + AQ11*(p_recur_Stroke*p_Stroke_rec)*(1-I11)</f>
        <v>3.7335892813350512E-6</v>
      </c>
      <c r="AQ12">
        <f>AO11*(1-p_recur_Stroke-H11*rr_Stroke*rr_HF)*(1-I11) + AP11*(1-p_recur_Stroke-H11*rr_Stroke*rr_HF)*(1-I11) + AQ11*(1-p_recur_Stroke-H11*rr_Stroke*rr_HF)*(1-I11)</f>
        <v>1.0377656076273139E-5</v>
      </c>
      <c r="AR12">
        <f>AR11*(1-AC11-H11*rr_DM) + AD11*(1-T11-H11)*I11</f>
        <v>0.26340768137565096</v>
      </c>
      <c r="AS12">
        <f>AR11*AC11*p_Other + AD11*T11*p_Other*I11 + AE11*(1-T11*p_Stroke-T11*p_MI-H11*rr_Other)*I11 + AS11*(1-AC11*p_Stroke-AC11*p_MI-H11*rr_Other*rr_DM)</f>
        <v>1.5341443371818163E-2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1.567976372858812E-3</v>
      </c>
      <c r="AU12">
        <f>AF11*(1-p_recur_Stroke-T11*p_MI-H11*rr_Stroke)*I11 + AG11*(1-p_recur_Stroke-T11*p_MI-H11*rr_Stroke)*I11 + AT11*(1-p_recur_Stroke-AC11*p_MI-H11*rr_Stroke*rr_DM) + AU11*(1-p_recur_Stroke-AC11*p_MI-H11*rr_Stroke*rr_DM)</f>
        <v>4.2694579492628254E-3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1.1207555326600721E-3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3.7138838966353964E-3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2.2305605841787959E-5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1.9481051832017965E-5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5.0334973472196776E-5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1.851691133178461E-4</v>
      </c>
      <c r="BB12">
        <f>AM11*(1-T11*p_Stroke - H11*rr_HF)*I11 + AN11*(1-T11*p_Stroke - H11*rr_HF)*I11 + BA11*(1-AC11*p_Stroke - H11*rr_HF*rr_DM) + BB11*(1-AC11*p_Stroke - H11*rr_HF*rr_DM)</f>
        <v>7.6013039649250802E-4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3.1453087993581031E-6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4.0964282983344419E-6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9.8671321376582259E-6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3.2080822842793101E-2</v>
      </c>
      <c r="BG12">
        <f t="shared" si="17"/>
        <v>0.94200000000000006</v>
      </c>
      <c r="BH12">
        <f>(0.9442 - 0.0007*$B12 - dis_BMI*($C12-21.75))*AD12</f>
        <v>0.50123011780787985</v>
      </c>
      <c r="BI12">
        <f>0.959*(0.9442 - 0.0007*$B12 - dis_BMI*($C12-21.75))*AE12</f>
        <v>1.8675271794920338E-2</v>
      </c>
      <c r="BJ12">
        <f>(0.943*(0.9442 - 0.0007*$B12 - dis_BMI*($C12-21.75)) - 0.19*0.5)*AF12</f>
        <v>1.463746160271101E-3</v>
      </c>
      <c r="BK12">
        <f>(0.943*(0.9442 - 0.0007*$B12 - dis_BMI*($C12-21.75)))*AG12</f>
        <v>5.2165174620711768E-3</v>
      </c>
      <c r="BL12">
        <f>(0.955*(0.9442 - 0.0007*$B12 - dis_BMI*($C12-21.75)) - 0.15*0.5)*AH12</f>
        <v>1.0569094364388395E-3</v>
      </c>
      <c r="BM12">
        <f>(0.955*(0.9442 - 0.0007*$B12 - dis_BMI*($C12-21.75)))*AI12</f>
        <v>4.5650173868415434E-3</v>
      </c>
      <c r="BN12">
        <f>(0.955*0.943*(0.9442 - 0.0007*$B12 - dis_BMI*($C12-21.75)) - 0.19*0.5)*AJ12</f>
        <v>1.330674872690768E-5</v>
      </c>
      <c r="BO12">
        <f>(0.955*0.943*(0.9442 - 0.0007*$B12 - dis_BMI*($C12-21.75)) - 0.15*0.5)*AK12</f>
        <v>1.1695632792920294E-5</v>
      </c>
      <c r="BP12">
        <f>(0.955*0.943*(0.9442 - 0.0007*$B12 - dis_BMI*($C12-21.75)))*AL12</f>
        <v>3.9471231106434603E-5</v>
      </c>
      <c r="BQ12">
        <f>(0.93*(0.9442 - 0.0007*$B12 - dis_BMI*($C12-21.75)))*AM12</f>
        <v>1.9609785721090876E-4</v>
      </c>
      <c r="BR12">
        <f>(0.93*(0.9442 - 0.0007*$B12 - dis_BMI*($C12-21.75)))*AN12</f>
        <v>9.5226620997885538E-4</v>
      </c>
      <c r="BS12">
        <f>(0.93*0.943*(0.9442 - 0.0007*$B12 - dis_BMI*($C12-21.75)))*AO12</f>
        <v>2.1241889398408836E-6</v>
      </c>
      <c r="BT12">
        <f>(0.93*0.943*(0.9442 - 0.0007*$B12 - dis_BMI*($C12-21.75))-0.19*0.5)*AP12</f>
        <v>2.4749322323636853E-6</v>
      </c>
      <c r="BU12">
        <f>(0.93*0.943*(0.9442 - 0.0007*$B12 - dis_BMI*($C12-21.75)))*AQ12</f>
        <v>7.8650473655660694E-6</v>
      </c>
      <c r="BV12">
        <f>0.962*(0.9442 - 0.0007*$B12 - dis_BMI*($C12-21.75))*AR12</f>
        <v>0.21898326913615679</v>
      </c>
      <c r="BW12">
        <f>0.962*0.959*(0.9442 - 0.0007*$B12 - dis_BMI*($C12-21.75))*AS12</f>
        <v>1.2231151003897166E-2</v>
      </c>
      <c r="BX12">
        <f>0.962*(0.943*(0.9442 - 0.0007*$B12 - dis_BMI*($C12-21.75)) - 0.19*0.5)*AT12</f>
        <v>1.0859342114946306E-3</v>
      </c>
      <c r="BY12">
        <f>0.962*(0.943*(0.9442 - 0.0007*$B12 - dis_BMI*($C12-21.75)))*AU12</f>
        <v>3.3470864729224056E-3</v>
      </c>
      <c r="BZ12">
        <f>0.962*(0.955*(0.9442 - 0.0007*$B12 - dis_BMI*($C12-21.75)) - 0.15*0.5)*AV12</f>
        <v>8.0894642346532482E-4</v>
      </c>
      <c r="CA12">
        <f>0.962*(0.955*(0.9442 - 0.0007*$B12 - dis_BMI*($C12-21.75)))*AW12</f>
        <v>2.9485886788177102E-3</v>
      </c>
      <c r="CB12">
        <f>0.962*(0.955*0.943*(0.9442 - 0.0007*$B12 - dis_BMI*($C12-21.75)) - 0.19*0.5)*AX12</f>
        <v>1.4661302885315826E-5</v>
      </c>
      <c r="CC12">
        <f>0.962*(0.955*0.943*(0.9442 - 0.0007*$B12 - dis_BMI*($C12-21.75)) - 0.15*0.5)*AY12</f>
        <v>1.3179560731306257E-5</v>
      </c>
      <c r="CD12">
        <f>0.962*(0.955*0.943*(0.9442 - 0.0007*$B12 - dis_BMI*($C12-21.75)))*AZ12</f>
        <v>3.7684903526081549E-5</v>
      </c>
      <c r="CE12">
        <f>0.962*(0.93*(0.9442 - 0.0007*$B12 - dis_BMI*($C12-21.75)))*BA12</f>
        <v>1.4316405632525467E-4</v>
      </c>
      <c r="CF12">
        <f>0.962*(0.93*(0.9442 - 0.0007*$B12 - dis_BMI*($C12-21.75)))*BB12</f>
        <v>5.8769709995421502E-4</v>
      </c>
      <c r="CG12">
        <f>0.962*(0.93*0.943*(0.9442 - 0.0007*$B12 - dis_BMI*($C12-21.75)))*BC12</f>
        <v>2.2931920666184646E-6</v>
      </c>
      <c r="CH12">
        <f>0.962*(0.93*0.943*(0.9442 - 0.0007*$B12 - dis_BMI*($C12-21.75))-0.19*0.5)*BD12</f>
        <v>2.6122648116154782E-6</v>
      </c>
      <c r="CI12">
        <f>0.962*(0.93*0.943*(0.9442 - 0.0007*$B12 - dis_BMI*($C12-21.75)))*BE12</f>
        <v>7.1939610962750989E-6</v>
      </c>
      <c r="CJ12">
        <f t="shared" si="18"/>
        <v>0</v>
      </c>
      <c r="CK12">
        <f t="shared" si="19"/>
        <v>0.7736463441649275</v>
      </c>
      <c r="CL12">
        <f>CK12/(1+r_)^A12</f>
        <v>0.59293550308447673</v>
      </c>
      <c r="CM12">
        <f>AD12*c_PT_2</f>
        <v>849.7034003179682</v>
      </c>
      <c r="CN12">
        <f>AE12*(c_Other+c_PT_2)</f>
        <v>354.77742533954387</v>
      </c>
      <c r="CO12">
        <f>AF12*(c_Stroke1+c_Stroke2+c_PT_2)</f>
        <v>51.400943195355275</v>
      </c>
      <c r="CP12">
        <f>AG12*(c_Stroke2 + c_PT_2)</f>
        <v>50.985575470414915</v>
      </c>
      <c r="CQ12">
        <f>AH12*(c_MI1+c_MI2 + c_PT_2)</f>
        <v>43.127315797834612</v>
      </c>
      <c r="CR12">
        <f>AI12*(c_MI2+c_PT_2)</f>
        <v>25.344674726428337</v>
      </c>
      <c r="CS12">
        <f>AJ12*(c_Stroke1+c_Stroke2+c_MI2+c_PT_2)</f>
        <v>0.55306508299280011</v>
      </c>
      <c r="CT12">
        <f>AK12*(c_Stroke2+c_MI1+c_MI2+c_PT_2)</f>
        <v>0.61726468187311156</v>
      </c>
      <c r="CU12">
        <f>AL12*(c_Stroke2+c_MI2+c_PT_2)</f>
        <v>0.56205177845414034</v>
      </c>
      <c r="CV12">
        <f>AM12*(c_HF1+c_PT_2)</f>
        <v>6.9526622651780299</v>
      </c>
      <c r="CW12">
        <f>AN12*(c_HF2+c_PT_2)</f>
        <v>20.225604907503403</v>
      </c>
      <c r="CX12">
        <f>AO12*(c_Stroke2+c_HF1+c_PT_2)</f>
        <v>9.808375241582569E-2</v>
      </c>
      <c r="CY12">
        <f>AP12*(c_Stroke1+c_Stroke2+c_HF2+c_PT_2)</f>
        <v>0.1526515313566649</v>
      </c>
      <c r="CZ12">
        <f>AQ12*(c_Stroke2+c_HF2+c_PT_2)</f>
        <v>0.24460135371775787</v>
      </c>
      <c r="DA12">
        <f>AR12*(c_DM+c_PT_2)</f>
        <v>3395.3250129321409</v>
      </c>
      <c r="DB12">
        <f>AS12*(c_Other+c_DM+c_PT_2)</f>
        <v>416.81167496892766</v>
      </c>
      <c r="DC12">
        <f>AT12*(c_Stroke1+c_Stroke2+c_DM+c_PT_2)</f>
        <v>57.554140742155553</v>
      </c>
      <c r="DD12">
        <f>AU12*(c_Stroke2+c_DM+c_PT_2)</f>
        <v>82.784789636206185</v>
      </c>
      <c r="DE12">
        <f>AV12*(c_MI1+c_MI2+c_DM+c_PT_2)</f>
        <v>47.117683348562089</v>
      </c>
      <c r="DF12">
        <f>AW12*(c_MI2+c_DM+c_PT_2)</f>
        <v>59.448139533442792</v>
      </c>
      <c r="DG12">
        <f>AX12*(c_Stroke1+c_Stroke2+c_MI2+c_DM+c_PT_2)</f>
        <v>0.88827614143752187</v>
      </c>
      <c r="DH12">
        <f>AY12*(c_Stroke2+c_MI1+c_MI2+c_DM+c_PT_2)</f>
        <v>0.94562973697798403</v>
      </c>
      <c r="DI12">
        <f>AZ12*(c_Stroke2+c_MI2+c_DM+c_PT_2)</f>
        <v>1.1328892479387329</v>
      </c>
      <c r="DJ12">
        <f>BA12*(c_HF1+c_DM+c_PT_2)</f>
        <v>7.3919510036484164</v>
      </c>
      <c r="DK12">
        <f>BB12*(c_HF2+c_DM+c_PT_2)</f>
        <v>21.659915648054017</v>
      </c>
      <c r="DL12">
        <f>BC12*(c_Stroke2+c_HF1+c_DM+c_PT_2)</f>
        <v>0.14600523446620314</v>
      </c>
      <c r="DM12">
        <f>BD12*(c_Stroke1+c_Stroke2+c_HF2+c_DM+c_PT_2)</f>
        <v>0.21428826071417298</v>
      </c>
      <c r="DN12">
        <f>BE12*(c_Stroke2+c_HF2+c_DM+c_PT_2)</f>
        <v>0.34530028915734962</v>
      </c>
      <c r="DO12">
        <f t="shared" si="5"/>
        <v>0</v>
      </c>
      <c r="DP12">
        <f t="shared" si="38"/>
        <v>5496.5110169248674</v>
      </c>
      <c r="DQ12">
        <f>DP12/(1+r_)^A12</f>
        <v>4212.6180128823025</v>
      </c>
    </row>
    <row r="13" spans="1:121" x14ac:dyDescent="0.3">
      <c r="A13">
        <v>10</v>
      </c>
      <c r="B13">
        <v>55</v>
      </c>
      <c r="C13">
        <f t="shared" si="39"/>
        <v>34.542000000000002</v>
      </c>
      <c r="D13">
        <f t="shared" si="1"/>
        <v>125</v>
      </c>
      <c r="E13">
        <f t="shared" si="40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0"/>
        <v>4.0096398347168494E-2</v>
      </c>
      <c r="J13">
        <f t="shared" si="21"/>
        <v>0.1302441687811231</v>
      </c>
      <c r="K13">
        <f t="shared" si="22"/>
        <v>0.17751779702902504</v>
      </c>
      <c r="L13">
        <f t="shared" si="23"/>
        <v>6.3924723014009865E-2</v>
      </c>
      <c r="M13">
        <f t="shared" si="24"/>
        <v>8.8365006116539191E-2</v>
      </c>
      <c r="N13">
        <f t="shared" si="25"/>
        <v>0.27813014612793374</v>
      </c>
      <c r="O13">
        <f t="shared" si="26"/>
        <v>0.36903684193021269</v>
      </c>
      <c r="P13">
        <f t="shared" si="27"/>
        <v>0.14812212362506361</v>
      </c>
      <c r="Q13">
        <f t="shared" si="28"/>
        <v>0.20269598311611048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1.0421145616247433E-2</v>
      </c>
      <c r="U13">
        <f t="shared" si="29"/>
        <v>0.26190893492605849</v>
      </c>
      <c r="V13">
        <f t="shared" si="30"/>
        <v>0.3464345011888782</v>
      </c>
      <c r="W13">
        <f t="shared" si="31"/>
        <v>0.133909247045507</v>
      </c>
      <c r="X13">
        <f t="shared" si="32"/>
        <v>0.18236762044386556</v>
      </c>
      <c r="Y13">
        <f t="shared" si="33"/>
        <v>0.42569023099278525</v>
      </c>
      <c r="Z13">
        <f t="shared" si="34"/>
        <v>0.54325242104299898</v>
      </c>
      <c r="AA13">
        <f t="shared" si="35"/>
        <v>0.23875157584328655</v>
      </c>
      <c r="AB13">
        <f t="shared" si="36"/>
        <v>0.31986030079127648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1.952911130674502E-2</v>
      </c>
      <c r="AD13">
        <f t="shared" si="37"/>
        <v>0.54849622225865724</v>
      </c>
      <c r="AE13">
        <f t="shared" si="6"/>
        <v>2.437316971233431E-2</v>
      </c>
      <c r="AF13">
        <f t="shared" si="7"/>
        <v>2.1089042285690396E-3</v>
      </c>
      <c r="AG13">
        <f t="shared" si="8"/>
        <v>6.9830524755188136E-3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1.3268521840949575E-3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5.8949087177037488E-3</v>
      </c>
      <c r="AJ13">
        <f t="shared" si="11"/>
        <v>2.3196326692669037E-5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1.8018916065735386E-5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6.2566560000910983E-5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4.9606006770607143E-4</v>
      </c>
      <c r="AN13">
        <f t="shared" si="15"/>
        <v>1.3562277228456627E-3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6.5157085371541745E-6</v>
      </c>
      <c r="AP13">
        <f>AM12*T12*p_Stroke*p_Stroke_rec*(1-I12) + AN12*T12*p_Stroke*p_Stroke_rec*(1-I12) + AO12*(p_recur_Stroke*p_Stroke_rec)*(1-I12) + AP12*(p_recur_Stroke*p_Stroke_rec)*(1-I12) + AQ12*(p_recur_Stroke*p_Stroke_rec)*(1-I12)</f>
        <v>4.6738946223138473E-6</v>
      </c>
      <c r="AQ13">
        <f>AO12*(1-p_recur_Stroke-H12*rr_Stroke*rr_HF)*(1-I12) + AP12*(1-p_recur_Stroke-H12*rr_Stroke*rr_HF)*(1-I12) + AQ12*(1-p_recur_Stroke-H12*rr_Stroke*rr_HF)*(1-I12)</f>
        <v>1.3835273235626237E-5</v>
      </c>
      <c r="AR13">
        <f>AR12*(1-AC12-H12*rr_DM) + AD12*(1-T12-H12)*I12</f>
        <v>0.27992022986875559</v>
      </c>
      <c r="AS13">
        <f>AR12*AC12*p_Other + AD12*T12*p_Other*I12 + AE12*(1-T12*p_Stroke-T12*p_MI-H12*rr_Other)*I12 + AS12*(1-AC12*p_Stroke-AC12*p_MI-H12*rr_Other*rr_DM)</f>
        <v>1.8771400433776411E-2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1.8337055603253533E-3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5.3019098647489032E-3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1.190581563982389E-3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4.5090409399103958E-3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3.0237765644907526E-5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2.4014073976543028E-5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7.1436592373168664E-5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4.1830928535025282E-4</v>
      </c>
      <c r="BB13">
        <f>AM12*(1-T12*p_Stroke - H12*rr_HF)*I12 + AN12*(1-T12*p_Stroke - H12*rr_HF)*I12 + BA12*(1-AC12*p_Stroke - H12*rr_HF*rr_DM) + BB12*(1-AC12*p_Stroke - H12*rr_HF*rr_DM)</f>
        <v>9.8821694995109206E-4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8.2040508063172863E-6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5.8183331751184173E-6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1.5085642225808299E-5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3.7747605028413463E-2</v>
      </c>
      <c r="BG13">
        <f t="shared" si="17"/>
        <v>0.94200000000000028</v>
      </c>
      <c r="BH13">
        <f>(0.9442 - 0.0007*$B13 - dis_BMI*($C13-21.75))*AD13</f>
        <v>0.47361902837172787</v>
      </c>
      <c r="BI13">
        <f>0.959*(0.9442 - 0.0007*$B13 - dis_BMI*($C13-21.75))*AE13</f>
        <v>2.0183018648061393E-2</v>
      </c>
      <c r="BJ13">
        <f>(0.943*(0.9442 - 0.0007*$B13 - dis_BMI*($C13-21.75)) - 0.19*0.5)*AF13</f>
        <v>1.5168666417023028E-3</v>
      </c>
      <c r="BK13">
        <f>(0.943*(0.9442 - 0.0007*$B13 - dis_BMI*($C13-21.75)))*AG13</f>
        <v>5.6860739050403099E-3</v>
      </c>
      <c r="BL13">
        <f>(0.955*(0.9442 - 0.0007*$B13 - dis_BMI*($C13-21.75)) - 0.15*0.5)*AH13</f>
        <v>9.9464755525923722E-4</v>
      </c>
      <c r="BM13">
        <f>(0.955*(0.9442 - 0.0007*$B13 - dis_BMI*($C13-21.75)))*AI13</f>
        <v>4.8611156991645883E-3</v>
      </c>
      <c r="BN13">
        <f>(0.955*0.943*(0.9442 - 0.0007*$B13 - dis_BMI*($C13-21.75)) - 0.19*0.5)*AJ13</f>
        <v>1.5834407118000896E-5</v>
      </c>
      <c r="BO13">
        <f>(0.955*0.943*(0.9442 - 0.0007*$B13 - dis_BMI*($C13-21.75)) - 0.15*0.5)*AK13</f>
        <v>1.2660552249288968E-5</v>
      </c>
      <c r="BP13">
        <f>(0.955*0.943*(0.9442 - 0.0007*$B13 - dis_BMI*($C13-21.75)))*AL13</f>
        <v>4.8653360626128958E-5</v>
      </c>
      <c r="BQ13">
        <f>(0.93*(0.9442 - 0.0007*$B13 - dis_BMI*($C13-21.75)))*AM13</f>
        <v>3.9835724350396293E-4</v>
      </c>
      <c r="BR13">
        <f>(0.93*(0.9442 - 0.0007*$B13 - dis_BMI*($C13-21.75)))*AN13</f>
        <v>1.0891083004015854E-3</v>
      </c>
      <c r="BS13">
        <f>(0.93*0.943*(0.9442 - 0.0007*$B13 - dis_BMI*($C13-21.75)))*AO13</f>
        <v>4.9341436838312706E-6</v>
      </c>
      <c r="BT13">
        <f>(0.93*0.943*(0.9442 - 0.0007*$B13 - dis_BMI*($C13-21.75))-0.19*0.5)*AP13</f>
        <v>3.0953752275445745E-6</v>
      </c>
      <c r="BU13">
        <f>(0.93*0.943*(0.9442 - 0.0007*$B13 - dis_BMI*($C13-21.75)))*AQ13</f>
        <v>1.0477022669197048E-5</v>
      </c>
      <c r="BV13">
        <f>0.962*(0.9442 - 0.0007*$B13 - dis_BMI*($C13-21.75))*AR13</f>
        <v>0.23252243373663556</v>
      </c>
      <c r="BW13">
        <f>0.962*0.959*(0.9442 - 0.0007*$B13 - dis_BMI*($C13-21.75))*AS13</f>
        <v>1.4953603300538272E-2</v>
      </c>
      <c r="BX13">
        <f>0.962*(0.943*(0.9442 - 0.0007*$B13 - dis_BMI*($C13-21.75)) - 0.19*0.5)*AT13</f>
        <v>1.2688059802322222E-3</v>
      </c>
      <c r="BY13">
        <f>0.962*(0.943*(0.9442 - 0.0007*$B13 - dis_BMI*($C13-21.75)))*AU13</f>
        <v>4.153121214540853E-3</v>
      </c>
      <c r="BZ13">
        <f>0.962*(0.955*(0.9442 - 0.0007*$B13 - dis_BMI*($C13-21.75)) - 0.15*0.5)*AV13</f>
        <v>8.585802638857511E-4</v>
      </c>
      <c r="CA13">
        <f>0.962*(0.955*(0.9442 - 0.0007*$B13 - dis_BMI*($C13-21.75)))*AW13</f>
        <v>3.5769932771314104E-3</v>
      </c>
      <c r="CB13">
        <f>0.962*(0.955*0.943*(0.9442 - 0.0007*$B13 - dis_BMI*($C13-21.75)) - 0.19*0.5)*AX13</f>
        <v>1.9856713012515432E-5</v>
      </c>
      <c r="CC13">
        <f>0.962*(0.955*0.943*(0.9442 - 0.0007*$B13 - dis_BMI*($C13-21.75)) - 0.15*0.5)*AY13</f>
        <v>1.6231733505832331E-5</v>
      </c>
      <c r="CD13">
        <f>0.962*(0.955*0.943*(0.9442 - 0.0007*$B13 - dis_BMI*($C13-21.75)))*AZ13</f>
        <v>5.3439989980922564E-5</v>
      </c>
      <c r="CE13">
        <f>0.962*(0.93*(0.9442 - 0.0007*$B13 - dis_BMI*($C13-21.75)))*BA13</f>
        <v>3.2315510962100416E-4</v>
      </c>
      <c r="CF13">
        <f>0.962*(0.93*(0.9442 - 0.0007*$B13 - dis_BMI*($C13-21.75)))*BB13</f>
        <v>7.634240213515417E-4</v>
      </c>
      <c r="CG13">
        <f>0.962*(0.93*0.943*(0.9442 - 0.0007*$B13 - dis_BMI*($C13-21.75)))*BC13</f>
        <v>5.9765912729197069E-6</v>
      </c>
      <c r="CH13">
        <f>0.962*(0.93*0.943*(0.9442 - 0.0007*$B13 - dis_BMI*($C13-21.75))-0.19*0.5)*BD13</f>
        <v>3.7068758818106178E-6</v>
      </c>
      <c r="CI13">
        <f>0.962*(0.93*0.943*(0.9442 - 0.0007*$B13 - dis_BMI*($C13-21.75)))*BE13</f>
        <v>1.0989780512296355E-5</v>
      </c>
      <c r="CJ13">
        <f t="shared" si="18"/>
        <v>0</v>
      </c>
      <c r="CK13">
        <f t="shared" si="19"/>
        <v>0.76697418981453824</v>
      </c>
      <c r="CL13">
        <f>CK13/(1+r_)^A13</f>
        <v>0.57070082752384377</v>
      </c>
      <c r="CM13">
        <f>AD13*c_PT_2</f>
        <v>803.54696560893285</v>
      </c>
      <c r="CN13">
        <f>AE13*(c_Other+c_PT_2)</f>
        <v>383.73118395099135</v>
      </c>
      <c r="CO13">
        <f>AF13*(c_Stroke1+c_Stroke2+c_PT_2)</f>
        <v>53.315207802453891</v>
      </c>
      <c r="CP13">
        <f>AG13*(c_Stroke2 + c_PT_2)</f>
        <v>55.62001296750735</v>
      </c>
      <c r="CQ13">
        <f>AH13*(c_MI1+c_MI2 + c_PT_2)</f>
        <v>40.622906468251216</v>
      </c>
      <c r="CR13">
        <f>AI13*(c_MI2+c_PT_2)</f>
        <v>27.010471744518576</v>
      </c>
      <c r="CS13">
        <f>AJ13*(c_Stroke1+c_Stroke2+c_MI2+c_PT_2)</f>
        <v>0.65872928541841536</v>
      </c>
      <c r="CT13">
        <f>AK13*(c_Stroke2+c_MI1+c_MI2+c_PT_2)</f>
        <v>0.66879008869583456</v>
      </c>
      <c r="CU13">
        <f>AL13*(c_Stroke2+c_MI2+c_PT_2)</f>
        <v>0.69336261793009546</v>
      </c>
      <c r="CV13">
        <f>AM13*(c_HF1+c_PT_2)</f>
        <v>14.135231629284505</v>
      </c>
      <c r="CW13">
        <f>AN13*(c_HF2+c_PT_2)</f>
        <v>23.150807228975463</v>
      </c>
      <c r="CX13">
        <f>AO13*(c_Stroke2+c_HF1+c_PT_2)</f>
        <v>0.22801722025771035</v>
      </c>
      <c r="CY13">
        <f>AP13*(c_Stroke1+c_Stroke2+c_HF2+c_PT_2)</f>
        <v>0.19109685552792396</v>
      </c>
      <c r="CZ13">
        <f>AQ13*(c_Stroke2+c_HF2+c_PT_2)</f>
        <v>0.32609739016371042</v>
      </c>
      <c r="DA13">
        <f>AR13*(c_DM+c_PT_2)</f>
        <v>3608.1717630082594</v>
      </c>
      <c r="DB13">
        <f>AS13*(c_Other+c_DM+c_PT_2)</f>
        <v>510.00017838527134</v>
      </c>
      <c r="DC13">
        <f>AT13*(c_Stroke1+c_Stroke2+c_DM+c_PT_2)</f>
        <v>67.307996297302424</v>
      </c>
      <c r="DD13">
        <f>AU13*(c_Stroke2+c_DM+c_PT_2)</f>
        <v>102.80403227748123</v>
      </c>
      <c r="DE13">
        <f>AV13*(c_MI1+c_MI2+c_DM+c_PT_2)</f>
        <v>50.053239531383618</v>
      </c>
      <c r="DF13">
        <f>AW13*(c_MI2+c_DM+c_PT_2)</f>
        <v>72.176218325145712</v>
      </c>
      <c r="DG13">
        <f>AX13*(c_Stroke1+c_Stroke2+c_MI2+c_DM+c_PT_2)</f>
        <v>1.2041585412771525</v>
      </c>
      <c r="DH13">
        <f>AY13*(c_Stroke2+c_MI1+c_MI2+c_DM+c_PT_2)</f>
        <v>1.1656671648953751</v>
      </c>
      <c r="DI13">
        <f>AZ13*(c_Stroke2+c_MI2+c_DM+c_PT_2)</f>
        <v>1.6078233845429071</v>
      </c>
      <c r="DJ13">
        <f>BA13*(c_HF1+c_DM+c_PT_2)</f>
        <v>16.698906671182094</v>
      </c>
      <c r="DK13">
        <f>BB13*(c_HF2+c_DM+c_PT_2)</f>
        <v>28.159241988856369</v>
      </c>
      <c r="DL13">
        <f>BC13*(c_Stroke2+c_HF1+c_DM+c_PT_2)</f>
        <v>0.38083203842924845</v>
      </c>
      <c r="DM13">
        <f>BD13*(c_Stroke1+c_Stroke2+c_HF2+c_DM+c_PT_2)</f>
        <v>0.30436282672361953</v>
      </c>
      <c r="DN13">
        <f>BE13*(c_Stroke2+c_HF2+c_DM+c_PT_2)</f>
        <v>0.52792204969216139</v>
      </c>
      <c r="DO13">
        <f t="shared" si="5"/>
        <v>0</v>
      </c>
      <c r="DP13">
        <f t="shared" si="38"/>
        <v>5864.4612233493526</v>
      </c>
      <c r="DQ13">
        <f>DP13/(1+r_)^A13</f>
        <v>4363.7099104420577</v>
      </c>
    </row>
    <row r="14" spans="1:121" x14ac:dyDescent="0.3">
      <c r="A14">
        <v>11</v>
      </c>
      <c r="B14">
        <v>56</v>
      </c>
      <c r="C14">
        <f t="shared" si="39"/>
        <v>34.542000000000002</v>
      </c>
      <c r="D14">
        <f t="shared" si="1"/>
        <v>125</v>
      </c>
      <c r="E14">
        <f t="shared" si="40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20"/>
        <v>4.0096398347168494E-2</v>
      </c>
      <c r="J14">
        <f t="shared" si="21"/>
        <v>0.1363217600451031</v>
      </c>
      <c r="K14">
        <f t="shared" si="22"/>
        <v>0.1855555031794387</v>
      </c>
      <c r="L14">
        <f t="shared" si="23"/>
        <v>6.7026947821842708E-2</v>
      </c>
      <c r="M14">
        <f t="shared" si="24"/>
        <v>9.2593399883222349E-2</v>
      </c>
      <c r="N14">
        <f t="shared" si="25"/>
        <v>0.29157683704903226</v>
      </c>
      <c r="O14">
        <f t="shared" si="26"/>
        <v>0.38558003681105291</v>
      </c>
      <c r="P14">
        <f t="shared" si="27"/>
        <v>0.15596493415726953</v>
      </c>
      <c r="Q14">
        <f t="shared" si="28"/>
        <v>0.21304810027202226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1.0926550318634733E-2</v>
      </c>
      <c r="U14">
        <f t="shared" si="29"/>
        <v>0.27308725865360151</v>
      </c>
      <c r="V14">
        <f t="shared" si="30"/>
        <v>0.36025466481881485</v>
      </c>
      <c r="W14">
        <f t="shared" si="31"/>
        <v>0.14014371115144797</v>
      </c>
      <c r="X14">
        <f t="shared" si="32"/>
        <v>0.19059851205434952</v>
      </c>
      <c r="Y14">
        <f t="shared" si="33"/>
        <v>0.44377533010729397</v>
      </c>
      <c r="Z14">
        <f t="shared" si="34"/>
        <v>0.56344253284092605</v>
      </c>
      <c r="AA14">
        <f t="shared" si="35"/>
        <v>0.25063893692210748</v>
      </c>
      <c r="AB14">
        <f t="shared" si="36"/>
        <v>0.33481883189144779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2.0405369496436988E-2</v>
      </c>
      <c r="AD14">
        <f t="shared" si="37"/>
        <v>0.5182178370040682</v>
      </c>
      <c r="AE14">
        <f t="shared" si="6"/>
        <v>2.6067593401801686E-2</v>
      </c>
      <c r="AF14">
        <f t="shared" si="7"/>
        <v>2.1760962553468025E-3</v>
      </c>
      <c r="AG14">
        <f t="shared" si="8"/>
        <v>7.5148889121946184E-3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1.3400295681320904E-3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6.128779714616955E-3</v>
      </c>
      <c r="AJ14">
        <f t="shared" si="11"/>
        <v>2.6284387658797157E-5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2.0685514733532073E-5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7.4576947423289397E-5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5.0731972990237357E-4</v>
      </c>
      <c r="AN14">
        <f t="shared" si="15"/>
        <v>1.7565535208668367E-3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7.6022363510856715E-6</v>
      </c>
      <c r="AP14">
        <f>AM13*T13*p_Stroke*p_Stroke_rec*(1-I13) + AN13*T13*p_Stroke*p_Stroke_rec*(1-I13) + AO13*(p_recur_Stroke*p_Stroke_rec)*(1-I13) + AP13*(p_recur_Stroke*p_Stroke_rec)*(1-I13) + AQ13*(p_recur_Stroke*p_Stroke_rec)*(1-I13)</f>
        <v>6.572702678739843E-6</v>
      </c>
      <c r="AQ14">
        <f>AO13*(1-p_recur_Stroke-H13*rr_Stroke*rr_HF)*(1-I13) + AP13*(1-p_recur_Stroke-H13*rr_Stroke*rr_HF)*(1-I13) + AQ13*(1-p_recur_Stroke-H13*rr_Stroke*rr_HF)*(1-I13)</f>
        <v>2.0411447542364149E-5</v>
      </c>
      <c r="AR14">
        <f>AR13*(1-AC13-H13*rr_DM) + AD13*(1-T13-H13)*I13</f>
        <v>0.29438899254430229</v>
      </c>
      <c r="AS14">
        <f>AR13*AC13*p_Other + AD13*T13*p_Other*I13 + AE13*(1-T13*p_Stroke-T13*p_MI-H13*rr_Other)*I13 + AS13*(1-AC13*p_Stroke-AC13*p_MI-H13*rr_Other*rr_DM)</f>
        <v>2.248390000697327E-2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2.1129715915808654E-3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6.4260509960408531E-3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1.34407565015261E-3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5.2759445247518143E-3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3.8526827084981243E-5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3.1050161769972569E-5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9.6711175659122315E-5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4.7896950627432578E-4</v>
      </c>
      <c r="BB14">
        <f>AM13*(1-T13*p_Stroke - H13*rr_HF)*I13 + AN13*(1-T13*p_Stroke - H13*rr_HF)*I13 + BA13*(1-AC13*p_Stroke - H13*rr_HF*rr_DM) + BB13*(1-AC13*p_Stroke - H13*rr_HF*rr_DM)</f>
        <v>1.4579324730274504E-3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1.0801117790398546E-5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9.300348958322759E-6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2.5453970957054035E-5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4.3954087761359249E-2</v>
      </c>
      <c r="BG14">
        <f t="shared" si="17"/>
        <v>0.94200000000000006</v>
      </c>
      <c r="BH14">
        <f>(0.9442 - 0.0007*$B14 - dis_BMI*($C14-21.75))*AD14</f>
        <v>0.44711130200452681</v>
      </c>
      <c r="BI14">
        <f>0.959*(0.9442 - 0.0007*$B14 - dis_BMI*($C14-21.75))*AE14</f>
        <v>2.1568643700024256E-2</v>
      </c>
      <c r="BJ14">
        <f>(0.943*(0.9442 - 0.0007*$B14 - dis_BMI*($C14-21.75)) - 0.19*0.5)*AF14</f>
        <v>1.5637592534565659E-3</v>
      </c>
      <c r="BK14">
        <f>(0.943*(0.9442 - 0.0007*$B14 - dis_BMI*($C14-21.75)))*AG14</f>
        <v>6.1141705457480296E-3</v>
      </c>
      <c r="BL14">
        <f>(0.955*(0.9442 - 0.0007*$B14 - dis_BMI*($C14-21.75)) - 0.15*0.5)*AH14</f>
        <v>1.0036299014581334E-3</v>
      </c>
      <c r="BM14">
        <f>(0.955*(0.9442 - 0.0007*$B14 - dis_BMI*($C14-21.75)))*AI14</f>
        <v>5.0498755359808575E-3</v>
      </c>
      <c r="BN14">
        <f>(0.955*0.943*(0.9442 - 0.0007*$B14 - dis_BMI*($C14-21.75)) - 0.19*0.5)*AJ14</f>
        <v>1.7925827120213949E-5</v>
      </c>
      <c r="BO14">
        <f>(0.955*0.943*(0.9442 - 0.0007*$B14 - dis_BMI*($C14-21.75)) - 0.15*0.5)*AK14</f>
        <v>1.452113276231292E-5</v>
      </c>
      <c r="BP14">
        <f>(0.955*0.943*(0.9442 - 0.0007*$B14 - dis_BMI*($C14-21.75)))*AL14</f>
        <v>5.7945932737730763E-5</v>
      </c>
      <c r="BQ14">
        <f>(0.93*(0.9442 - 0.0007*$B14 - dis_BMI*($C14-21.75)))*AM14</f>
        <v>4.0706896397264039E-4</v>
      </c>
      <c r="BR14">
        <f>(0.93*(0.9442 - 0.0007*$B14 - dis_BMI*($C14-21.75)))*AN14</f>
        <v>1.4094433544687016E-3</v>
      </c>
      <c r="BS14">
        <f>(0.93*0.943*(0.9442 - 0.0007*$B14 - dis_BMI*($C14-21.75)))*AO14</f>
        <v>5.7522704878448224E-6</v>
      </c>
      <c r="BT14">
        <f>(0.93*0.943*(0.9442 - 0.0007*$B14 - dis_BMI*($C14-21.75))-0.19*0.5)*AP14</f>
        <v>4.3488618862525793E-6</v>
      </c>
      <c r="BU14">
        <f>(0.93*0.943*(0.9442 - 0.0007*$B14 - dis_BMI*($C14-21.75)))*AQ14</f>
        <v>1.5444424757376353E-5</v>
      </c>
      <c r="BV14">
        <f>0.962*(0.9442 - 0.0007*$B14 - dis_BMI*($C14-21.75))*AR14</f>
        <v>0.24434301595200228</v>
      </c>
      <c r="BW14">
        <f>0.962*0.959*(0.9442 - 0.0007*$B14 - dis_BMI*($C14-21.75))*AS14</f>
        <v>1.7896521031823175E-2</v>
      </c>
      <c r="BX14">
        <f>0.962*(0.943*(0.9442 - 0.0007*$B14 - dis_BMI*($C14-21.75)) - 0.19*0.5)*AT14</f>
        <v>1.4606982910004989E-3</v>
      </c>
      <c r="BY14">
        <f>0.962*(0.943*(0.9442 - 0.0007*$B14 - dis_BMI*($C14-21.75)))*AU14</f>
        <v>5.0296089857783301E-3</v>
      </c>
      <c r="BZ14">
        <f>0.962*(0.955*(0.9442 - 0.0007*$B14 - dis_BMI*($C14-21.75)) - 0.15*0.5)*AV14</f>
        <v>9.6840716929542828E-4</v>
      </c>
      <c r="CA14">
        <f>0.962*(0.955*(0.9442 - 0.0007*$B14 - dis_BMI*($C14-21.75)))*AW14</f>
        <v>4.1819800314552898E-3</v>
      </c>
      <c r="CB14">
        <f>0.962*(0.955*0.943*(0.9442 - 0.0007*$B14 - dis_BMI*($C14-21.75)) - 0.19*0.5)*AX14</f>
        <v>2.5276658191593394E-5</v>
      </c>
      <c r="CC14">
        <f>0.962*(0.955*0.943*(0.9442 - 0.0007*$B14 - dis_BMI*($C14-21.75)) - 0.15*0.5)*AY14</f>
        <v>2.096877709494566E-5</v>
      </c>
      <c r="CD14">
        <f>0.962*(0.955*0.943*(0.9442 - 0.0007*$B14 - dis_BMI*($C14-21.75)))*AZ14</f>
        <v>7.2288645933730626E-5</v>
      </c>
      <c r="CE14">
        <f>0.962*(0.93*(0.9442 - 0.0007*$B14 - dis_BMI*($C14-21.75)))*BA14</f>
        <v>3.6971679209739209E-4</v>
      </c>
      <c r="CF14">
        <f>0.962*(0.93*(0.9442 - 0.0007*$B14 - dis_BMI*($C14-21.75)))*BB14</f>
        <v>1.1253787766472259E-3</v>
      </c>
      <c r="CG14">
        <f>0.962*(0.93*0.943*(0.9442 - 0.0007*$B14 - dis_BMI*($C14-21.75)))*BC14</f>
        <v>7.8621568969050261E-6</v>
      </c>
      <c r="CH14">
        <f>0.962*(0.93*0.943*(0.9442 - 0.0007*$B14 - dis_BMI*($C14-21.75))-0.19*0.5)*BD14</f>
        <v>5.9197851412378255E-6</v>
      </c>
      <c r="CI14">
        <f>0.962*(0.93*0.943*(0.9442 - 0.0007*$B14 - dis_BMI*($C14-21.75)))*BE14</f>
        <v>1.8528000267853606E-5</v>
      </c>
      <c r="CJ14">
        <f t="shared" si="18"/>
        <v>0</v>
      </c>
      <c r="CK14">
        <f t="shared" si="19"/>
        <v>0.75987000276301353</v>
      </c>
      <c r="CL14">
        <f>CK14/(1+r_)^A14</f>
        <v>0.54894625744516123</v>
      </c>
      <c r="CM14">
        <f>AD14*c_PT_2</f>
        <v>759.18913121095989</v>
      </c>
      <c r="CN14">
        <f>AE14*(c_Other+c_PT_2)</f>
        <v>410.40819051796575</v>
      </c>
      <c r="CO14">
        <f>AF14*(c_Stroke1+c_Stroke2+c_PT_2)</f>
        <v>55.013889431422513</v>
      </c>
      <c r="CP14">
        <f>AG14*(c_Stroke2 + c_PT_2)</f>
        <v>59.856090185630137</v>
      </c>
      <c r="CQ14">
        <f>AH14*(c_MI1+c_MI2 + c_PT_2)</f>
        <v>41.026345257932078</v>
      </c>
      <c r="CR14">
        <f>AI14*(c_MI2+c_PT_2)</f>
        <v>28.082068652374886</v>
      </c>
      <c r="CS14">
        <f>AJ14*(c_Stroke1+c_Stroke2+c_MI2+c_PT_2)</f>
        <v>0.74642404073452162</v>
      </c>
      <c r="CT14">
        <f>AK14*(c_Stroke2+c_MI1+c_MI2+c_PT_2)</f>
        <v>0.76776356484977637</v>
      </c>
      <c r="CU14">
        <f>AL14*(c_Stroke2+c_MI2+c_PT_2)</f>
        <v>0.82646173134489309</v>
      </c>
      <c r="CV14">
        <f>AM14*(c_HF1+c_PT_2)</f>
        <v>14.456075703568136</v>
      </c>
      <c r="CW14">
        <f>AN14*(c_HF2+c_PT_2)</f>
        <v>29.984368601196902</v>
      </c>
      <c r="CX14">
        <f>AO14*(c_Stroke2+c_HF1+c_PT_2)</f>
        <v>0.26604026110624307</v>
      </c>
      <c r="CY14">
        <f>AP14*(c_Stroke1+c_Stroke2+c_HF2+c_PT_2)</f>
        <v>0.26873152172295722</v>
      </c>
      <c r="CZ14">
        <f>AQ14*(c_Stroke2+c_HF2+c_PT_2)</f>
        <v>0.48109781857352296</v>
      </c>
      <c r="DA14">
        <f>AR14*(c_DM+c_PT_2)</f>
        <v>3794.6741138960565</v>
      </c>
      <c r="DB14">
        <f>AS14*(c_Other+c_DM+c_PT_2)</f>
        <v>610.86507928945673</v>
      </c>
      <c r="DC14">
        <f>AT14*(c_Stroke1+c_Stroke2+c_DM+c_PT_2)</f>
        <v>77.558735240567245</v>
      </c>
      <c r="DD14">
        <f>AU14*(c_Stroke2+c_DM+c_PT_2)</f>
        <v>124.60112881323214</v>
      </c>
      <c r="DE14">
        <f>AV14*(c_MI1+c_MI2+c_DM+c_PT_2)</f>
        <v>56.506284408065881</v>
      </c>
      <c r="DF14">
        <f>AW14*(c_MI2+c_DM+c_PT_2)</f>
        <v>84.452044007702298</v>
      </c>
      <c r="DG14">
        <f>AX14*(c_Stroke1+c_Stroke2+c_MI2+c_DM+c_PT_2)</f>
        <v>1.534253835005208</v>
      </c>
      <c r="DH14">
        <f>AY14*(c_Stroke2+c_MI1+c_MI2+c_DM+c_PT_2)</f>
        <v>1.5072059024762385</v>
      </c>
      <c r="DI14">
        <f>AZ14*(c_Stroke2+c_MI2+c_DM+c_PT_2)</f>
        <v>2.1766784305598659</v>
      </c>
      <c r="DJ14">
        <f>BA14*(c_HF1+c_DM+c_PT_2)</f>
        <v>19.120462690471086</v>
      </c>
      <c r="DK14">
        <f>BB14*(c_HF2+c_DM+c_PT_2)</f>
        <v>41.5437858189172</v>
      </c>
      <c r="DL14">
        <f>BC14*(c_Stroke2+c_HF1+c_DM+c_PT_2)</f>
        <v>0.50138788783030053</v>
      </c>
      <c r="DM14">
        <f>BD14*(c_Stroke1+c_Stroke2+c_HF2+c_DM+c_PT_2)</f>
        <v>0.48651055435882185</v>
      </c>
      <c r="DN14">
        <f>BE14*(c_Stroke2+c_HF2+c_DM+c_PT_2)</f>
        <v>0.89076171364210599</v>
      </c>
      <c r="DO14">
        <f t="shared" si="5"/>
        <v>0</v>
      </c>
      <c r="DP14">
        <f t="shared" si="38"/>
        <v>6217.7911109877223</v>
      </c>
      <c r="DQ14">
        <f>DP14/(1+r_)^A14</f>
        <v>4491.864592024187</v>
      </c>
    </row>
    <row r="15" spans="1:121" x14ac:dyDescent="0.3">
      <c r="A15">
        <v>12</v>
      </c>
      <c r="B15">
        <v>57</v>
      </c>
      <c r="C15">
        <f t="shared" si="39"/>
        <v>34.542000000000002</v>
      </c>
      <c r="D15">
        <f t="shared" si="1"/>
        <v>125</v>
      </c>
      <c r="E15">
        <f t="shared" si="40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0"/>
        <v>4.0096398347168494E-2</v>
      </c>
      <c r="J15">
        <f t="shared" si="21"/>
        <v>0.14254456361104018</v>
      </c>
      <c r="K15">
        <f t="shared" si="22"/>
        <v>0.19376181667628956</v>
      </c>
      <c r="L15">
        <f t="shared" si="23"/>
        <v>7.0215228504318272E-2</v>
      </c>
      <c r="M15">
        <f t="shared" si="24"/>
        <v>9.6933225996490679E-2</v>
      </c>
      <c r="N15">
        <f t="shared" si="25"/>
        <v>0.30527554406135715</v>
      </c>
      <c r="O15">
        <f t="shared" si="26"/>
        <v>0.40230043699732765</v>
      </c>
      <c r="P15">
        <f t="shared" si="27"/>
        <v>0.16403290978327534</v>
      </c>
      <c r="Q15">
        <f t="shared" si="28"/>
        <v>0.22365604733754541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1.1444486128517036E-2</v>
      </c>
      <c r="U15">
        <f t="shared" si="29"/>
        <v>0.28443719164930914</v>
      </c>
      <c r="V15">
        <f t="shared" si="30"/>
        <v>0.3742001719356326</v>
      </c>
      <c r="W15">
        <f t="shared" si="31"/>
        <v>0.14652576021245722</v>
      </c>
      <c r="X15">
        <f t="shared" si="32"/>
        <v>0.19899952757599948</v>
      </c>
      <c r="Y15">
        <f t="shared" si="33"/>
        <v>0.46195332724668747</v>
      </c>
      <c r="Z15">
        <f t="shared" si="34"/>
        <v>0.58346493102171293</v>
      </c>
      <c r="AA15">
        <f t="shared" si="35"/>
        <v>0.26278696862301176</v>
      </c>
      <c r="AB15">
        <f t="shared" si="36"/>
        <v>0.35000445406591962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2.1297162801312552E-2</v>
      </c>
      <c r="AD15">
        <f t="shared" si="37"/>
        <v>0.48910081909385217</v>
      </c>
      <c r="AE15">
        <f t="shared" si="6"/>
        <v>2.7611296709252196E-2</v>
      </c>
      <c r="AF15">
        <f t="shared" si="7"/>
        <v>2.2349476563996279E-3</v>
      </c>
      <c r="AG15">
        <f t="shared" si="8"/>
        <v>7.9938364837053074E-3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1.3496650338398223E-3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6.3317147158834589E-3</v>
      </c>
      <c r="AJ15">
        <f t="shared" si="11"/>
        <v>2.9456650928405067E-5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2.3416492032357357E-5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8.7042760053140255E-5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5.1677380604573308E-4</v>
      </c>
      <c r="AN15">
        <f t="shared" si="15"/>
        <v>2.1445572289484497E-3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8.7268258552295437E-6</v>
      </c>
      <c r="AP15">
        <f>AM14*T14*p_Stroke*p_Stroke_rec*(1-I14) + AN14*T14*p_Stroke*p_Stroke_rec*(1-I14) + AO14*(p_recur_Stroke*p_Stroke_rec)*(1-I14) + AP14*(p_recur_Stroke*p_Stroke_rec)*(1-I14) + AQ14*(p_recur_Stroke*p_Stroke_rec)*(1-I14)</f>
        <v>8.6895690573165384E-6</v>
      </c>
      <c r="AQ15">
        <f>AO14*(1-p_recur_Stroke-H14*rr_Stroke*rr_HF)*(1-I14) + AP14*(1-p_recur_Stroke-H14*rr_Stroke*rr_HF)*(1-I14) + AQ14*(1-p_recur_Stroke-H14*rr_Stroke*rr_HF)*(1-I14)</f>
        <v>2.8111912918414877E-5</v>
      </c>
      <c r="AR15">
        <f>AR14*(1-AC14-H14*rr_DM) + AD14*(1-T14-H14)*I14</f>
        <v>0.30683647943261139</v>
      </c>
      <c r="AS15">
        <f>AR14*AC14*p_Other + AD14*T14*p_Other*I14 + AE14*(1-T14*p_Stroke-T14*p_MI-H14*rr_Other)*I14 + AS14*(1-AC14*p_Stroke-AC14*p_MI-H14*rr_Other*rr_DM)</f>
        <v>2.6448009419548252E-2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2.404250938506733E-3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7.6305428752250345E-3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1.501107572626687E-3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6.0874717742726483E-3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4.8172420718816426E-5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3.923292371937972E-5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1.2697338894635687E-4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5.4207647168824159E-4</v>
      </c>
      <c r="BB15">
        <f>AM14*(1-T14*p_Stroke - H14*rr_HF)*I14 + AN14*(1-T14*p_Stroke - H14*rr_HF)*I14 + BA14*(1-AC14*p_Stroke - H14*rr_HF*rr_DM) + BB14*(1-AC14*p_Stroke - H14*rr_HF*rr_DM)</f>
        <v>1.9937337656563722E-3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1.3867436331425145E-5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1.3755403950530226E-5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3.9521372816784067E-5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5.0805749864609638E-2</v>
      </c>
      <c r="BG15">
        <f t="shared" si="17"/>
        <v>0.94199999999999995</v>
      </c>
      <c r="BH15">
        <f>(0.9442 - 0.0007*$B15 - dis_BMI*($C15-21.75))*AD15</f>
        <v>0.42164716436967031</v>
      </c>
      <c r="BI15">
        <f>0.959*(0.9442 - 0.0007*$B15 - dis_BMI*($C15-21.75))*AE15</f>
        <v>2.2827387120855219E-2</v>
      </c>
      <c r="BJ15">
        <f>(0.943*(0.9442 - 0.0007*$B15 - dis_BMI*($C15-21.75)) - 0.19*0.5)*AF15</f>
        <v>1.60457502711627E-3</v>
      </c>
      <c r="BK15">
        <f>(0.943*(0.9442 - 0.0007*$B15 - dis_BMI*($C15-21.75)))*AG15</f>
        <v>6.4985691865898755E-3</v>
      </c>
      <c r="BL15">
        <f>(0.955*(0.9442 - 0.0007*$B15 - dis_BMI*($C15-21.75)) - 0.15*0.5)*AH15</f>
        <v>1.0099442385305658E-3</v>
      </c>
      <c r="BM15">
        <f>(0.955*(0.9442 - 0.0007*$B15 - dis_BMI*($C15-21.75)))*AI15</f>
        <v>5.2128533137070594E-3</v>
      </c>
      <c r="BN15">
        <f>(0.955*0.943*(0.9442 - 0.0007*$B15 - dis_BMI*($C15-21.75)) - 0.19*0.5)*AJ15</f>
        <v>2.0070726211891894E-5</v>
      </c>
      <c r="BO15">
        <f>(0.955*0.943*(0.9442 - 0.0007*$B15 - dis_BMI*($C15-21.75)) - 0.15*0.5)*AK15</f>
        <v>1.6423504159910466E-5</v>
      </c>
      <c r="BP15">
        <f>(0.955*0.943*(0.9442 - 0.0007*$B15 - dis_BMI*($C15-21.75)))*AL15</f>
        <v>6.7576938378755997E-5</v>
      </c>
      <c r="BQ15">
        <f>(0.93*(0.9442 - 0.0007*$B15 - dis_BMI*($C15-21.75)))*AM15</f>
        <v>4.1431841316348579E-4</v>
      </c>
      <c r="BR15">
        <f>(0.93*(0.9442 - 0.0007*$B15 - dis_BMI*($C15-21.75)))*AN15</f>
        <v>1.7193780676212748E-3</v>
      </c>
      <c r="BS15">
        <f>(0.93*0.943*(0.9442 - 0.0007*$B15 - dis_BMI*($C15-21.75)))*AO15</f>
        <v>6.5978394723326135E-6</v>
      </c>
      <c r="BT15">
        <f>(0.93*0.943*(0.9442 - 0.0007*$B15 - dis_BMI*($C15-21.75))-0.19*0.5)*AP15</f>
        <v>5.7441627394759474E-6</v>
      </c>
      <c r="BU15">
        <f>(0.93*0.943*(0.9442 - 0.0007*$B15 - dis_BMI*($C15-21.75)))*AQ15</f>
        <v>2.1253763025962907E-5</v>
      </c>
      <c r="BV15">
        <f>0.962*(0.9442 - 0.0007*$B15 - dis_BMI*($C15-21.75))*AR15</f>
        <v>0.25446781281691011</v>
      </c>
      <c r="BW15">
        <f>0.962*0.959*(0.9442 - 0.0007*$B15 - dis_BMI*($C15-21.75))*AS15</f>
        <v>2.1034755289735651E-2</v>
      </c>
      <c r="BX15">
        <f>0.962*(0.943*(0.9442 - 0.0007*$B15 - dis_BMI*($C15-21.75)) - 0.19*0.5)*AT15</f>
        <v>1.6605331071883099E-3</v>
      </c>
      <c r="BY15">
        <f>0.962*(0.943*(0.9442 - 0.0007*$B15 - dis_BMI*($C15-21.75)))*AU15</f>
        <v>5.9675078033563974E-3</v>
      </c>
      <c r="BZ15">
        <f>0.962*(0.955*(0.9442 - 0.0007*$B15 - dis_BMI*($C15-21.75)) - 0.15*0.5)*AV15</f>
        <v>1.0805833891635304E-3</v>
      </c>
      <c r="CA15">
        <f>0.962*(0.955*(0.9442 - 0.0007*$B15 - dis_BMI*($C15-21.75)))*AW15</f>
        <v>4.8213226714767642E-3</v>
      </c>
      <c r="CB15">
        <f>0.962*(0.955*0.943*(0.9442 - 0.0007*$B15 - dis_BMI*($C15-21.75)) - 0.19*0.5)*AX15</f>
        <v>3.1575719918671682E-5</v>
      </c>
      <c r="CC15">
        <f>0.962*(0.955*0.943*(0.9442 - 0.0007*$B15 - dis_BMI*($C15-21.75)) - 0.15*0.5)*AY15</f>
        <v>2.6470962678335698E-5</v>
      </c>
      <c r="CD15">
        <f>0.962*(0.955*0.943*(0.9442 - 0.0007*$B15 - dis_BMI*($C15-21.75)))*AZ15</f>
        <v>9.4831723006815754E-5</v>
      </c>
      <c r="CE15">
        <f>0.962*(0.93*(0.9442 - 0.0007*$B15 - dis_BMI*($C15-21.75)))*BA15</f>
        <v>4.180896071358034E-4</v>
      </c>
      <c r="CF15">
        <f>0.962*(0.93*(0.9442 - 0.0007*$B15 - dis_BMI*($C15-21.75)))*BB15</f>
        <v>1.5377154522509037E-3</v>
      </c>
      <c r="CG15">
        <f>0.962*(0.93*0.943*(0.9442 - 0.0007*$B15 - dis_BMI*($C15-21.75)))*BC15</f>
        <v>1.0085947141950231E-5</v>
      </c>
      <c r="CH15">
        <f>0.962*(0.93*0.943*(0.9442 - 0.0007*$B15 - dis_BMI*($C15-21.75))-0.19*0.5)*BD15</f>
        <v>8.7473583260369731E-6</v>
      </c>
      <c r="CI15">
        <f>0.962*(0.93*0.943*(0.9442 - 0.0007*$B15 - dis_BMI*($C15-21.75)))*BE15</f>
        <v>2.8744352429734791E-5</v>
      </c>
      <c r="CJ15">
        <f t="shared" si="18"/>
        <v>0</v>
      </c>
      <c r="CK15">
        <f t="shared" si="19"/>
        <v>0.75226063287196132</v>
      </c>
      <c r="CL15">
        <f>CK15/(1+r_)^A15</f>
        <v>0.52762047255762645</v>
      </c>
      <c r="CM15">
        <f>AD15*c_PT_2</f>
        <v>716.53269997249345</v>
      </c>
      <c r="CN15">
        <f>AE15*(c_Other+c_PT_2)</f>
        <v>434.71225539046657</v>
      </c>
      <c r="CO15">
        <f>AF15*(c_Stroke1+c_Stroke2+c_PT_2)</f>
        <v>56.501711701438992</v>
      </c>
      <c r="CP15">
        <f>AG15*(c_Stroke2 + c_PT_2)</f>
        <v>63.670907592712773</v>
      </c>
      <c r="CQ15">
        <f>AH15*(c_MI1+c_MI2 + c_PT_2)</f>
        <v>41.321344676039999</v>
      </c>
      <c r="CR15">
        <f>AI15*(c_MI2+c_PT_2)</f>
        <v>29.011916828178009</v>
      </c>
      <c r="CS15">
        <f>AJ15*(c_Stroke1+c_Stroke2+c_MI2+c_PT_2)</f>
        <v>0.83650997306484709</v>
      </c>
      <c r="CT15">
        <f>AK15*(c_Stroke2+c_MI1+c_MI2+c_PT_2)</f>
        <v>0.8691265182729756</v>
      </c>
      <c r="CU15">
        <f>AL15*(c_Stroke2+c_MI2+c_PT_2)</f>
        <v>0.96460786690890032</v>
      </c>
      <c r="CV15">
        <f>AM15*(c_HF1+c_PT_2)</f>
        <v>14.725469603273163</v>
      </c>
      <c r="CW15">
        <f>AN15*(c_HF2+c_PT_2)</f>
        <v>36.607591898150034</v>
      </c>
      <c r="CX15">
        <f>AO15*(c_Stroke2+c_HF1+c_PT_2)</f>
        <v>0.30539527080375789</v>
      </c>
      <c r="CY15">
        <f>AP15*(c_Stroke1+c_Stroke2+c_HF2+c_PT_2)</f>
        <v>0.355281720477444</v>
      </c>
      <c r="CZ15">
        <f>AQ15*(c_Stroke2+c_HF2+c_PT_2)</f>
        <v>0.66259778748703868</v>
      </c>
      <c r="DA15">
        <f>AR15*(c_DM+c_PT_2)</f>
        <v>3955.1222198863607</v>
      </c>
      <c r="DB15">
        <f>AS15*(c_Other+c_DM+c_PT_2)</f>
        <v>718.56596791970651</v>
      </c>
      <c r="DC15">
        <f>AT15*(c_Stroke1+c_Stroke2+c_DM+c_PT_2)</f>
        <v>88.250434948828143</v>
      </c>
      <c r="DD15">
        <f>AU15*(c_Stroke2+c_DM+c_PT_2)</f>
        <v>147.95622635061341</v>
      </c>
      <c r="DE15">
        <f>AV15*(c_MI1+c_MI2+c_DM+c_PT_2)</f>
        <v>63.108063460798547</v>
      </c>
      <c r="DF15">
        <f>AW15*(c_MI2+c_DM+c_PT_2)</f>
        <v>97.442160690782288</v>
      </c>
      <c r="DG15">
        <f>AX15*(c_Stroke1+c_Stroke2+c_MI2+c_DM+c_PT_2)</f>
        <v>1.9183703102854266</v>
      </c>
      <c r="DH15">
        <f>AY15*(c_Stroke2+c_MI1+c_MI2+c_DM+c_PT_2)</f>
        <v>1.904405350262411</v>
      </c>
      <c r="DI15">
        <f>AZ15*(c_Stroke2+c_MI2+c_DM+c_PT_2)</f>
        <v>2.8577900650156542</v>
      </c>
      <c r="DJ15">
        <f>BA15*(c_HF1+c_DM+c_PT_2)</f>
        <v>21.639692749794605</v>
      </c>
      <c r="DK15">
        <f>BB15*(c_HF2+c_DM+c_PT_2)</f>
        <v>56.811443652378323</v>
      </c>
      <c r="DL15">
        <f>BC15*(c_Stroke2+c_HF1+c_DM+c_PT_2)</f>
        <v>0.64372639450475522</v>
      </c>
      <c r="DM15">
        <f>BD15*(c_Stroke1+c_Stroke2+c_HF2+c_DM+c_PT_2)</f>
        <v>0.7195589360561867</v>
      </c>
      <c r="DN15">
        <f>BE15*(c_Stroke2+c_HF2+c_DM+c_PT_2)</f>
        <v>1.3830504417233584</v>
      </c>
      <c r="DO15">
        <f t="shared" si="5"/>
        <v>0</v>
      </c>
      <c r="DP15">
        <f t="shared" si="38"/>
        <v>6555.4005279568792</v>
      </c>
      <c r="DQ15">
        <f>DP15/(1+r_)^A15</f>
        <v>4597.8260369153495</v>
      </c>
    </row>
    <row r="16" spans="1:121" x14ac:dyDescent="0.3">
      <c r="A16">
        <v>13</v>
      </c>
      <c r="B16">
        <v>58</v>
      </c>
      <c r="C16">
        <f t="shared" si="39"/>
        <v>34.542000000000002</v>
      </c>
      <c r="D16">
        <f t="shared" si="1"/>
        <v>125</v>
      </c>
      <c r="E16">
        <f t="shared" si="40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20"/>
        <v>4.0096398347168494E-2</v>
      </c>
      <c r="J16">
        <f t="shared" si="21"/>
        <v>0.14891121205262847</v>
      </c>
      <c r="K16">
        <f t="shared" si="22"/>
        <v>0.20213317534053388</v>
      </c>
      <c r="L16">
        <f t="shared" si="23"/>
        <v>7.3489844477373278E-2</v>
      </c>
      <c r="M16">
        <f t="shared" si="24"/>
        <v>0.10138436999756373</v>
      </c>
      <c r="N16">
        <f t="shared" si="25"/>
        <v>0.31921157618792384</v>
      </c>
      <c r="O16">
        <f t="shared" si="26"/>
        <v>0.41917134325606009</v>
      </c>
      <c r="P16">
        <f t="shared" si="27"/>
        <v>0.17232404420767033</v>
      </c>
      <c r="Q16">
        <f t="shared" si="28"/>
        <v>0.23451344180491884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1.1974799803452348E-2</v>
      </c>
      <c r="U16">
        <f t="shared" si="29"/>
        <v>0.29594963675244346</v>
      </c>
      <c r="V16">
        <f t="shared" si="30"/>
        <v>0.38825513581079063</v>
      </c>
      <c r="W16">
        <f t="shared" si="31"/>
        <v>0.15305388470611203</v>
      </c>
      <c r="X16">
        <f t="shared" si="32"/>
        <v>0.20756683801936526</v>
      </c>
      <c r="Y16">
        <f t="shared" si="33"/>
        <v>0.48018993730214377</v>
      </c>
      <c r="Z16">
        <f t="shared" si="34"/>
        <v>0.60327306755587173</v>
      </c>
      <c r="AA16">
        <f t="shared" si="35"/>
        <v>0.27518559182210034</v>
      </c>
      <c r="AB16">
        <f t="shared" si="36"/>
        <v>0.3653971151494555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2.2203823585267027E-2</v>
      </c>
      <c r="AD16">
        <f t="shared" si="37"/>
        <v>0.46116254137086998</v>
      </c>
      <c r="AE16">
        <f t="shared" si="6"/>
        <v>2.9006021114411945E-2</v>
      </c>
      <c r="AF16">
        <f t="shared" si="7"/>
        <v>2.2851036556092532E-3</v>
      </c>
      <c r="AG16">
        <f t="shared" si="8"/>
        <v>8.4223198315339469E-3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1.3557158048735905E-3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6.505731498064049E-3</v>
      </c>
      <c r="AJ16">
        <f t="shared" si="11"/>
        <v>3.2683137675051845E-5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2.6185290391155493E-5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9.9894428349081807E-5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5.244196692142922E-4</v>
      </c>
      <c r="AN16">
        <f t="shared" si="15"/>
        <v>2.5186427984594706E-3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9.8776421017057328E-6</v>
      </c>
      <c r="AP16">
        <f>AM15*T15*p_Stroke*p_Stroke_rec*(1-I15) + AN15*T15*p_Stroke*p_Stroke_rec*(1-I15) + AO15*(p_recur_Stroke*p_Stroke_rec)*(1-I15) + AP15*(p_recur_Stroke*p_Stroke_rec)*(1-I15) + AQ15*(p_recur_Stroke*p_Stroke_rec)*(1-I15)</f>
        <v>1.1011194527633383E-5</v>
      </c>
      <c r="AQ16">
        <f>AO15*(1-p_recur_Stroke-H15*rr_Stroke*rr_HF)*(1-I15) + AP15*(1-p_recur_Stroke-H15*rr_Stroke*rr_HF)*(1-I15) + AQ15*(1-p_recur_Stroke-H15*rr_Stroke*rr_HF)*(1-I15)</f>
        <v>3.6892012967345112E-5</v>
      </c>
      <c r="AR16">
        <f>AR15*(1-AC15-H15*rr_DM) + AD15*(1-T15-H15)*I15</f>
        <v>0.31734487340855277</v>
      </c>
      <c r="AS16">
        <f>AR15*AC15*p_Other + AD15*T15*p_Other*I15 + AE15*(1-T15*p_Stroke-T15*p_MI-H15*rr_Other)*I15 + AS15*(1-AC15*p_Stroke-AC15*p_MI-H15*rr_Other*rr_DM)</f>
        <v>3.0636660320460519E-2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2.7052326989465093E-3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8.9081442705052569E-3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1.6605817488043709E-3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6.9388439466940245E-3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5.9230406922164273E-5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4.8597567964909237E-5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1.626234856586874E-4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6.0716653741836081E-4</v>
      </c>
      <c r="BB16">
        <f>AM15*(1-T15*p_Stroke - H15*rr_HF)*I15 + AN15*(1-T15*p_Stroke - H15*rr_HF)*I15 + BA15*(1-AC15*p_Stroke - H15*rr_HF*rr_DM) + BB15*(1-AC15*p_Stroke - H15*rr_HF*rr_DM)</f>
        <v>2.5952014008085544E-3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1.7424632327228316E-5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1.9300250000302369E-5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5.7860285894835372E-5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5.8241219589992933E-2</v>
      </c>
      <c r="BG16">
        <f t="shared" si="17"/>
        <v>0.94199999999999962</v>
      </c>
      <c r="BH16">
        <f>(0.9442 - 0.0007*$B16 - dis_BMI*($C16-21.75))*AD16</f>
        <v>0.39723914132630483</v>
      </c>
      <c r="BI16">
        <f>0.959*(0.9442 - 0.0007*$B16 - dis_BMI*($C16-21.75))*AE16</f>
        <v>2.3960991029718538E-2</v>
      </c>
      <c r="BJ16">
        <f>(0.943*(0.9442 - 0.0007*$B16 - dis_BMI*($C16-21.75)) - 0.19*0.5)*AF16</f>
        <v>1.6390760031918862E-3</v>
      </c>
      <c r="BK16">
        <f>(0.943*(0.9442 - 0.0007*$B16 - dis_BMI*($C16-21.75)))*AG16</f>
        <v>6.8413440690516161E-3</v>
      </c>
      <c r="BL16">
        <f>(0.955*(0.9442 - 0.0007*$B16 - dis_BMI*($C16-21.75)) - 0.15*0.5)*AH16</f>
        <v>1.013565689171403E-3</v>
      </c>
      <c r="BM16">
        <f>(0.955*(0.9442 - 0.0007*$B16 - dis_BMI*($C16-21.75)))*AI16</f>
        <v>5.3517709459322185E-3</v>
      </c>
      <c r="BN16">
        <f>(0.955*0.943*(0.9442 - 0.0007*$B16 - dis_BMI*($C16-21.75)) - 0.19*0.5)*AJ16</f>
        <v>2.2248537531046608E-5</v>
      </c>
      <c r="BO16">
        <f>(0.955*0.943*(0.9442 - 0.0007*$B16 - dis_BMI*($C16-21.75)) - 0.15*0.5)*AK16</f>
        <v>1.834893488531415E-5</v>
      </c>
      <c r="BP16">
        <f>(0.955*0.943*(0.9442 - 0.0007*$B16 - dis_BMI*($C16-21.75)))*AL16</f>
        <v>7.7491548765745025E-5</v>
      </c>
      <c r="BQ16">
        <f>(0.93*(0.9442 - 0.0007*$B16 - dis_BMI*($C16-21.75)))*AM16</f>
        <v>4.2010701298693176E-4</v>
      </c>
      <c r="BR16">
        <f>(0.93*(0.9442 - 0.0007*$B16 - dis_BMI*($C16-21.75)))*AN16</f>
        <v>2.017657927337364E-3</v>
      </c>
      <c r="BS16">
        <f>(0.93*0.943*(0.9442 - 0.0007*$B16 - dis_BMI*($C16-21.75)))*AO16</f>
        <v>7.4618400976423935E-6</v>
      </c>
      <c r="BT16">
        <f>(0.93*0.943*(0.9442 - 0.0007*$B16 - dis_BMI*($C16-21.75))-0.19*0.5)*AP16</f>
        <v>7.2720930194960009E-6</v>
      </c>
      <c r="BU16">
        <f>(0.93*0.943*(0.9442 - 0.0007*$B16 - dis_BMI*($C16-21.75)))*AQ16</f>
        <v>2.7869232232552891E-5</v>
      </c>
      <c r="BV16">
        <f>0.962*(0.9442 - 0.0007*$B16 - dis_BMI*($C16-21.75))*AR16</f>
        <v>0.26296900885742275</v>
      </c>
      <c r="BW16">
        <f>0.962*0.959*(0.9442 - 0.0007*$B16 - dis_BMI*($C16-21.75))*AS16</f>
        <v>2.4346307964648251E-2</v>
      </c>
      <c r="BX16">
        <f>0.962*(0.943*(0.9442 - 0.0007*$B16 - dis_BMI*($C16-21.75)) - 0.19*0.5)*AT16</f>
        <v>1.8666929499791165E-3</v>
      </c>
      <c r="BY16">
        <f>0.962*(0.943*(0.9442 - 0.0007*$B16 - dis_BMI*($C16-21.75)))*AU16</f>
        <v>6.9610061485507512E-3</v>
      </c>
      <c r="BZ16">
        <f>0.962*(0.955*(0.9442 - 0.0007*$B16 - dis_BMI*($C16-21.75)) - 0.15*0.5)*AV16</f>
        <v>1.1943141393018864E-3</v>
      </c>
      <c r="CA16">
        <f>0.962*(0.955*(0.9442 - 0.0007*$B16 - dis_BMI*($C16-21.75)))*AW16</f>
        <v>5.491153379520641E-3</v>
      </c>
      <c r="CB16">
        <f>0.962*(0.955*0.943*(0.9442 - 0.0007*$B16 - dis_BMI*($C16-21.75)) - 0.19*0.5)*AX16</f>
        <v>3.8788011316365151E-5</v>
      </c>
      <c r="CC16">
        <f>0.962*(0.955*0.943*(0.9442 - 0.0007*$B16 - dis_BMI*($C16-21.75)) - 0.15*0.5)*AY16</f>
        <v>3.2759938124494872E-5</v>
      </c>
      <c r="CD16">
        <f>0.962*(0.955*0.943*(0.9442 - 0.0007*$B16 - dis_BMI*($C16-21.75)))*AZ16</f>
        <v>1.2135883883108252E-4</v>
      </c>
      <c r="CE16">
        <f>0.962*(0.93*(0.9442 - 0.0007*$B16 - dis_BMI*($C16-21.75)))*BA16</f>
        <v>4.6791165139192927E-4</v>
      </c>
      <c r="CF16">
        <f>0.962*(0.93*(0.9442 - 0.0007*$B16 - dis_BMI*($C16-21.75)))*BB16</f>
        <v>1.9999866565608552E-3</v>
      </c>
      <c r="CG16">
        <f>0.962*(0.93*0.943*(0.9442 - 0.0007*$B16 - dis_BMI*($C16-21.75)))*BC16</f>
        <v>1.2662846631922528E-5</v>
      </c>
      <c r="CH16">
        <f>0.962*(0.93*0.943*(0.9442 - 0.0007*$B16 - dis_BMI*($C16-21.75))-0.19*0.5)*BD16</f>
        <v>1.2262047578709019E-5</v>
      </c>
      <c r="CI16">
        <f>0.962*(0.93*0.943*(0.9442 - 0.0007*$B16 - dis_BMI*($C16-21.75)))*BE16</f>
        <v>4.2048286162146823E-5</v>
      </c>
      <c r="CJ16">
        <f t="shared" si="18"/>
        <v>0</v>
      </c>
      <c r="CK16">
        <f t="shared" si="19"/>
        <v>0.74420060790624765</v>
      </c>
      <c r="CL16">
        <f>CK16/(1+r_)^A16</f>
        <v>0.50676440117749688</v>
      </c>
      <c r="CM16">
        <f>AD16*c_PT_2</f>
        <v>675.60312310832455</v>
      </c>
      <c r="CN16">
        <f>AE16*(c_Other+c_PT_2)</f>
        <v>456.67079642530166</v>
      </c>
      <c r="CO16">
        <f>AF16*(c_Stroke1+c_Stroke2+c_PT_2)</f>
        <v>57.769705517457531</v>
      </c>
      <c r="CP16">
        <f>AG16*(c_Stroke2 + c_PT_2)</f>
        <v>67.083777458167887</v>
      </c>
      <c r="CQ16">
        <f>AH16*(c_MI1+c_MI2 + c_PT_2)</f>
        <v>41.506595082009845</v>
      </c>
      <c r="CR16">
        <f>AI16*(c_MI2+c_PT_2)</f>
        <v>29.809261724129474</v>
      </c>
      <c r="CS16">
        <f>AJ16*(c_Stroke1+c_Stroke2+c_MI2+c_PT_2)</f>
        <v>0.92813574369612228</v>
      </c>
      <c r="CT16">
        <f>AK16*(c_Stroke2+c_MI1+c_MI2+c_PT_2)</f>
        <v>0.97189323815812723</v>
      </c>
      <c r="CU16">
        <f>AL16*(c_Stroke2+c_MI2+c_PT_2)</f>
        <v>1.1070300549645247</v>
      </c>
      <c r="CV16">
        <f>AM16*(c_HF1+c_PT_2)</f>
        <v>14.943338474261257</v>
      </c>
      <c r="CW16">
        <f>AN16*(c_HF2+c_PT_2)</f>
        <v>42.99323256970316</v>
      </c>
      <c r="CX16">
        <f>AO16*(c_Stroke2+c_HF1+c_PT_2)</f>
        <v>0.34566808534919213</v>
      </c>
      <c r="CY16">
        <f>AP16*(c_Stroke1+c_Stroke2+c_HF2+c_PT_2)</f>
        <v>0.45020369945681848</v>
      </c>
      <c r="CZ16">
        <f>AQ16*(c_Stroke2+c_HF2+c_PT_2)</f>
        <v>0.86954474564032425</v>
      </c>
      <c r="DA16">
        <f>AR16*(c_DM+c_PT_2)</f>
        <v>4090.5754182362452</v>
      </c>
      <c r="DB16">
        <f>AS16*(c_Other+c_DM+c_PT_2)</f>
        <v>832.36742424659178</v>
      </c>
      <c r="DC16">
        <f>AT16*(c_Stroke1+c_Stroke2+c_DM+c_PT_2)</f>
        <v>99.298271447530567</v>
      </c>
      <c r="DD16">
        <f>AU16*(c_Stroke2+c_DM+c_PT_2)</f>
        <v>172.72891740509692</v>
      </c>
      <c r="DE16">
        <f>AV16*(c_MI1+c_MI2+c_DM+c_PT_2)</f>
        <v>69.812517301484561</v>
      </c>
      <c r="DF16">
        <f>AW16*(c_MI2+c_DM+c_PT_2)</f>
        <v>111.07007505473125</v>
      </c>
      <c r="DG16">
        <f>AX16*(c_Stroke1+c_Stroke2+c_MI2+c_DM+c_PT_2)</f>
        <v>2.3587324948613477</v>
      </c>
      <c r="DH16">
        <f>AY16*(c_Stroke2+c_MI1+c_MI2+c_DM+c_PT_2)</f>
        <v>2.3589745465846592</v>
      </c>
      <c r="DI16">
        <f>AZ16*(c_Stroke2+c_MI2+c_DM+c_PT_2)</f>
        <v>3.6601667917200773</v>
      </c>
      <c r="DJ16">
        <f>BA16*(c_HF1+c_DM+c_PT_2)</f>
        <v>24.238088173740962</v>
      </c>
      <c r="DK16">
        <f>BB16*(c_HF2+c_DM+c_PT_2)</f>
        <v>73.950263916039759</v>
      </c>
      <c r="DL16">
        <f>BC16*(c_Stroke2+c_HF1+c_DM+c_PT_2)</f>
        <v>0.80885143262993842</v>
      </c>
      <c r="DM16">
        <f>BD16*(c_Stroke1+c_Stroke2+c_HF2+c_DM+c_PT_2)</f>
        <v>1.0096153777658172</v>
      </c>
      <c r="DN16">
        <f>BE16*(c_Stroke2+c_HF2+c_DM+c_PT_2)</f>
        <v>2.024820704889764</v>
      </c>
      <c r="DO16">
        <f t="shared" si="5"/>
        <v>0</v>
      </c>
      <c r="DP16">
        <f t="shared" si="38"/>
        <v>6877.3144430565326</v>
      </c>
      <c r="DQ16">
        <f>DP16/(1+r_)^A16</f>
        <v>4683.1164855537818</v>
      </c>
    </row>
    <row r="17" spans="1:121" x14ac:dyDescent="0.3">
      <c r="A17">
        <v>14</v>
      </c>
      <c r="B17">
        <v>59</v>
      </c>
      <c r="C17">
        <f t="shared" si="39"/>
        <v>34.542000000000002</v>
      </c>
      <c r="D17">
        <f t="shared" si="1"/>
        <v>125</v>
      </c>
      <c r="E17">
        <f t="shared" si="40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0"/>
        <v>4.0096398347168494E-2</v>
      </c>
      <c r="J17">
        <f t="shared" si="21"/>
        <v>0.15542018817736769</v>
      </c>
      <c r="K17">
        <f t="shared" si="22"/>
        <v>0.21066578799305202</v>
      </c>
      <c r="L17">
        <f t="shared" si="23"/>
        <v>7.6851028180646153E-2</v>
      </c>
      <c r="M17">
        <f t="shared" si="24"/>
        <v>0.10594663637784008</v>
      </c>
      <c r="N17">
        <f t="shared" si="25"/>
        <v>0.33336944124912993</v>
      </c>
      <c r="O17">
        <f t="shared" si="26"/>
        <v>0.43616534660224382</v>
      </c>
      <c r="P17">
        <f t="shared" si="27"/>
        <v>0.1808359478317475</v>
      </c>
      <c r="Q17">
        <f t="shared" si="28"/>
        <v>0.24561330341945864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1.251732215157666E-2</v>
      </c>
      <c r="U17">
        <f t="shared" si="29"/>
        <v>0.30761517901386437</v>
      </c>
      <c r="V17">
        <f t="shared" si="30"/>
        <v>0.4024034213076837</v>
      </c>
      <c r="W17">
        <f t="shared" si="31"/>
        <v>0.15972641904979579</v>
      </c>
      <c r="X17">
        <f t="shared" si="32"/>
        <v>0.21629637786782563</v>
      </c>
      <c r="Y17">
        <f t="shared" si="33"/>
        <v>0.49845051076444147</v>
      </c>
      <c r="Z17">
        <f t="shared" si="34"/>
        <v>0.6228216913576563</v>
      </c>
      <c r="AA17">
        <f t="shared" si="35"/>
        <v>0.2878240114213636</v>
      </c>
      <c r="AB17">
        <f t="shared" si="36"/>
        <v>0.38097594443970761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2.3124658784386461E-2</v>
      </c>
      <c r="AD17">
        <f t="shared" si="37"/>
        <v>0.43439592776006264</v>
      </c>
      <c r="AE17">
        <f t="shared" si="6"/>
        <v>3.0252945524525548E-2</v>
      </c>
      <c r="AF17">
        <f t="shared" si="7"/>
        <v>2.3269232570592388E-3</v>
      </c>
      <c r="AG17">
        <f t="shared" si="8"/>
        <v>8.8014605326915286E-3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1.3583976244354835E-3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6.6522159119157378E-3</v>
      </c>
      <c r="AJ17">
        <f t="shared" si="11"/>
        <v>3.5945784953320559E-5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2.8976878570146659E-5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1.1302784033535439E-4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5.3036316906718934E-4</v>
      </c>
      <c r="AN17">
        <f t="shared" si="15"/>
        <v>2.8772758959988319E-3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1.1047652432381654E-5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1.3524776145776604E-5</v>
      </c>
      <c r="AQ17">
        <f>AO16*(1-p_recur_Stroke-H16*rr_Stroke*rr_HF)*(1-I16) + AP16*(1-p_recur_Stroke-H16*rr_Stroke*rr_HF)*(1-I16) + AQ16*(1-p_recur_Stroke-H16*rr_Stroke*rr_HF)*(1-I16)</f>
        <v>4.6685132596821534E-5</v>
      </c>
      <c r="AR17">
        <f>AR16*(1-AC16-H16*rr_DM) + AD16*(1-T16-H16)*I16</f>
        <v>0.32599143486502674</v>
      </c>
      <c r="AS17">
        <f>AR16*AC16*p_Other + AD16*T16*p_Other*I16 + AE16*(1-T16*p_Stroke-T16*p_MI-H16*rr_Other)*I16 + AS16*(1-AC16*p_Stroke-AC16*p_MI-H16*rr_Other*rr_DM)</f>
        <v>3.5019855570359984E-2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3.0142471271622927E-3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1.0249778674006296E-2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1.8216836521375921E-3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7.8245803204968229E-3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7.1762274287152922E-5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5.9187071503024348E-5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2.0395802613312996E-4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6.7388230805175728E-4</v>
      </c>
      <c r="BB17">
        <f>AM16*(1-T16*p_Stroke - H16*rr_HF)*I16 + AN16*(1-T16*p_Stroke - H16*rr_HF)*I16 + BA16*(1-AC16*p_Stroke - H16*rr_HF*rr_DM) + BB16*(1-AC16*p_Stroke - H16*rr_HF*rr_DM)</f>
        <v>3.261160140123846E-3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2.1497158464463042E-5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2.605292810901175E-5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8.1021092015927046E-5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6.6235181051331943E-2</v>
      </c>
      <c r="BG17">
        <f t="shared" si="17"/>
        <v>0.94200000000000006</v>
      </c>
      <c r="BH17">
        <f>(0.9442 - 0.0007*$B17 - dis_BMI*($C17-21.75))*AD17</f>
        <v>0.37387866723846841</v>
      </c>
      <c r="BI17">
        <f>0.959*(0.9442 - 0.0007*$B17 - dis_BMI*($C17-21.75))*AE17</f>
        <v>2.4970728523211107E-2</v>
      </c>
      <c r="BJ17">
        <f>(0.943*(0.9442 - 0.0007*$B17 - dis_BMI*($C17-21.75)) - 0.19*0.5)*AF17</f>
        <v>1.6675366733058714E-3</v>
      </c>
      <c r="BK17">
        <f>(0.943*(0.9442 - 0.0007*$B17 - dis_BMI*($C17-21.75)))*AG17</f>
        <v>7.1435054299287658E-3</v>
      </c>
      <c r="BL17">
        <f>(0.955*(0.9442 - 0.0007*$B17 - dis_BMI*($C17-21.75)) - 0.15*0.5)*AH17</f>
        <v>1.0146625930597905E-3</v>
      </c>
      <c r="BM17">
        <f>(0.955*(0.9442 - 0.0007*$B17 - dis_BMI*($C17-21.75)))*AI17</f>
        <v>5.4678255358132479E-3</v>
      </c>
      <c r="BN17">
        <f>(0.955*0.943*(0.9442 - 0.0007*$B17 - dis_BMI*($C17-21.75)) - 0.19*0.5)*AJ17</f>
        <v>2.4446873848676782E-5</v>
      </c>
      <c r="BO17">
        <f>(0.955*0.943*(0.9442 - 0.0007*$B17 - dis_BMI*($C17-21.75)) - 0.15*0.5)*AK17</f>
        <v>2.0286829980032387E-5</v>
      </c>
      <c r="BP17">
        <f>(0.955*0.943*(0.9442 - 0.0007*$B17 - dis_BMI*($C17-21.75)))*AL17</f>
        <v>8.7608336559833746E-5</v>
      </c>
      <c r="BQ17">
        <f>(0.93*(0.9442 - 0.0007*$B17 - dis_BMI*($C17-21.75)))*AM17</f>
        <v>4.2452302100963847E-4</v>
      </c>
      <c r="BR17">
        <f>(0.93*(0.9442 - 0.0007*$B17 - dis_BMI*($C17-21.75)))*AN17</f>
        <v>2.3030819764426288E-3</v>
      </c>
      <c r="BS17">
        <f>(0.93*0.943*(0.9442 - 0.0007*$B17 - dis_BMI*($C17-21.75)))*AO17</f>
        <v>8.3389157181770353E-6</v>
      </c>
      <c r="BT17">
        <f>(0.93*0.943*(0.9442 - 0.0007*$B17 - dis_BMI*($C17-21.75))-0.19*0.5)*AP17</f>
        <v>8.923828072275784E-6</v>
      </c>
      <c r="BU17">
        <f>(0.93*0.943*(0.9442 - 0.0007*$B17 - dis_BMI*($C17-21.75)))*AQ17</f>
        <v>3.5238562074575343E-5</v>
      </c>
      <c r="BV17">
        <f>0.962*(0.9442 - 0.0007*$B17 - dis_BMI*($C17-21.75))*AR17</f>
        <v>0.26991449151363145</v>
      </c>
      <c r="BW17">
        <f>0.962*0.959*(0.9442 - 0.0007*$B17 - dis_BMI*($C17-21.75))*AS17</f>
        <v>2.7806925313949991E-2</v>
      </c>
      <c r="BX17">
        <f>0.962*(0.943*(0.9442 - 0.0007*$B17 - dis_BMI*($C17-21.75)) - 0.19*0.5)*AT17</f>
        <v>2.0780082207080674E-3</v>
      </c>
      <c r="BY17">
        <f>0.962*(0.943*(0.9442 - 0.0007*$B17 - dis_BMI*($C17-21.75)))*AU17</f>
        <v>8.0028779389965006E-3</v>
      </c>
      <c r="BZ17">
        <f>0.962*(0.955*(0.9442 - 0.0007*$B17 - dis_BMI*($C17-21.75)) - 0.15*0.5)*AV17</f>
        <v>1.3090094125712555E-3</v>
      </c>
      <c r="CA17">
        <f>0.962*(0.955*(0.9442 - 0.0007*$B17 - dis_BMI*($C17-21.75)))*AW17</f>
        <v>6.1870615604253647E-3</v>
      </c>
      <c r="CB17">
        <f>0.962*(0.955*0.943*(0.9442 - 0.0007*$B17 - dis_BMI*($C17-21.75)) - 0.19*0.5)*AX17</f>
        <v>4.6951192320694124E-5</v>
      </c>
      <c r="CC17">
        <f>0.962*(0.955*0.943*(0.9442 - 0.0007*$B17 - dis_BMI*($C17-21.75)) - 0.15*0.5)*AY17</f>
        <v>3.986249822081197E-5</v>
      </c>
      <c r="CD17">
        <f>0.962*(0.955*0.943*(0.9442 - 0.0007*$B17 - dis_BMI*($C17-21.75)))*AZ17</f>
        <v>1.5208132135801725E-4</v>
      </c>
      <c r="CE17">
        <f>0.962*(0.93*(0.9442 - 0.0007*$B17 - dis_BMI*($C17-21.75)))*BA17</f>
        <v>5.1890399682314662E-4</v>
      </c>
      <c r="CF17">
        <f>0.962*(0.93*(0.9442 - 0.0007*$B17 - dis_BMI*($C17-21.75)))*BB17</f>
        <v>2.5111640575384052E-3</v>
      </c>
      <c r="CG17">
        <f>0.962*(0.93*0.943*(0.9442 - 0.0007*$B17 - dis_BMI*($C17-21.75)))*BC17</f>
        <v>1.5609741522153328E-5</v>
      </c>
      <c r="CH17">
        <f>0.962*(0.93*0.943*(0.9442 - 0.0007*$B17 - dis_BMI*($C17-21.75))-0.19*0.5)*BD17</f>
        <v>1.6536847520948037E-5</v>
      </c>
      <c r="CI17">
        <f>0.962*(0.93*0.943*(0.9442 - 0.0007*$B17 - dis_BMI*($C17-21.75)))*BE17</f>
        <v>5.8831882655650887E-5</v>
      </c>
      <c r="CJ17">
        <f t="shared" si="18"/>
        <v>0</v>
      </c>
      <c r="CK17">
        <f t="shared" si="19"/>
        <v>0.73571368983573548</v>
      </c>
      <c r="CL17">
        <f>CK17/(1+r_)^A17</f>
        <v>0.48639342033492167</v>
      </c>
      <c r="CM17">
        <f>AD17*c_PT_2</f>
        <v>636.39003416849175</v>
      </c>
      <c r="CN17">
        <f>AE17*(c_Other+c_PT_2)</f>
        <v>476.30237433813022</v>
      </c>
      <c r="CO17">
        <f>AF17*(c_Stroke1+c_Stroke2+c_PT_2)</f>
        <v>58.826946861714617</v>
      </c>
      <c r="CP17">
        <f>AG17*(c_Stroke2 + c_PT_2)</f>
        <v>70.103633142888029</v>
      </c>
      <c r="CQ17">
        <f>AH17*(c_MI1+c_MI2 + c_PT_2)</f>
        <v>41.588701669716762</v>
      </c>
      <c r="CR17">
        <f>AI17*(c_MI2+c_PT_2)</f>
        <v>30.480453308397909</v>
      </c>
      <c r="CS17">
        <f>AJ17*(c_Stroke1+c_Stroke2+c_MI2+c_PT_2)</f>
        <v>1.0207884011043973</v>
      </c>
      <c r="CT17">
        <f>AK17*(c_Stroke2+c_MI1+c_MI2+c_PT_2)</f>
        <v>1.0755058250095635</v>
      </c>
      <c r="CU17">
        <f>AL17*(c_Stroke2+c_MI2+c_PT_2)</f>
        <v>1.2525745265963975</v>
      </c>
      <c r="CV17">
        <f>AM17*(c_HF1+c_PT_2)</f>
        <v>15.112698502569561</v>
      </c>
      <c r="CW17">
        <f>AN17*(c_HF2+c_PT_2)</f>
        <v>49.115099544700058</v>
      </c>
      <c r="CX17">
        <f>AO17*(c_Stroke2+c_HF1+c_PT_2)</f>
        <v>0.38661259687119598</v>
      </c>
      <c r="CY17">
        <f>AP17*(c_Stroke1+c_Stroke2+c_HF2+c_PT_2)</f>
        <v>0.55297399749622222</v>
      </c>
      <c r="CZ17">
        <f>AQ17*(c_Stroke2+c_HF2+c_PT_2)</f>
        <v>1.1003685753070835</v>
      </c>
      <c r="DA17">
        <f>AR17*(c_DM+c_PT_2)</f>
        <v>4202.0295954101948</v>
      </c>
      <c r="DB17">
        <f>AS17*(c_Other+c_DM+c_PT_2)</f>
        <v>951.45445599111042</v>
      </c>
      <c r="DC17">
        <f>AT17*(c_Stroke1+c_Stroke2+c_DM+c_PT_2)</f>
        <v>110.64095504961911</v>
      </c>
      <c r="DD17">
        <f>AU17*(c_Stroke2+c_DM+c_PT_2)</f>
        <v>198.74320848898208</v>
      </c>
      <c r="DE17">
        <f>AV17*(c_MI1+c_MI2+c_DM+c_PT_2)</f>
        <v>76.585402419516512</v>
      </c>
      <c r="DF17">
        <f>AW17*(c_MI2+c_DM+c_PT_2)</f>
        <v>125.24805719019264</v>
      </c>
      <c r="DG17">
        <f>AX17*(c_Stroke1+c_Stroke2+c_MI2+c_DM+c_PT_2)</f>
        <v>2.857789048937291</v>
      </c>
      <c r="DH17">
        <f>AY17*(c_Stroke2+c_MI1+c_MI2+c_DM+c_PT_2)</f>
        <v>2.8729996378283049</v>
      </c>
      <c r="DI17">
        <f>AZ17*(c_Stroke2+c_MI2+c_DM+c_PT_2)</f>
        <v>4.5904832941783562</v>
      </c>
      <c r="DJ17">
        <f>BA17*(c_HF1+c_DM+c_PT_2)</f>
        <v>26.901381737426149</v>
      </c>
      <c r="DK17">
        <f>BB17*(c_HF2+c_DM+c_PT_2)</f>
        <v>92.926758192828999</v>
      </c>
      <c r="DL17">
        <f>BC17*(c_Stroke2+c_HF1+c_DM+c_PT_2)</f>
        <v>0.99789809592037437</v>
      </c>
      <c r="DM17">
        <f>BD17*(c_Stroke1+c_Stroke2+c_HF2+c_DM+c_PT_2)</f>
        <v>1.3628547223105136</v>
      </c>
      <c r="DN17">
        <f>BE17*(c_Stroke2+c_HF2+c_DM+c_PT_2)</f>
        <v>2.8353331150973671</v>
      </c>
      <c r="DO17">
        <f t="shared" si="5"/>
        <v>0</v>
      </c>
      <c r="DP17">
        <f t="shared" si="38"/>
        <v>7183.3559378531363</v>
      </c>
      <c r="DQ17">
        <f>DP17/(1+r_)^A17</f>
        <v>4749.0445160476156</v>
      </c>
    </row>
    <row r="18" spans="1:121" x14ac:dyDescent="0.3">
      <c r="A18">
        <v>15</v>
      </c>
      <c r="B18">
        <v>60</v>
      </c>
      <c r="C18">
        <f t="shared" si="39"/>
        <v>34.542000000000002</v>
      </c>
      <c r="D18">
        <f t="shared" si="1"/>
        <v>125</v>
      </c>
      <c r="E18">
        <f t="shared" si="40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20"/>
        <v>4.0096398347168494E-2</v>
      </c>
      <c r="J18">
        <f t="shared" si="21"/>
        <v>0.16206982569660877</v>
      </c>
      <c r="K18">
        <f t="shared" si="22"/>
        <v>0.21935563870149899</v>
      </c>
      <c r="L18">
        <f t="shared" si="23"/>
        <v>8.0298964675796558E-2</v>
      </c>
      <c r="M18">
        <f t="shared" si="24"/>
        <v>0.11061974819918252</v>
      </c>
      <c r="N18">
        <f t="shared" si="25"/>
        <v>0.34773288610746056</v>
      </c>
      <c r="O18">
        <f t="shared" si="26"/>
        <v>0.45325444250968405</v>
      </c>
      <c r="P18">
        <f t="shared" si="27"/>
        <v>0.18956584501243456</v>
      </c>
      <c r="Q18">
        <f t="shared" si="28"/>
        <v>0.25694806113792756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1.3071868321489611E-2</v>
      </c>
      <c r="U18">
        <f t="shared" si="29"/>
        <v>0.31942410503508811</v>
      </c>
      <c r="V18">
        <f t="shared" si="30"/>
        <v>0.41662869156222782</v>
      </c>
      <c r="W18">
        <f t="shared" si="31"/>
        <v>0.16654154244557184</v>
      </c>
      <c r="X18">
        <f t="shared" si="32"/>
        <v>0.22518384987016915</v>
      </c>
      <c r="Y18">
        <f t="shared" si="33"/>
        <v>0.5167002087672472</v>
      </c>
      <c r="Z18">
        <f t="shared" si="34"/>
        <v>0.64206714484610106</v>
      </c>
      <c r="AA18">
        <f t="shared" si="35"/>
        <v>0.30069073605846297</v>
      </c>
      <c r="AB18">
        <f t="shared" si="36"/>
        <v>0.39671932248760222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2.4058951837478387E-2</v>
      </c>
      <c r="AD18">
        <f t="shared" si="37"/>
        <v>0.40874151057726682</v>
      </c>
      <c r="AE18">
        <f t="shared" si="6"/>
        <v>3.1347781045656824E-2</v>
      </c>
      <c r="AF18">
        <f t="shared" si="7"/>
        <v>2.3606649611925597E-3</v>
      </c>
      <c r="AG18">
        <f t="shared" si="8"/>
        <v>9.1289607284861882E-3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1.357876297473339E-3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6.7712091928941861E-3</v>
      </c>
      <c r="AJ18">
        <f t="shared" si="11"/>
        <v>3.9224704317472104E-5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3.1774365954325373E-5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1.2625218693693678E-4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5.3468814626644835E-4</v>
      </c>
      <c r="AN18">
        <f t="shared" si="15"/>
        <v>3.218510274365342E-3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1.2229088126194982E-5</v>
      </c>
      <c r="AP18">
        <f>AM17*T17*p_Stroke*p_Stroke_rec*(1-I17) + AN17*T17*p_Stroke*p_Stroke_rec*(1-I17) + AO17*(p_recur_Stroke*p_Stroke_rec)*(1-I17) + AP17*(p_recur_Stroke*p_Stroke_rec)*(1-I17) + AQ17*(p_recur_Stroke*p_Stroke_rec)*(1-I17)</f>
        <v>1.6215200704342472E-5</v>
      </c>
      <c r="AQ18">
        <f>AO17*(1-p_recur_Stroke-H17*rr_Stroke*rr_HF)*(1-I17) + AP17*(1-p_recur_Stroke-H17*rr_Stroke*rr_HF)*(1-I17) + AQ17*(1-p_recur_Stroke-H17*rr_Stroke*rr_HF)*(1-I17)</f>
        <v>5.7372837926757066E-5</v>
      </c>
      <c r="AR18">
        <f>AR17*(1-AC17-H17*rr_DM) + AD17*(1-T17-H17)*I17</f>
        <v>0.33281394352147287</v>
      </c>
      <c r="AS18">
        <f>AR17*AC17*p_Other + AD17*T17*p_Other*I17 + AE17*(1-T17*p_Stroke-T17*p_MI-H17*rr_Other)*I17 + AS17*(1-AC17*p_Stroke-AC17*p_MI-H17*rr_Other*rr_DM)</f>
        <v>3.9557327745994422E-2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3.3294488677225076E-3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1.1640716731036779E-2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1.9835420370978222E-3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8.7371511029641653E-3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8.5813124525250869E-5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7.1029475815715632E-5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2.5101111107697486E-4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7.4184049816640647E-4</v>
      </c>
      <c r="BB18">
        <f>AM17*(1-T17*p_Stroke - H17*rr_HF)*I17 + AN17*(1-T17*p_Stroke - H17*rr_HF)*I17 + BA17*(1-AC17*p_Stroke - H17*rr_HF*rr_DM) + BB17*(1-AC17*p_Stroke - H17*rr_HF*rr_DM)</f>
        <v>3.9889585179306332E-3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2.6103395222869284E-5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3.4126450086109006E-5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1.0944442587281736E-4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7.4885273387446882E-2</v>
      </c>
      <c r="BG18">
        <f t="shared" si="17"/>
        <v>0.94200000000000006</v>
      </c>
      <c r="BH18">
        <f>(0.9442 - 0.0007*$B18 - dis_BMI*($C18-21.75))*AD18</f>
        <v>0.35151214021190563</v>
      </c>
      <c r="BI18">
        <f>0.959*(0.9442 - 0.0007*$B18 - dis_BMI*($C18-21.75))*AE18</f>
        <v>2.58533600892955E-2</v>
      </c>
      <c r="BJ18">
        <f>(0.943*(0.9442 - 0.0007*$B18 - dis_BMI*($C18-21.75)) - 0.19*0.5)*AF18</f>
        <v>1.6901586238586546E-3</v>
      </c>
      <c r="BK18">
        <f>(0.943*(0.9442 - 0.0007*$B18 - dis_BMI*($C18-21.75)))*AG18</f>
        <v>7.4032874944921778E-3</v>
      </c>
      <c r="BL18">
        <f>(0.955*(0.9442 - 0.0007*$B18 - dis_BMI*($C18-21.75)) - 0.15*0.5)*AH18</f>
        <v>1.0133654447070013E-3</v>
      </c>
      <c r="BM18">
        <f>(0.955*(0.9442 - 0.0007*$B18 - dis_BMI*($C18-21.75)))*AI18</f>
        <v>5.5611061656589975E-3</v>
      </c>
      <c r="BN18">
        <f>(0.955*0.943*(0.9442 - 0.0007*$B18 - dis_BMI*($C18-21.75)) - 0.19*0.5)*AJ18</f>
        <v>2.6652153103607945E-5</v>
      </c>
      <c r="BO18">
        <f>(0.955*0.943*(0.9442 - 0.0007*$B18 - dis_BMI*($C18-21.75)) - 0.15*0.5)*AK18</f>
        <v>2.2225331804097135E-5</v>
      </c>
      <c r="BP18">
        <f>(0.955*0.943*(0.9442 - 0.0007*$B18 - dis_BMI*($C18-21.75)))*AL18</f>
        <v>9.7778992329931806E-5</v>
      </c>
      <c r="BQ18">
        <f>(0.93*(0.9442 - 0.0007*$B18 - dis_BMI*($C18-21.75)))*AM18</f>
        <v>4.2763681664823147E-4</v>
      </c>
      <c r="BR18">
        <f>(0.93*(0.9442 - 0.0007*$B18 - dis_BMI*($C18-21.75)))*AN18</f>
        <v>2.5741238097194506E-3</v>
      </c>
      <c r="BS18">
        <f>(0.93*0.943*(0.9442 - 0.0007*$B18 - dis_BMI*($C18-21.75)))*AO18</f>
        <v>9.2231718192641519E-6</v>
      </c>
      <c r="BT18">
        <f>(0.93*0.943*(0.9442 - 0.0007*$B18 - dis_BMI*($C18-21.75))-0.19*0.5)*AP18</f>
        <v>1.0689051757854015E-5</v>
      </c>
      <c r="BU18">
        <f>(0.93*0.943*(0.9442 - 0.0007*$B18 - dis_BMI*($C18-21.75)))*AQ18</f>
        <v>4.3270564125202732E-5</v>
      </c>
      <c r="BV18">
        <f>0.962*(0.9442 - 0.0007*$B18 - dis_BMI*($C18-21.75))*AR18</f>
        <v>0.27533927748279907</v>
      </c>
      <c r="BW18">
        <f>0.962*0.959*(0.9442 - 0.0007*$B18 - dis_BMI*($C18-21.75))*AS18</f>
        <v>3.1384282769355919E-2</v>
      </c>
      <c r="BX18">
        <f>0.962*(0.943*(0.9442 - 0.0007*$B18 - dis_BMI*($C18-21.75)) - 0.19*0.5)*AT18</f>
        <v>2.2931926089658694E-3</v>
      </c>
      <c r="BY18">
        <f>0.962*(0.943*(0.9442 - 0.0007*$B18 - dis_BMI*($C18-21.75)))*AU18</f>
        <v>9.0815100764147279E-3</v>
      </c>
      <c r="BZ18">
        <f>0.962*(0.955*(0.9442 - 0.0007*$B18 - dis_BMI*($C18-21.75)) - 0.15*0.5)*AV18</f>
        <v>1.4240405769605261E-3</v>
      </c>
      <c r="CA18">
        <f>0.962*(0.955*(0.9442 - 0.0007*$B18 - dis_BMI*($C18-21.75)))*AW18</f>
        <v>6.9030317912815971E-3</v>
      </c>
      <c r="CB18">
        <f>0.962*(0.955*0.943*(0.9442 - 0.0007*$B18 - dis_BMI*($C18-21.75)) - 0.19*0.5)*AX18</f>
        <v>5.6092062366582762E-5</v>
      </c>
      <c r="CC18">
        <f>0.962*(0.955*0.943*(0.9442 - 0.0007*$B18 - dis_BMI*($C18-21.75)) - 0.15*0.5)*AY18</f>
        <v>4.7795283489815043E-5</v>
      </c>
      <c r="CD18">
        <f>0.962*(0.955*0.943*(0.9442 - 0.0007*$B18 - dis_BMI*($C18-21.75)))*AZ18</f>
        <v>1.8701423527290995E-4</v>
      </c>
      <c r="CE18">
        <f>0.962*(0.93*(0.9442 - 0.0007*$B18 - dis_BMI*($C18-21.75)))*BA18</f>
        <v>5.7076869102474603E-4</v>
      </c>
      <c r="CF18">
        <f>0.962*(0.93*(0.9442 - 0.0007*$B18 - dis_BMI*($C18-21.75)))*BB18</f>
        <v>3.0690864646224295E-3</v>
      </c>
      <c r="CG18">
        <f>0.962*(0.93*0.943*(0.9442 - 0.0007*$B18 - dis_BMI*($C18-21.75)))*BC18</f>
        <v>1.8939054576008849E-5</v>
      </c>
      <c r="CH18">
        <f>0.962*(0.93*0.943*(0.9442 - 0.0007*$B18 - dis_BMI*($C18-21.75))-0.19*0.5)*BD18</f>
        <v>2.1641284669362063E-5</v>
      </c>
      <c r="CI18">
        <f>0.962*(0.93*0.943*(0.9442 - 0.0007*$B18 - dis_BMI*($C18-21.75)))*BE18</f>
        <v>7.9406297033317639E-5</v>
      </c>
      <c r="CJ18">
        <f t="shared" si="18"/>
        <v>0</v>
      </c>
      <c r="CK18">
        <f t="shared" si="19"/>
        <v>0.72672109660005857</v>
      </c>
      <c r="CL18">
        <f>CK18/(1+r_)^A18</f>
        <v>0.46645461827799178</v>
      </c>
      <c r="CM18">
        <f>AD18*c_PT_2</f>
        <v>598.80631299569586</v>
      </c>
      <c r="CN18">
        <f>AE18*(c_Other+c_PT_2)</f>
        <v>493.53946478282103</v>
      </c>
      <c r="CO18">
        <f>AF18*(c_Stroke1+c_Stroke2+c_PT_2)</f>
        <v>59.6799708839091</v>
      </c>
      <c r="CP18">
        <f>AG18*(c_Stroke2 + c_PT_2)</f>
        <v>72.712172202392495</v>
      </c>
      <c r="CQ18">
        <f>AH18*(c_MI1+c_MI2 + c_PT_2)</f>
        <v>41.572740723443744</v>
      </c>
      <c r="CR18">
        <f>AI18*(c_MI2+c_PT_2)</f>
        <v>31.02568052184116</v>
      </c>
      <c r="CS18">
        <f>AJ18*(c_Stroke1+c_Stroke2+c_MI2+c_PT_2)</f>
        <v>1.1139031532075727</v>
      </c>
      <c r="CT18">
        <f>AK18*(c_Stroke2+c_MI1+c_MI2+c_PT_2)</f>
        <v>1.1793373667607405</v>
      </c>
      <c r="CU18">
        <f>AL18*(c_Stroke2+c_MI2+c_PT_2)</f>
        <v>1.3991267356351333</v>
      </c>
      <c r="CV18">
        <f>AM18*(c_HF1+c_PT_2)</f>
        <v>15.235938727862445</v>
      </c>
      <c r="CW18">
        <f>AN18*(c_HF2+c_PT_2)</f>
        <v>54.939970383416387</v>
      </c>
      <c r="CX18">
        <f>AO18*(c_Stroke2+c_HF1+c_PT_2)</f>
        <v>0.42795693897619341</v>
      </c>
      <c r="CY18">
        <f>AP18*(c_Stroke1+c_Stroke2+c_HF2+c_PT_2)</f>
        <v>0.66297469599774628</v>
      </c>
      <c r="CZ18">
        <f>AQ18*(c_Stroke2+c_HF2+c_PT_2)</f>
        <v>1.352277789933664</v>
      </c>
      <c r="DA18">
        <f>AR18*(c_DM+c_PT_2)</f>
        <v>4289.9717319917854</v>
      </c>
      <c r="DB18">
        <f>AS18*(c_Other+c_DM+c_PT_2)</f>
        <v>1074.7330375309225</v>
      </c>
      <c r="DC18">
        <f>AT18*(c_Stroke1+c_Stroke2+c_DM+c_PT_2)</f>
        <v>122.21075013862236</v>
      </c>
      <c r="DD18">
        <f>AU18*(c_Stroke2+c_DM+c_PT_2)</f>
        <v>225.71349741480313</v>
      </c>
      <c r="DE18">
        <f>AV18*(c_MI1+c_MI2+c_DM+c_PT_2)</f>
        <v>83.390090781629539</v>
      </c>
      <c r="DF18">
        <f>AW18*(c_MI2+c_DM+c_PT_2)</f>
        <v>139.8555777051474</v>
      </c>
      <c r="DG18">
        <f>AX18*(c_Stroke1+c_Stroke2+c_MI2+c_DM+c_PT_2)</f>
        <v>3.4173360579690653</v>
      </c>
      <c r="DH18">
        <f>AY18*(c_Stroke2+c_MI1+c_MI2+c_DM+c_PT_2)</f>
        <v>3.4478417855706525</v>
      </c>
      <c r="DI18">
        <f>AZ18*(c_Stroke2+c_MI2+c_DM+c_PT_2)</f>
        <v>5.6495070770094733</v>
      </c>
      <c r="DJ18">
        <f>BA18*(c_HF1+c_DM+c_PT_2)</f>
        <v>29.614272686802945</v>
      </c>
      <c r="DK18">
        <f>BB18*(c_HF2+c_DM+c_PT_2)</f>
        <v>113.66537296843339</v>
      </c>
      <c r="DL18">
        <f>BC18*(c_Stroke2+c_HF1+c_DM+c_PT_2)</f>
        <v>1.2117196062455922</v>
      </c>
      <c r="DM18">
        <f>BD18*(c_Stroke1+c_Stroke2+c_HF2+c_DM+c_PT_2)</f>
        <v>1.7851887304544483</v>
      </c>
      <c r="DN18">
        <f>BE18*(c_Stroke2+c_HF2+c_DM+c_PT_2)</f>
        <v>3.8300076834192436</v>
      </c>
      <c r="DO18">
        <f t="shared" si="5"/>
        <v>0</v>
      </c>
      <c r="DP18">
        <f t="shared" si="38"/>
        <v>7472.1437600607087</v>
      </c>
      <c r="DQ18">
        <f>DP18/(1+r_)^A18</f>
        <v>4796.0847450607989</v>
      </c>
    </row>
    <row r="19" spans="1:121" x14ac:dyDescent="0.3">
      <c r="A19">
        <v>16</v>
      </c>
      <c r="B19">
        <v>61</v>
      </c>
      <c r="C19">
        <f t="shared" si="39"/>
        <v>34.542000000000002</v>
      </c>
      <c r="D19">
        <f t="shared" si="1"/>
        <v>125</v>
      </c>
      <c r="E19">
        <f t="shared" si="40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20"/>
        <v>4.0096398347168494E-2</v>
      </c>
      <c r="J19">
        <f t="shared" si="21"/>
        <v>0.16885831010112351</v>
      </c>
      <c r="K19">
        <f t="shared" si="22"/>
        <v>0.22819849148516247</v>
      </c>
      <c r="L19">
        <f t="shared" si="23"/>
        <v>8.383379126670909E-2</v>
      </c>
      <c r="M19">
        <f t="shared" si="24"/>
        <v>0.11540334677942943</v>
      </c>
      <c r="N19">
        <f t="shared" si="25"/>
        <v>0.36228494116111243</v>
      </c>
      <c r="O19">
        <f t="shared" si="26"/>
        <v>0.47041015052482071</v>
      </c>
      <c r="P19">
        <f t="shared" si="27"/>
        <v>0.19851057222544521</v>
      </c>
      <c r="Q19">
        <f t="shared" si="28"/>
        <v>0.26850956222031752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1.3638238134241885E-2</v>
      </c>
      <c r="U19">
        <f t="shared" si="29"/>
        <v>0.33136642327950483</v>
      </c>
      <c r="V19">
        <f t="shared" si="30"/>
        <v>0.43091445559825925</v>
      </c>
      <c r="W19">
        <f t="shared" si="31"/>
        <v>0.1734972799468899</v>
      </c>
      <c r="X19">
        <f t="shared" si="32"/>
        <v>0.23422473032125479</v>
      </c>
      <c r="Y19">
        <f t="shared" si="33"/>
        <v>0.53490418170905762</v>
      </c>
      <c r="Z19">
        <f t="shared" si="34"/>
        <v>0.66096764740342484</v>
      </c>
      <c r="AA19">
        <f t="shared" si="35"/>
        <v>0.313773600957587</v>
      </c>
      <c r="AB19">
        <f t="shared" si="36"/>
        <v>0.4126049560551952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2.5005964689303585E-2</v>
      </c>
      <c r="AD19">
        <f t="shared" si="37"/>
        <v>0.38417116656373823</v>
      </c>
      <c r="AE19">
        <f t="shared" si="6"/>
        <v>3.2289869140431658E-2</v>
      </c>
      <c r="AF19">
        <f t="shared" si="7"/>
        <v>2.3860754685050248E-3</v>
      </c>
      <c r="AG19">
        <f t="shared" si="8"/>
        <v>9.4051740229809961E-3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1.3541337510357709E-3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6.8636489237199911E-3</v>
      </c>
      <c r="AJ19">
        <f t="shared" si="11"/>
        <v>4.248691619794325E-5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3.4548424287946914E-5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1.3943628376890776E-4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5.373968178301906E-4</v>
      </c>
      <c r="AN19">
        <f t="shared" si="15"/>
        <v>3.5408641171308709E-3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1.3408776818427647E-5</v>
      </c>
      <c r="AP19">
        <f>AM18*T18*p_Stroke*p_Stroke_rec*(1-I18) + AN18*T18*p_Stroke*p_Stroke_rec*(1-I18) + AO18*(p_recur_Stroke*p_Stroke_rec)*(1-I18) + AP18*(p_recur_Stroke*p_Stroke_rec)*(1-I18) + AQ18*(p_recur_Stroke*p_Stroke_rec)*(1-I18)</f>
        <v>1.9059447709967784E-5</v>
      </c>
      <c r="AQ19">
        <f>AO18*(1-p_recur_Stroke-H18*rr_Stroke*rr_HF)*(1-I18) + AP18*(1-p_recur_Stroke-H18*rr_Stroke*rr_HF)*(1-I18) + AQ18*(1-p_recur_Stroke-H18*rr_Stroke*rr_HF)*(1-I18)</f>
        <v>6.8840154192271254E-5</v>
      </c>
      <c r="AR19">
        <f>AR18*(1-AC18-H18*rr_DM) + AD18*(1-T18-H18)*I18</f>
        <v>0.33787642238820648</v>
      </c>
      <c r="AS19">
        <f>AR18*AC18*p_Other + AD18*T18*p_Other*I18 + AE18*(1-T18*p_Stroke-T18*p_MI-H18*rr_Other)*I18 + AS18*(1-AC18*p_Stroke-AC18*p_MI-H18*rr_Other*rr_DM)</f>
        <v>4.4209336424172671E-2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3.6480710002241281E-3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1.306814905489093E-2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2.1449585615499504E-3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9.6697775723056205E-3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1.0137948265380632E-4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8.4106257809110754E-5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3.0382417576796969E-4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8.1051943029856782E-4</v>
      </c>
      <c r="BB19">
        <f>AM18*(1-T18*p_Stroke - H18*rr_HF)*I18 + AN18*(1-T18*p_Stroke - H18*rr_HF)*I18 + BA18*(1-AC18*p_Stroke - H18*rr_HF*rr_DM) + BB18*(1-AC18*p_Stroke - H18*rr_HF*rr_DM)</f>
        <v>4.7754931185500071E-3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3.124234215814536E-5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4.3612079688657733E-5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1.435410296686785E-4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8.4223458273706975E-2</v>
      </c>
      <c r="BG19">
        <f t="shared" si="17"/>
        <v>0.94199999999999973</v>
      </c>
      <c r="BH19">
        <f>(0.9442 - 0.0007*$B19 - dis_BMI*($C19-21.75))*AD19</f>
        <v>0.33011305870035507</v>
      </c>
      <c r="BI19">
        <f>0.959*(0.9442 - 0.0007*$B19 - dis_BMI*($C19-21.75))*AE19</f>
        <v>2.6608649348336361E-2</v>
      </c>
      <c r="BJ19">
        <f>(0.943*(0.9442 - 0.0007*$B19 - dis_BMI*($C19-21.75)) - 0.19*0.5)*AF19</f>
        <v>1.7067766645827993E-3</v>
      </c>
      <c r="BK19">
        <f>(0.943*(0.9442 - 0.0007*$B19 - dis_BMI*($C19-21.75)))*AG19</f>
        <v>7.6210790543087496E-3</v>
      </c>
      <c r="BL19">
        <f>(0.955*(0.9442 - 0.0007*$B19 - dis_BMI*($C19-21.75)) - 0.15*0.5)*AH19</f>
        <v>1.0096671924962701E-3</v>
      </c>
      <c r="BM19">
        <f>(0.955*(0.9442 - 0.0007*$B19 - dis_BMI*($C19-21.75)))*AI19</f>
        <v>5.6324373666735011E-3</v>
      </c>
      <c r="BN19">
        <f>(0.955*0.943*(0.9442 - 0.0007*$B19 - dis_BMI*($C19-21.75)) - 0.19*0.5)*AJ19</f>
        <v>2.8841956563880264E-5</v>
      </c>
      <c r="BO19">
        <f>(0.955*0.943*(0.9442 - 0.0007*$B19 - dis_BMI*($C19-21.75)) - 0.15*0.5)*AK19</f>
        <v>2.4143933347249821E-5</v>
      </c>
      <c r="BP19">
        <f>(0.955*0.943*(0.9442 - 0.0007*$B19 - dis_BMI*($C19-21.75)))*AL19</f>
        <v>1.0790182795005155E-4</v>
      </c>
      <c r="BQ19">
        <f>(0.93*(0.9442 - 0.0007*$B19 - dis_BMI*($C19-21.75)))*AM19</f>
        <v>4.2945333257722715E-4</v>
      </c>
      <c r="BR19">
        <f>(0.93*(0.9442 - 0.0007*$B19 - dis_BMI*($C19-21.75)))*AN19</f>
        <v>2.829633233491665E-3</v>
      </c>
      <c r="BS19">
        <f>(0.93*0.943*(0.9442 - 0.0007*$B19 - dis_BMI*($C19-21.75)))*AO19</f>
        <v>1.0104660854947193E-5</v>
      </c>
      <c r="BT19">
        <f>(0.93*0.943*(0.9442 - 0.0007*$B19 - dis_BMI*($C19-21.75))-0.19*0.5)*AP19</f>
        <v>1.2552277423329004E-5</v>
      </c>
      <c r="BU19">
        <f>(0.93*0.943*(0.9442 - 0.0007*$B19 - dis_BMI*($C19-21.75)))*AQ19</f>
        <v>5.1876947519866403E-5</v>
      </c>
      <c r="BV19">
        <f>0.962*(0.9442 - 0.0007*$B19 - dis_BMI*($C19-21.75))*AR19</f>
        <v>0.27929997528256539</v>
      </c>
      <c r="BW19">
        <f>0.962*0.959*(0.9442 - 0.0007*$B19 - dis_BMI*($C19-21.75))*AS19</f>
        <v>3.5046577554716157E-2</v>
      </c>
      <c r="BX19">
        <f>0.962*(0.943*(0.9442 - 0.0007*$B19 - dis_BMI*($C19-21.75)) - 0.19*0.5)*AT19</f>
        <v>2.5103303393951542E-3</v>
      </c>
      <c r="BY19">
        <f>0.962*(0.943*(0.9442 - 0.0007*$B19 - dis_BMI*($C19-21.75)))*AU19</f>
        <v>1.0186823520666355E-2</v>
      </c>
      <c r="BZ19">
        <f>0.962*(0.955*(0.9442 - 0.0007*$B19 - dis_BMI*($C19-21.75)) - 0.15*0.5)*AV19</f>
        <v>1.5385466201478821E-3</v>
      </c>
      <c r="CA19">
        <f>0.962*(0.955*(0.9442 - 0.0007*$B19 - dis_BMI*($C19-21.75)))*AW19</f>
        <v>7.6336609404116665E-3</v>
      </c>
      <c r="CB19">
        <f>0.962*(0.955*0.943*(0.9442 - 0.0007*$B19 - dis_BMI*($C19-21.75)) - 0.19*0.5)*AX19</f>
        <v>6.6205588608227894E-5</v>
      </c>
      <c r="CC19">
        <f>0.962*(0.955*0.943*(0.9442 - 0.0007*$B19 - dis_BMI*($C19-21.75)) - 0.15*0.5)*AY19</f>
        <v>5.6543561663139952E-5</v>
      </c>
      <c r="CD19">
        <f>0.962*(0.955*0.943*(0.9442 - 0.0007*$B19 - dis_BMI*($C19-21.75)))*AZ19</f>
        <v>2.2617802266804507E-4</v>
      </c>
      <c r="CE19">
        <f>0.962*(0.93*(0.9442 - 0.0007*$B19 - dis_BMI*($C19-21.75)))*BA19</f>
        <v>6.2310235020526707E-4</v>
      </c>
      <c r="CF19">
        <f>0.962*(0.93*(0.9442 - 0.0007*$B19 - dis_BMI*($C19-21.75)))*BB19</f>
        <v>3.6712518840683085E-3</v>
      </c>
      <c r="CG19">
        <f>0.962*(0.93*0.943*(0.9442 - 0.0007*$B19 - dis_BMI*($C19-21.75)))*BC19</f>
        <v>2.264911494952033E-5</v>
      </c>
      <c r="CH19">
        <f>0.962*(0.93*0.943*(0.9442 - 0.0007*$B19 - dis_BMI*($C19-21.75))-0.19*0.5)*BD19</f>
        <v>2.763083989579886E-5</v>
      </c>
      <c r="CI19">
        <f>0.962*(0.93*0.943*(0.9442 - 0.0007*$B19 - dis_BMI*($C19-21.75)))*BE19</f>
        <v>1.0405997298415738E-4</v>
      </c>
      <c r="CJ19">
        <f t="shared" si="18"/>
        <v>0</v>
      </c>
      <c r="CK19">
        <f t="shared" si="19"/>
        <v>0.71719971208942601</v>
      </c>
      <c r="CL19">
        <f>CK19/(1+r_)^A19</f>
        <v>0.44693514939231488</v>
      </c>
      <c r="CM19">
        <f>AD19*c_PT_2</f>
        <v>562.81075901587656</v>
      </c>
      <c r="CN19">
        <f>AE19*(c_Other+c_PT_2)</f>
        <v>508.37169974695604</v>
      </c>
      <c r="CO19">
        <f>AF19*(c_Stroke1+c_Stroke2+c_PT_2)</f>
        <v>60.322373919275535</v>
      </c>
      <c r="CP19">
        <f>AG19*(c_Stroke2 + c_PT_2)</f>
        <v>74.912211093043638</v>
      </c>
      <c r="CQ19">
        <f>AH19*(c_MI1+c_MI2 + c_PT_2)</f>
        <v>41.45815892171116</v>
      </c>
      <c r="CR19">
        <f>AI19*(c_MI2+c_PT_2)</f>
        <v>31.449239368484999</v>
      </c>
      <c r="CS19">
        <f>AJ19*(c_Stroke1+c_Stroke2+c_MI2+c_PT_2)</f>
        <v>1.2065434461891924</v>
      </c>
      <c r="CT19">
        <f>AK19*(c_Stroke2+c_MI1+c_MI2+c_PT_2)</f>
        <v>1.2822993158714378</v>
      </c>
      <c r="CU19">
        <f>AL19*(c_Stroke2+c_MI2+c_PT_2)</f>
        <v>1.5452328967270357</v>
      </c>
      <c r="CV19">
        <f>AM19*(c_HF1+c_PT_2)</f>
        <v>15.313122324071282</v>
      </c>
      <c r="CW19">
        <f>AN19*(c_HF2+c_PT_2)</f>
        <v>60.442550479423964</v>
      </c>
      <c r="CX19">
        <f>AO19*(c_Stroke2+c_HF1+c_PT_2)</f>
        <v>0.4692401447608755</v>
      </c>
      <c r="CY19">
        <f>AP19*(c_Stroke1+c_Stroke2+c_HF2+c_PT_2)</f>
        <v>0.77926457906974278</v>
      </c>
      <c r="CZ19">
        <f>AQ19*(c_Stroke2+c_HF2+c_PT_2)</f>
        <v>1.6225624343118334</v>
      </c>
      <c r="DA19">
        <f>AR19*(c_DM+c_PT_2)</f>
        <v>4355.2270845839812</v>
      </c>
      <c r="DB19">
        <f>AS19*(c_Other+c_DM+c_PT_2)</f>
        <v>1201.1234613083473</v>
      </c>
      <c r="DC19">
        <f>AT19*(c_Stroke1+c_Stroke2+c_DM+c_PT_2)</f>
        <v>133.90609413422683</v>
      </c>
      <c r="DD19">
        <f>AU19*(c_Stroke2+c_DM+c_PT_2)</f>
        <v>253.39141017433514</v>
      </c>
      <c r="DE19">
        <f>AV19*(c_MI1+c_MI2+c_DM+c_PT_2)</f>
        <v>90.176202886121459</v>
      </c>
      <c r="DF19">
        <f>AW19*(c_MI2+c_DM+c_PT_2)</f>
        <v>154.78412959989606</v>
      </c>
      <c r="DG19">
        <f>AX19*(c_Stroke1+c_Stroke2+c_MI2+c_DM+c_PT_2)</f>
        <v>4.0372351377225293</v>
      </c>
      <c r="DH19">
        <f>AY19*(c_Stroke2+c_MI1+c_MI2+c_DM+c_PT_2)</f>
        <v>4.0826018603120451</v>
      </c>
      <c r="DI19">
        <f>AZ19*(c_Stroke2+c_MI2+c_DM+c_PT_2)</f>
        <v>6.8381707240096938</v>
      </c>
      <c r="DJ19">
        <f>BA19*(c_HF1+c_DM+c_PT_2)</f>
        <v>32.355935657518827</v>
      </c>
      <c r="DK19">
        <f>BB19*(c_HF2+c_DM+c_PT_2)</f>
        <v>136.07767641308246</v>
      </c>
      <c r="DL19">
        <f>BC19*(c_Stroke2+c_HF1+c_DM+c_PT_2)</f>
        <v>1.4502695229811076</v>
      </c>
      <c r="DM19">
        <f>BD19*(c_Stroke1+c_Stroke2+c_HF2+c_DM+c_PT_2)</f>
        <v>2.2813915005933745</v>
      </c>
      <c r="DN19">
        <f>BE19*(c_Stroke2+c_HF2+c_DM+c_PT_2)</f>
        <v>5.0232183332554037</v>
      </c>
      <c r="DO19">
        <f t="shared" si="5"/>
        <v>0</v>
      </c>
      <c r="DP19">
        <f t="shared" si="38"/>
        <v>7742.7401395221568</v>
      </c>
      <c r="DQ19">
        <f>DP19/(1+r_)^A19</f>
        <v>4825.019673922744</v>
      </c>
    </row>
    <row r="20" spans="1:121" x14ac:dyDescent="0.3">
      <c r="A20">
        <v>17</v>
      </c>
      <c r="B20">
        <v>62</v>
      </c>
      <c r="C20">
        <f t="shared" si="39"/>
        <v>34.542000000000002</v>
      </c>
      <c r="D20">
        <f t="shared" si="1"/>
        <v>125</v>
      </c>
      <c r="E20">
        <f t="shared" si="40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0"/>
        <v>4.0096398347168494E-2</v>
      </c>
      <c r="J20">
        <f t="shared" si="21"/>
        <v>0.17578367974553966</v>
      </c>
      <c r="K20">
        <f t="shared" si="22"/>
        <v>0.23718989547602365</v>
      </c>
      <c r="L20">
        <f t="shared" si="23"/>
        <v>8.7455597142909625E-2</v>
      </c>
      <c r="M20">
        <f t="shared" si="24"/>
        <v>0.12029699144554162</v>
      </c>
      <c r="N20">
        <f t="shared" si="25"/>
        <v>0.3770079689644954</v>
      </c>
      <c r="O20">
        <f t="shared" si="26"/>
        <v>0.48760363854899302</v>
      </c>
      <c r="P20">
        <f t="shared" si="27"/>
        <v>0.20766657716923742</v>
      </c>
      <c r="Q20">
        <f t="shared" si="28"/>
        <v>0.28028908348600945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1.4216216456528643E-2</v>
      </c>
      <c r="U20">
        <f t="shared" si="29"/>
        <v>0.34343188530192426</v>
      </c>
      <c r="V20">
        <f t="shared" si="30"/>
        <v>0.44524411667408648</v>
      </c>
      <c r="W20">
        <f t="shared" si="31"/>
        <v>0.18059150375038635</v>
      </c>
      <c r="X20">
        <f t="shared" si="32"/>
        <v>0.24341427482775091</v>
      </c>
      <c r="Y20">
        <f t="shared" si="33"/>
        <v>0.5530277500351668</v>
      </c>
      <c r="Z20">
        <f t="shared" si="34"/>
        <v>0.67948356252447506</v>
      </c>
      <c r="AA20">
        <f t="shared" si="35"/>
        <v>0.32705979390845419</v>
      </c>
      <c r="AB20">
        <f t="shared" si="36"/>
        <v>0.42860995790857637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2.5964939856204541E-2</v>
      </c>
      <c r="AD20">
        <f t="shared" si="37"/>
        <v>0.36062260433136506</v>
      </c>
      <c r="AE20">
        <f t="shared" si="6"/>
        <v>3.3073563255024502E-2</v>
      </c>
      <c r="AF20">
        <f t="shared" si="7"/>
        <v>2.4032132354853296E-3</v>
      </c>
      <c r="AG20">
        <f t="shared" si="8"/>
        <v>9.6270017448611828E-3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1.3472569306690173E-3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6.9291856431642493E-3</v>
      </c>
      <c r="AJ20">
        <f t="shared" si="11"/>
        <v>4.5704624725144481E-5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3.7274735184584498E-5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1.5233665368417183E-4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5.3853551890790474E-4</v>
      </c>
      <c r="AN20">
        <f t="shared" si="15"/>
        <v>3.8422671360544593E-3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1.4575653992595869E-5</v>
      </c>
      <c r="AP20">
        <f>AM19*T19*p_Stroke*p_Stroke_rec*(1-I19) + AN19*T19*p_Stroke*p_Stroke_rec*(1-I19) + AO19*(p_recur_Stroke*p_Stroke_rec)*(1-I19) + AP19*(p_recur_Stroke*p_Stroke_rec)*(1-I19) + AQ19*(p_recur_Stroke*p_Stroke_rec)*(1-I19)</f>
        <v>2.2033338513954932E-5</v>
      </c>
      <c r="AQ20">
        <f>AO19*(1-p_recur_Stroke-H19*rr_Stroke*rr_HF)*(1-I19) + AP19*(1-p_recur_Stroke-H19*rr_Stroke*rr_HF)*(1-I19) + AQ19*(1-p_recur_Stroke-H19*rr_Stroke*rr_HF)*(1-I19)</f>
        <v>8.0896759168872033E-5</v>
      </c>
      <c r="AR20">
        <f>AR19*(1-AC19-H19*rr_DM) + AD19*(1-T19-H19)*I19</f>
        <v>0.34120862584516981</v>
      </c>
      <c r="AS20">
        <f>AR19*AC19*p_Other + AD19*T19*p_Other*I19 + AE19*(1-T19*p_Stroke-T19*p_MI-H19*rr_Other)*I19 + AS19*(1-AC19*p_Stroke-AC19*p_MI-H19*rr_Other*rr_DM)</f>
        <v>4.8924242070321408E-2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3.9675718829542388E-3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1.451212820229689E-2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2.3048431097306421E-3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1.0613140962799167E-2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1.1844382110946729E-4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9.8388010095890006E-5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3.6202038641933198E-4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8.7943507297507393E-4</v>
      </c>
      <c r="BB20">
        <f>AM19*(1-T19*p_Stroke - H19*rr_HF)*I19 + AN19*(1-T19*p_Stroke - H19*rr_HF)*I19 + BA19*(1-AC19*p_Stroke - H19*rr_HF*rr_DM) + BB19*(1-AC19*p_Stroke - H19*rr_HF*rr_DM)</f>
        <v>5.6156117176560192E-3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3.6907944024936785E-5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5.4588275160852694E-5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1.8348036586665628E-4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9.4384122772618484E-2</v>
      </c>
      <c r="BG20">
        <f t="shared" si="17"/>
        <v>0.94199999999999995</v>
      </c>
      <c r="BH20">
        <f>(0.9442 - 0.0007*$B20 - dis_BMI*($C20-21.75))*AD20</f>
        <v>0.30962566361149119</v>
      </c>
      <c r="BI20">
        <f>0.959*(0.9442 - 0.0007*$B20 - dis_BMI*($C20-21.75))*AE20</f>
        <v>2.7232254634281316E-2</v>
      </c>
      <c r="BJ20">
        <f>(0.943*(0.9442 - 0.0007*$B20 - dis_BMI*($C20-21.75)) - 0.19*0.5)*AF20</f>
        <v>1.7174490695001962E-3</v>
      </c>
      <c r="BK20">
        <f>(0.943*(0.9442 - 0.0007*$B20 - dis_BMI*($C20-21.75)))*AG20</f>
        <v>7.7944728429719798E-3</v>
      </c>
      <c r="BL20">
        <f>(0.955*(0.9442 - 0.0007*$B20 - dis_BMI*($C20-21.75)) - 0.15*0.5)*AH20</f>
        <v>1.0036390666689678E-3</v>
      </c>
      <c r="BM20">
        <f>(0.955*(0.9442 - 0.0007*$B20 - dis_BMI*($C20-21.75)))*AI20</f>
        <v>5.6815858512627541E-3</v>
      </c>
      <c r="BN20">
        <f>(0.955*0.943*(0.9442 - 0.0007*$B20 - dis_BMI*($C20-21.75)) - 0.19*0.5)*AJ20</f>
        <v>3.099746431021424E-5</v>
      </c>
      <c r="BO20">
        <f>(0.955*0.943*(0.9442 - 0.0007*$B20 - dis_BMI*($C20-21.75)) - 0.15*0.5)*AK20</f>
        <v>2.6025699508024921E-5</v>
      </c>
      <c r="BP20">
        <f>(0.955*0.943*(0.9442 - 0.0007*$B20 - dis_BMI*($C20-21.75)))*AL20</f>
        <v>1.1778865987844307E-4</v>
      </c>
      <c r="BQ20">
        <f>(0.93*(0.9442 - 0.0007*$B20 - dis_BMI*($C20-21.75)))*AM20</f>
        <v>4.3001272337968104E-4</v>
      </c>
      <c r="BR20">
        <f>(0.93*(0.9442 - 0.0007*$B20 - dis_BMI*($C20-21.75)))*AN20</f>
        <v>3.0679940266104774E-3</v>
      </c>
      <c r="BS20">
        <f>(0.93*0.943*(0.9442 - 0.0007*$B20 - dis_BMI*($C20-21.75)))*AO20</f>
        <v>1.0975054775000358E-5</v>
      </c>
      <c r="BT20">
        <f>(0.93*0.943*(0.9442 - 0.0007*$B20 - dis_BMI*($C20-21.75))-0.19*0.5)*AP20</f>
        <v>1.4497312910858869E-5</v>
      </c>
      <c r="BU20">
        <f>(0.93*0.943*(0.9442 - 0.0007*$B20 - dis_BMI*($C20-21.75)))*AQ20</f>
        <v>6.091296921904091E-5</v>
      </c>
      <c r="BV20">
        <f>0.962*(0.9442 - 0.0007*$B20 - dis_BMI*($C20-21.75))*AR20</f>
        <v>0.28182471645624396</v>
      </c>
      <c r="BW20">
        <f>0.962*0.959*(0.9442 - 0.0007*$B20 - dis_BMI*($C20-21.75))*AS20</f>
        <v>3.8752684314269224E-2</v>
      </c>
      <c r="BX20">
        <f>0.962*(0.943*(0.9442 - 0.0007*$B20 - dis_BMI*($C20-21.75)) - 0.19*0.5)*AT20</f>
        <v>2.7276675417302267E-3</v>
      </c>
      <c r="BY20">
        <f>0.962*(0.943*(0.9442 - 0.0007*$B20 - dis_BMI*($C20-21.75)))*AU20</f>
        <v>1.1303212076001528E-2</v>
      </c>
      <c r="BZ20">
        <f>0.962*(0.955*(0.9442 - 0.0007*$B20 - dis_BMI*($C20-21.75)) - 0.15*0.5)*AV20</f>
        <v>1.6517471719663848E-3</v>
      </c>
      <c r="CA20">
        <f>0.962*(0.955*(0.9442 - 0.0007*$B20 - dis_BMI*($C20-21.75)))*AW20</f>
        <v>8.371559747532285E-3</v>
      </c>
      <c r="CB20">
        <f>0.962*(0.955*0.943*(0.9442 - 0.0007*$B20 - dis_BMI*($C20-21.75)) - 0.19*0.5)*AX20</f>
        <v>7.7277578152697862E-5</v>
      </c>
      <c r="CC20">
        <f>0.962*(0.955*0.943*(0.9442 - 0.0007*$B20 - dis_BMI*($C20-21.75)) - 0.15*0.5)*AY20</f>
        <v>6.6085334634405785E-5</v>
      </c>
      <c r="CD20">
        <f>0.962*(0.955*0.943*(0.9442 - 0.0007*$B20 - dis_BMI*($C20-21.75)))*AZ20</f>
        <v>2.6928190372217106E-4</v>
      </c>
      <c r="CE20">
        <f>0.962*(0.93*(0.9442 - 0.0007*$B20 - dis_BMI*($C20-21.75)))*BA20</f>
        <v>6.7553181490103309E-4</v>
      </c>
      <c r="CF20">
        <f>0.962*(0.93*(0.9442 - 0.0007*$B20 - dis_BMI*($C20-21.75)))*BB20</f>
        <v>4.313592318503312E-3</v>
      </c>
      <c r="CG20">
        <f>0.962*(0.93*0.943*(0.9442 - 0.0007*$B20 - dis_BMI*($C20-21.75)))*BC20</f>
        <v>2.6734592672591863E-5</v>
      </c>
      <c r="CH20">
        <f>0.962*(0.93*0.943*(0.9442 - 0.0007*$B20 - dis_BMI*($C20-21.75))-0.19*0.5)*BD20</f>
        <v>3.4552672993721309E-5</v>
      </c>
      <c r="CI20">
        <f>0.962*(0.93*0.943*(0.9442 - 0.0007*$B20 - dis_BMI*($C20-21.75)))*BE20</f>
        <v>1.3290561082321314E-4</v>
      </c>
      <c r="CJ20">
        <f t="shared" si="18"/>
        <v>0</v>
      </c>
      <c r="CK20">
        <f t="shared" si="19"/>
        <v>0.70704181812091482</v>
      </c>
      <c r="CL20">
        <f>CK20/(1+r_)^A20</f>
        <v>0.42777192786314105</v>
      </c>
      <c r="CM20">
        <f>AD20*c_PT_2</f>
        <v>528.3121153454498</v>
      </c>
      <c r="CN20">
        <f>AE20*(c_Other+c_PT_2)</f>
        <v>520.71017988710571</v>
      </c>
      <c r="CO20">
        <f>AF20*(c_Stroke1+c_Stroke2+c_PT_2)</f>
        <v>60.755633806304616</v>
      </c>
      <c r="CP20">
        <f>AG20*(c_Stroke2 + c_PT_2)</f>
        <v>76.67906889781932</v>
      </c>
      <c r="CQ20">
        <f>AH20*(c_MI1+c_MI2 + c_PT_2)</f>
        <v>41.247618189362633</v>
      </c>
      <c r="CR20">
        <f>AI20*(c_MI2+c_PT_2)</f>
        <v>31.749528616978591</v>
      </c>
      <c r="CS20">
        <f>AJ20*(c_Stroke1+c_Stroke2+c_MI2+c_PT_2)</f>
        <v>1.2979199329446529</v>
      </c>
      <c r="CT20">
        <f>AK20*(c_Stroke2+c_MI1+c_MI2+c_PT_2)</f>
        <v>1.3834890711110381</v>
      </c>
      <c r="CU20">
        <f>AL20*(c_Stroke2+c_MI2+c_PT_2)</f>
        <v>1.6881947961279922</v>
      </c>
      <c r="CV20">
        <f>AM20*(c_HF1+c_PT_2)</f>
        <v>15.345569611280746</v>
      </c>
      <c r="CW20">
        <f>AN20*(c_HF2+c_PT_2)</f>
        <v>65.587500012449624</v>
      </c>
      <c r="CX20">
        <f>AO20*(c_Stroke2+c_HF1+c_PT_2)</f>
        <v>0.5100750114708924</v>
      </c>
      <c r="CY20">
        <f>AP20*(c_Stroke1+c_Stroke2+c_HF2+c_PT_2)</f>
        <v>0.90085507848156132</v>
      </c>
      <c r="CZ20">
        <f>AQ20*(c_Stroke2+c_HF2+c_PT_2)</f>
        <v>1.9067366136103139</v>
      </c>
      <c r="DA20">
        <f>AR20*(c_DM+c_PT_2)</f>
        <v>4398.1791871442392</v>
      </c>
      <c r="DB20">
        <f>AS20*(c_Other+c_DM+c_PT_2)</f>
        <v>1329.2227328085623</v>
      </c>
      <c r="DC20">
        <f>AT20*(c_Stroke1+c_Stroke2+c_DM+c_PT_2)</f>
        <v>145.63369353571829</v>
      </c>
      <c r="DD20">
        <f>AU20*(c_Stroke2+c_DM+c_PT_2)</f>
        <v>281.3901658425367</v>
      </c>
      <c r="DE20">
        <f>AV20*(c_MI1+c_MI2+c_DM+c_PT_2)</f>
        <v>96.897909176185919</v>
      </c>
      <c r="DF20">
        <f>AW20*(c_MI2+c_DM+c_PT_2)</f>
        <v>169.88454739152627</v>
      </c>
      <c r="DG20">
        <f>AX20*(c_Stroke1+c_Stroke2+c_MI2+c_DM+c_PT_2)</f>
        <v>4.7167882880423155</v>
      </c>
      <c r="DH20">
        <f>AY20*(c_Stroke2+c_MI1+c_MI2+c_DM+c_PT_2)</f>
        <v>4.7758523980645968</v>
      </c>
      <c r="DI20">
        <f>AZ20*(c_Stroke2+c_MI2+c_DM+c_PT_2)</f>
        <v>8.1479928371399044</v>
      </c>
      <c r="DJ20">
        <f>BA20*(c_HF1+c_DM+c_PT_2)</f>
        <v>35.10704811316495</v>
      </c>
      <c r="DK20">
        <f>BB20*(c_HF2+c_DM+c_PT_2)</f>
        <v>160.01685589460826</v>
      </c>
      <c r="DL20">
        <f>BC20*(c_Stroke2+c_HF1+c_DM+c_PT_2)</f>
        <v>1.7132667616375656</v>
      </c>
      <c r="DM20">
        <f>BD20*(c_Stroke1+c_Stroke2+c_HF2+c_DM+c_PT_2)</f>
        <v>2.8555672619393651</v>
      </c>
      <c r="DN20">
        <f>BE20*(c_Stroke2+c_HF2+c_DM+c_PT_2)</f>
        <v>6.4208954035036365</v>
      </c>
      <c r="DO20">
        <f t="shared" si="5"/>
        <v>0</v>
      </c>
      <c r="DP20">
        <f t="shared" si="38"/>
        <v>7993.036987727367</v>
      </c>
      <c r="DQ20">
        <f>DP20/(1+r_)^A20</f>
        <v>4835.9188298206082</v>
      </c>
    </row>
    <row r="21" spans="1:121" x14ac:dyDescent="0.3">
      <c r="A21">
        <v>18</v>
      </c>
      <c r="B21">
        <v>63</v>
      </c>
      <c r="C21">
        <f t="shared" si="39"/>
        <v>34.542000000000002</v>
      </c>
      <c r="D21">
        <f t="shared" si="1"/>
        <v>125</v>
      </c>
      <c r="E21">
        <f t="shared" si="40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0"/>
        <v>4.0096398347168494E-2</v>
      </c>
      <c r="J21">
        <f t="shared" si="21"/>
        <v>0.18284382714450442</v>
      </c>
      <c r="K21">
        <f t="shared" si="22"/>
        <v>0.2463251905327174</v>
      </c>
      <c r="L21">
        <f t="shared" si="23"/>
        <v>9.1164423047489729E-2</v>
      </c>
      <c r="M21">
        <f t="shared" si="24"/>
        <v>0.12530015935669103</v>
      </c>
      <c r="N21">
        <f t="shared" si="25"/>
        <v>0.39188371682083167</v>
      </c>
      <c r="O21">
        <f t="shared" si="26"/>
        <v>0.50480585099049957</v>
      </c>
      <c r="P21">
        <f t="shared" si="27"/>
        <v>0.21702991884391309</v>
      </c>
      <c r="Q21">
        <f t="shared" si="28"/>
        <v>0.29227734475503775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1.4805573613971574E-2</v>
      </c>
      <c r="U21">
        <f t="shared" si="29"/>
        <v>0.3556100078376232</v>
      </c>
      <c r="V21">
        <f t="shared" si="30"/>
        <v>0.45960102114951318</v>
      </c>
      <c r="W21">
        <f t="shared" si="31"/>
        <v>0.18782193471551356</v>
      </c>
      <c r="X21">
        <f t="shared" si="32"/>
        <v>0.25274752455429583</v>
      </c>
      <c r="Y21">
        <f t="shared" si="33"/>
        <v>0.57103658570095006</v>
      </c>
      <c r="Z21">
        <f t="shared" si="34"/>
        <v>0.69757764561605029</v>
      </c>
      <c r="AA21">
        <f t="shared" si="35"/>
        <v>0.34053588434117021</v>
      </c>
      <c r="AB21">
        <f t="shared" si="36"/>
        <v>0.44471093106456339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2.6935102543495536E-2</v>
      </c>
      <c r="AD21">
        <f t="shared" si="37"/>
        <v>0.33814365121346834</v>
      </c>
      <c r="AE21">
        <f t="shared" si="6"/>
        <v>3.3711089611867355E-2</v>
      </c>
      <c r="AF21">
        <f t="shared" si="7"/>
        <v>2.4116938814724045E-3</v>
      </c>
      <c r="AG21">
        <f t="shared" si="8"/>
        <v>9.8024928111068235E-3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1.3371828976490138E-3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6.971289879936381E-3</v>
      </c>
      <c r="AJ21">
        <f t="shared" si="11"/>
        <v>4.8835748693618064E-5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3.9915665869149803E-5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1.6503716617164951E-4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5.3808270330766292E-4</v>
      </c>
      <c r="AN21">
        <f t="shared" si="15"/>
        <v>4.1229008883669769E-3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1.5712711494936597E-5</v>
      </c>
      <c r="AP21">
        <f>AM20*T20*p_Stroke*p_Stroke_rec*(1-I20) + AN20*T20*p_Stroke*p_Stroke_rec*(1-I20) + AO20*(p_recur_Stroke*p_Stroke_rec)*(1-I20) + AP20*(p_recur_Stroke*p_Stroke_rec)*(1-I20) + AQ20*(p_recur_Stroke*p_Stroke_rec)*(1-I20)</f>
        <v>2.5102201639558059E-5</v>
      </c>
      <c r="AQ21">
        <f>AO20*(1-p_recur_Stroke-H20*rr_Stroke*rr_HF)*(1-I20) + AP20*(1-p_recur_Stroke-H20*rr_Stroke*rr_HF)*(1-I20) + AQ20*(1-p_recur_Stroke-H20*rr_Stroke*rr_HF)*(1-I20)</f>
        <v>9.3508127446143238E-5</v>
      </c>
      <c r="AR21">
        <f>AR20*(1-AC20-H20*rr_DM) + AD20*(1-T20-H20)*I20</f>
        <v>0.3429619664220096</v>
      </c>
      <c r="AS21">
        <f>AR20*AC20*p_Other + AD20*T20*p_Other*I20 + AE20*(1-T20*p_Stroke-T20*p_MI-H20*rr_Other)*I20 + AS20*(1-AC20*p_Stroke-AC20*p_MI-H20*rr_Other*rr_DM)</f>
        <v>5.3676709099699293E-2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4.2843591174424886E-3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1.5970704122058501E-2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2.461751937163967E-3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1.156428404968822E-2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1.3691896255023673E-4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1.13780012340514E-4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4.2598251208832594E-4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9.4794937015700131E-4</v>
      </c>
      <c r="BB21">
        <f>AM20*(1-T20*p_Stroke - H20*rr_HF)*I20 + AN20*(1-T20*p_Stroke - H20*rr_HF)*I20 + BA20*(1-AC20*p_Stroke - H20*rr_HF*rr_DM) + BB20*(1-AC20*p_Stroke - H20*rr_HF*rr_DM)</f>
        <v>6.506810127273323E-3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4.3066026671982437E-5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6.7090930432556545E-5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2.2976285126137042E-4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0.10518236895067251</v>
      </c>
      <c r="BG21">
        <f t="shared" si="17"/>
        <v>0.94199999999999995</v>
      </c>
      <c r="BH21">
        <f>(0.9442 - 0.0007*$B21 - dis_BMI*($C21-21.75))*AD21</f>
        <v>0.29008883962237803</v>
      </c>
      <c r="BI21">
        <f>0.959*(0.9442 - 0.0007*$B21 - dis_BMI*($C21-21.75))*AE21</f>
        <v>2.7734553609606988E-2</v>
      </c>
      <c r="BJ21">
        <f>(0.943*(0.9442 - 0.0007*$B21 - dis_BMI*($C21-21.75)) - 0.19*0.5)*AF21</f>
        <v>1.7219177783714414E-3</v>
      </c>
      <c r="BK21">
        <f>(0.943*(0.9442 - 0.0007*$B21 - dis_BMI*($C21-21.75)))*AG21</f>
        <v>7.9300880284277724E-3</v>
      </c>
      <c r="BL21">
        <f>(0.955*(0.9442 - 0.0007*$B21 - dis_BMI*($C21-21.75)) - 0.15*0.5)*AH21</f>
        <v>9.9524050888274941E-4</v>
      </c>
      <c r="BM21">
        <f>(0.955*(0.9442 - 0.0007*$B21 - dis_BMI*($C21-21.75)))*AI21</f>
        <v>5.7114489134245765E-3</v>
      </c>
      <c r="BN21">
        <f>(0.955*0.943*(0.9442 - 0.0007*$B21 - dis_BMI*($C21-21.75)) - 0.19*0.5)*AJ21</f>
        <v>3.3090247019792232E-5</v>
      </c>
      <c r="BO21">
        <f>(0.955*0.943*(0.9442 - 0.0007*$B21 - dis_BMI*($C21-21.75)) - 0.15*0.5)*AK21</f>
        <v>2.7844468621689071E-5</v>
      </c>
      <c r="BP21">
        <f>(0.955*0.943*(0.9442 - 0.0007*$B21 - dis_BMI*($C21-21.75)))*AL21</f>
        <v>1.2750482079217792E-4</v>
      </c>
      <c r="BQ21">
        <f>(0.93*(0.9442 - 0.0007*$B21 - dis_BMI*($C21-21.75)))*AM21</f>
        <v>4.2930086491587755E-4</v>
      </c>
      <c r="BR21">
        <f>(0.93*(0.9442 - 0.0007*$B21 - dis_BMI*($C21-21.75)))*AN21</f>
        <v>3.2893919586304918E-3</v>
      </c>
      <c r="BS21">
        <f>(0.93*0.943*(0.9442 - 0.0007*$B21 - dis_BMI*($C21-21.75)))*AO21</f>
        <v>1.1821580957083329E-5</v>
      </c>
      <c r="BT21">
        <f>(0.93*0.943*(0.9442 - 0.0007*$B21 - dis_BMI*($C21-21.75))-0.19*0.5)*AP21</f>
        <v>1.6501127892716532E-5</v>
      </c>
      <c r="BU21">
        <f>(0.93*0.943*(0.9442 - 0.0007*$B21 - dis_BMI*($C21-21.75)))*AQ21</f>
        <v>7.0351568480466671E-5</v>
      </c>
      <c r="BV21">
        <f>0.962*(0.9442 - 0.0007*$B21 - dis_BMI*($C21-21.75))*AR21</f>
        <v>0.28304195525569215</v>
      </c>
      <c r="BW21">
        <f>0.962*0.959*(0.9442 - 0.0007*$B21 - dis_BMI*($C21-21.75))*AS21</f>
        <v>4.2482429345637208E-2</v>
      </c>
      <c r="BX21">
        <f>0.962*(0.943*(0.9442 - 0.0007*$B21 - dis_BMI*($C21-21.75)) - 0.19*0.5)*AT21</f>
        <v>2.9427350837144916E-3</v>
      </c>
      <c r="BY21">
        <f>0.962*(0.943*(0.9442 - 0.0007*$B21 - dis_BMI*($C21-21.75)))*AU21</f>
        <v>1.2429126601594847E-2</v>
      </c>
      <c r="BZ21">
        <f>0.962*(0.955*(0.9442 - 0.0007*$B21 - dis_BMI*($C21-21.75)) - 0.15*0.5)*AV21</f>
        <v>1.762611468710796E-3</v>
      </c>
      <c r="CA21">
        <f>0.962*(0.955*(0.9442 - 0.0007*$B21 - dis_BMI*($C21-21.75)))*AW21</f>
        <v>9.1143767648118584E-3</v>
      </c>
      <c r="CB21">
        <f>0.962*(0.955*0.943*(0.9442 - 0.0007*$B21 - dis_BMI*($C21-21.75)) - 0.19*0.5)*AX21</f>
        <v>8.9248480507811163E-5</v>
      </c>
      <c r="CC21">
        <f>0.962*(0.955*0.943*(0.9442 - 0.0007*$B21 - dis_BMI*($C21-21.75)) - 0.15*0.5)*AY21</f>
        <v>7.6354845789445975E-5</v>
      </c>
      <c r="CD21">
        <f>0.962*(0.955*0.943*(0.9442 - 0.0007*$B21 - dis_BMI*($C21-21.75)))*AZ21</f>
        <v>3.1660056803951251E-4</v>
      </c>
      <c r="CE21">
        <f>0.962*(0.93*(0.9442 - 0.0007*$B21 - dis_BMI*($C21-21.75)))*BA21</f>
        <v>7.2756692175223467E-4</v>
      </c>
      <c r="CF21">
        <f>0.962*(0.93*(0.9442 - 0.0007*$B21 - dis_BMI*($C21-21.75)))*BB21</f>
        <v>4.9940850891039045E-3</v>
      </c>
      <c r="CG21">
        <f>0.962*(0.93*0.943*(0.9442 - 0.0007*$B21 - dis_BMI*($C21-21.75)))*BC21</f>
        <v>3.1169820509341825E-5</v>
      </c>
      <c r="CH21">
        <f>0.962*(0.93*0.943*(0.9442 - 0.0007*$B21 - dis_BMI*($C21-21.75))-0.19*0.5)*BD21</f>
        <v>4.2426841673413179E-5</v>
      </c>
      <c r="CI21">
        <f>0.962*(0.93*0.943*(0.9442 - 0.0007*$B21 - dis_BMI*($C21-21.75)))*BE21</f>
        <v>1.6629504477111887E-4</v>
      </c>
      <c r="CJ21">
        <f t="shared" si="18"/>
        <v>0</v>
      </c>
      <c r="CK21">
        <f t="shared" si="19"/>
        <v>0.69640487723070998</v>
      </c>
      <c r="CL21">
        <f>CK21/(1+r_)^A21</f>
        <v>0.40906446960299847</v>
      </c>
      <c r="CM21">
        <f>AD21*c_PT_2</f>
        <v>495.38044902773112</v>
      </c>
      <c r="CN21">
        <f>AE21*(c_Other+c_PT_2)</f>
        <v>530.74739484923964</v>
      </c>
      <c r="CO21">
        <f>AF21*(c_Stroke1+c_Stroke2+c_PT_2)</f>
        <v>60.970033017503859</v>
      </c>
      <c r="CP21">
        <f>AG21*(c_Stroke2 + c_PT_2)</f>
        <v>78.076855240465846</v>
      </c>
      <c r="CQ21">
        <f>AH21*(c_MI1+c_MI2 + c_PT_2)</f>
        <v>40.939191594422205</v>
      </c>
      <c r="CR21">
        <f>AI21*(c_MI2+c_PT_2)</f>
        <v>31.942450229868498</v>
      </c>
      <c r="CS21">
        <f>AJ21*(c_Stroke1+c_Stroke2+c_MI2+c_PT_2)</f>
        <v>1.3868375914013658</v>
      </c>
      <c r="CT21">
        <f>AK21*(c_Stroke2+c_MI1+c_MI2+c_PT_2)</f>
        <v>1.4815098543993641</v>
      </c>
      <c r="CU21">
        <f>AL21*(c_Stroke2+c_MI2+c_PT_2)</f>
        <v>1.8289418755142197</v>
      </c>
      <c r="CV21">
        <f>AM21*(c_HF1+c_PT_2)</f>
        <v>15.332666630751856</v>
      </c>
      <c r="CW21">
        <f>AN21*(c_HF2+c_PT_2)</f>
        <v>70.377918164424301</v>
      </c>
      <c r="CX21">
        <f>AO21*(c_Stroke2+c_HF1+c_PT_2)</f>
        <v>0.54986633876530622</v>
      </c>
      <c r="CY21">
        <f>AP21*(c_Stroke1+c_Stroke2+c_HF2+c_PT_2)</f>
        <v>1.0263286162349707</v>
      </c>
      <c r="CZ21">
        <f>AQ21*(c_Stroke2+c_HF2+c_PT_2)</f>
        <v>2.203986563905596</v>
      </c>
      <c r="DA21">
        <f>AR21*(c_DM+c_PT_2)</f>
        <v>4420.7797471797039</v>
      </c>
      <c r="DB21">
        <f>AS21*(c_Other+c_DM+c_PT_2)</f>
        <v>1458.34250952973</v>
      </c>
      <c r="DC21">
        <f>AT21*(c_Stroke1+c_Stroke2+c_DM+c_PT_2)</f>
        <v>157.26168576484397</v>
      </c>
      <c r="DD21">
        <f>AU21*(c_Stroke2+c_DM+c_PT_2)</f>
        <v>309.67195292671431</v>
      </c>
      <c r="DE21">
        <f>AV21*(c_MI1+c_MI2+c_DM+c_PT_2)</f>
        <v>103.49451319031033</v>
      </c>
      <c r="DF21">
        <f>AW21*(c_MI2+c_DM+c_PT_2)</f>
        <v>185.10949478335934</v>
      </c>
      <c r="DG21">
        <f>AX21*(c_Stroke1+c_Stroke2+c_MI2+c_DM+c_PT_2)</f>
        <v>5.4525238456380771</v>
      </c>
      <c r="DH21">
        <f>AY21*(c_Stroke2+c_MI1+c_MI2+c_DM+c_PT_2)</f>
        <v>5.5229955790208898</v>
      </c>
      <c r="DI21">
        <f>AZ21*(c_Stroke2+c_MI2+c_DM+c_PT_2)</f>
        <v>9.5875883995719526</v>
      </c>
      <c r="DJ21">
        <f>BA21*(c_HF1+c_DM+c_PT_2)</f>
        <v>37.842138856667489</v>
      </c>
      <c r="DK21">
        <f>BB21*(c_HF2+c_DM+c_PT_2)</f>
        <v>185.41155457665334</v>
      </c>
      <c r="DL21">
        <f>BC21*(c_Stroke2+c_HF1+c_DM+c_PT_2)</f>
        <v>1.9991249581134247</v>
      </c>
      <c r="DM21">
        <f>BD21*(c_Stroke1+c_Stroke2+c_HF2+c_DM+c_PT_2)</f>
        <v>3.5095936618574655</v>
      </c>
      <c r="DN21">
        <f>BE21*(c_Stroke2+c_HF2+c_DM+c_PT_2)</f>
        <v>8.0405509798916572</v>
      </c>
      <c r="DO21">
        <f t="shared" si="5"/>
        <v>0</v>
      </c>
      <c r="DP21">
        <f t="shared" si="38"/>
        <v>8224.2704038267038</v>
      </c>
      <c r="DQ21">
        <f>DP21/(1+r_)^A21</f>
        <v>4830.8920867859943</v>
      </c>
    </row>
    <row r="22" spans="1:121" x14ac:dyDescent="0.3">
      <c r="A22">
        <v>19</v>
      </c>
      <c r="B22">
        <v>64</v>
      </c>
      <c r="C22">
        <f t="shared" si="39"/>
        <v>34.542000000000002</v>
      </c>
      <c r="D22">
        <f t="shared" si="1"/>
        <v>125</v>
      </c>
      <c r="E22">
        <f t="shared" si="40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20"/>
        <v>4.0096398347168494E-2</v>
      </c>
      <c r="J22">
        <f t="shared" si="21"/>
        <v>0.19003650048290899</v>
      </c>
      <c r="K22">
        <f t="shared" si="22"/>
        <v>0.25559951330253239</v>
      </c>
      <c r="L22">
        <f t="shared" si="23"/>
        <v>9.4960260970789578E-2</v>
      </c>
      <c r="M22">
        <f t="shared" si="24"/>
        <v>0.13041224539946261</v>
      </c>
      <c r="N22">
        <f t="shared" si="25"/>
        <v>0.40689337315920737</v>
      </c>
      <c r="O22">
        <f t="shared" si="26"/>
        <v>0.52198763992976571</v>
      </c>
      <c r="P22">
        <f t="shared" si="27"/>
        <v>0.22659626863641424</v>
      </c>
      <c r="Q22">
        <f t="shared" si="28"/>
        <v>0.30446452448433148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1.540606584315204E-2</v>
      </c>
      <c r="U22">
        <f t="shared" si="29"/>
        <v>0.36789009568723052</v>
      </c>
      <c r="V22">
        <f t="shared" si="30"/>
        <v>0.47396850765682841</v>
      </c>
      <c r="W22">
        <f t="shared" si="31"/>
        <v>0.19518614411414004</v>
      </c>
      <c r="X22">
        <f t="shared" si="32"/>
        <v>0.26221931294372736</v>
      </c>
      <c r="Y22">
        <f t="shared" si="33"/>
        <v>0.58889689279363366</v>
      </c>
      <c r="Z22">
        <f t="shared" si="34"/>
        <v>0.71521526962162718</v>
      </c>
      <c r="AA22">
        <f t="shared" si="35"/>
        <v>0.35418785544463394</v>
      </c>
      <c r="AB22">
        <f t="shared" si="36"/>
        <v>0.46088405706266977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2.7915662803736672E-2</v>
      </c>
      <c r="AD22">
        <f t="shared" si="37"/>
        <v>0.31664154622995505</v>
      </c>
      <c r="AE22">
        <f t="shared" si="6"/>
        <v>3.4192504794783134E-2</v>
      </c>
      <c r="AF22">
        <f t="shared" si="7"/>
        <v>2.4126359404999364E-3</v>
      </c>
      <c r="AG22">
        <f t="shared" si="8"/>
        <v>9.9245281655030767E-3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1.3243351942801857E-3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6.9881404740580891E-3</v>
      </c>
      <c r="AJ22">
        <f t="shared" si="11"/>
        <v>5.1880424620955271E-5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4.2473090360124092E-5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1.7712774727565204E-4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5.3623219626960721E-4</v>
      </c>
      <c r="AN22">
        <f t="shared" si="15"/>
        <v>4.380134281519313E-3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1.6820481929909186E-5</v>
      </c>
      <c r="AP22">
        <f>AM21*T21*p_Stroke*p_Stroke_rec*(1-I21) + AN21*T21*p_Stroke*p_Stroke_rec*(1-I21) + AO21*(p_recur_Stroke*p_Stroke_rec)*(1-I21) + AP21*(p_recur_Stroke*p_Stroke_rec)*(1-I21) + AQ21*(p_recur_Stroke*p_Stroke_rec)*(1-I21)</f>
        <v>2.8251373891755126E-5</v>
      </c>
      <c r="AQ22">
        <f>AO21*(1-p_recur_Stroke-H21*rr_Stroke*rr_HF)*(1-I21) + AP21*(1-p_recur_Stroke-H21*rr_Stroke*rr_HF)*(1-I21) + AQ21*(1-p_recur_Stroke-H21*rr_Stroke*rr_HF)*(1-I21)</f>
        <v>1.063635302915866E-4</v>
      </c>
      <c r="AR22">
        <f>AR21*(1-AC21-H21*rr_DM) + AD21*(1-T21-H21)*I21</f>
        <v>0.34313765239628408</v>
      </c>
      <c r="AS22">
        <f>AR21*AC21*p_Other + AD21*T21*p_Other*I21 + AE21*(1-T21*p_Stroke-T21*p_MI-H21*rr_Other)*I21 + AS21*(1-AC21*p_Stroke-AC21*p_MI-H21*rr_Other*rr_DM)</f>
        <v>5.8401214926606423E-2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4.5975671825670746E-3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1.7414114459400363E-2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2.6152206217075506E-3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1.2510518872733255E-2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1.5681368674297179E-4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1.3028501622330154E-4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4.9455271776282497E-4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1.0158287810354515E-3</v>
      </c>
      <c r="BB22">
        <f>AM21*(1-T21*p_Stroke - H21*rr_HF)*I21 + AN21*(1-T21*p_Stroke - H21*rr_HF)*I21 + BA21*(1-AC21*p_Stroke - H21*rr_HF*rr_DM) + BB21*(1-AC21*p_Stroke - H21*rr_HF*rr_DM)</f>
        <v>7.4406925292704257E-3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4.9723422749914304E-5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8.1195403735323871E-5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2.8204323180137952E-4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0.11684960282614121</v>
      </c>
      <c r="BG22">
        <f t="shared" si="17"/>
        <v>0.94199999999999973</v>
      </c>
      <c r="BH22">
        <f>(0.9442 - 0.0007*$B22 - dis_BMI*($C22-21.75))*AD22</f>
        <v>0.2714208271032888</v>
      </c>
      <c r="BI22">
        <f>0.959*(0.9442 - 0.0007*$B22 - dis_BMI*($C22-21.75))*AE22</f>
        <v>2.8107666738249958E-2</v>
      </c>
      <c r="BJ22">
        <f>(0.943*(0.9442 - 0.0007*$B22 - dis_BMI*($C22-21.75)) - 0.19*0.5)*AF22</f>
        <v>1.720997815168439E-3</v>
      </c>
      <c r="BK22">
        <f>(0.943*(0.9442 - 0.0007*$B22 - dis_BMI*($C22-21.75)))*AG22</f>
        <v>8.0222618474026751E-3</v>
      </c>
      <c r="BL22">
        <f>(0.955*(0.9442 - 0.0007*$B22 - dis_BMI*($C22-21.75)) - 0.15*0.5)*AH22</f>
        <v>9.8479288271629433E-4</v>
      </c>
      <c r="BM22">
        <f>(0.955*(0.9442 - 0.0007*$B22 - dis_BMI*($C22-21.75)))*AI22</f>
        <v>5.7205827217478014E-3</v>
      </c>
      <c r="BN22">
        <f>(0.955*0.943*(0.9442 - 0.0007*$B22 - dis_BMI*($C22-21.75)) - 0.19*0.5)*AJ22</f>
        <v>3.5120560856028858E-5</v>
      </c>
      <c r="BO22">
        <f>(0.955*0.943*(0.9442 - 0.0007*$B22 - dis_BMI*($C22-21.75)) - 0.15*0.5)*AK22</f>
        <v>2.9601708259207034E-5</v>
      </c>
      <c r="BP22">
        <f>(0.955*0.943*(0.9442 - 0.0007*$B22 - dis_BMI*($C22-21.75)))*AL22</f>
        <v>1.3673413121984885E-4</v>
      </c>
      <c r="BQ22">
        <f>(0.93*(0.9442 - 0.0007*$B22 - dis_BMI*($C22-21.75)))*AM22</f>
        <v>4.2747537967252744E-4</v>
      </c>
      <c r="BR22">
        <f>(0.93*(0.9442 - 0.0007*$B22 - dis_BMI*($C22-21.75)))*AN22</f>
        <v>3.4917701287516781E-3</v>
      </c>
      <c r="BS22">
        <f>(0.93*0.943*(0.9442 - 0.0007*$B22 - dis_BMI*($C22-21.75)))*AO22</f>
        <v>1.2644694701613433E-5</v>
      </c>
      <c r="BT22">
        <f>(0.93*0.943*(0.9442 - 0.0007*$B22 - dis_BMI*($C22-21.75))-0.19*0.5)*AP22</f>
        <v>1.8553917496472731E-5</v>
      </c>
      <c r="BU22">
        <f>(0.93*0.943*(0.9442 - 0.0007*$B22 - dis_BMI*($C22-21.75)))*AQ22</f>
        <v>7.9958135178721728E-5</v>
      </c>
      <c r="BV22">
        <f>0.962*(0.9442 - 0.0007*$B22 - dis_BMI*($C22-21.75))*AR22</f>
        <v>0.28295587766146529</v>
      </c>
      <c r="BW22">
        <f>0.962*0.959*(0.9442 - 0.0007*$B22 - dis_BMI*($C22-21.75))*AS22</f>
        <v>4.6183924344401668E-2</v>
      </c>
      <c r="BX22">
        <f>0.962*(0.943*(0.9442 - 0.0007*$B22 - dis_BMI*($C22-21.75)) - 0.19*0.5)*AT22</f>
        <v>3.1549441967658963E-3</v>
      </c>
      <c r="BY22">
        <f>0.962*(0.943*(0.9442 - 0.0007*$B22 - dis_BMI*($C22-21.75)))*AU22</f>
        <v>1.3541395774541418E-2</v>
      </c>
      <c r="BZ22">
        <f>0.962*(0.955*(0.9442 - 0.0007*$B22 - dis_BMI*($C22-21.75)) - 0.15*0.5)*AV22</f>
        <v>1.8708130243774712E-3</v>
      </c>
      <c r="CA22">
        <f>0.962*(0.955*(0.9442 - 0.0007*$B22 - dis_BMI*($C22-21.75)))*AW22</f>
        <v>9.8521051417195579E-3</v>
      </c>
      <c r="CB22">
        <f>0.962*(0.955*0.943*(0.9442 - 0.0007*$B22 - dis_BMI*($C22-21.75)) - 0.19*0.5)*AX22</f>
        <v>1.0212144659854696E-4</v>
      </c>
      <c r="CC22">
        <f>0.962*(0.955*0.943*(0.9442 - 0.0007*$B22 - dis_BMI*($C22-21.75)) - 0.15*0.5)*AY22</f>
        <v>8.735192014004029E-5</v>
      </c>
      <c r="CD22">
        <f>0.962*(0.955*0.943*(0.9442 - 0.0007*$B22 - dis_BMI*($C22-21.75)))*AZ22</f>
        <v>3.6726369657183531E-4</v>
      </c>
      <c r="CE22">
        <f>0.962*(0.93*(0.9442 - 0.0007*$B22 - dis_BMI*($C22-21.75)))*BA22</f>
        <v>7.7902932460040654E-4</v>
      </c>
      <c r="CF22">
        <f>0.962*(0.93*(0.9442 - 0.0007*$B22 - dis_BMI*($C22-21.75)))*BB22</f>
        <v>5.7061955556411206E-3</v>
      </c>
      <c r="CG22">
        <f>0.962*(0.93*0.943*(0.9442 - 0.0007*$B22 - dis_BMI*($C22-21.75)))*BC22</f>
        <v>3.5958867154045839E-5</v>
      </c>
      <c r="CH22">
        <f>0.962*(0.93*0.943*(0.9442 - 0.0007*$B22 - dis_BMI*($C22-21.75))-0.19*0.5)*BD22</f>
        <v>5.1298251912096091E-5</v>
      </c>
      <c r="CI22">
        <f>0.962*(0.93*0.943*(0.9442 - 0.0007*$B22 - dis_BMI*($C22-21.75)))*BE22</f>
        <v>2.0396735669330087E-4</v>
      </c>
      <c r="CJ22">
        <f t="shared" si="18"/>
        <v>0</v>
      </c>
      <c r="CK22">
        <f t="shared" si="19"/>
        <v>0.68510123432729264</v>
      </c>
      <c r="CL22">
        <f>CK22/(1+r_)^A22</f>
        <v>0.39070366088845732</v>
      </c>
      <c r="CM22">
        <f>AD22*c_PT_2</f>
        <v>463.87986522688414</v>
      </c>
      <c r="CN22">
        <f>AE22*(c_Other+c_PT_2)</f>
        <v>538.3267954890656</v>
      </c>
      <c r="CO22">
        <f>AF22*(c_Stroke1+c_Stroke2+c_PT_2)</f>
        <v>60.993849211778894</v>
      </c>
      <c r="CP22">
        <f>AG22*(c_Stroke2 + c_PT_2)</f>
        <v>79.048866838232001</v>
      </c>
      <c r="CQ22">
        <f>AH22*(c_MI1+c_MI2 + c_PT_2)</f>
        <v>40.545846308082169</v>
      </c>
      <c r="CR22">
        <f>AI22*(c_MI2+c_PT_2)</f>
        <v>32.019659652134166</v>
      </c>
      <c r="CS22">
        <f>AJ22*(c_Stroke1+c_Stroke2+c_MI2+c_PT_2)</f>
        <v>1.4733002983858878</v>
      </c>
      <c r="CT22">
        <f>AK22*(c_Stroke2+c_MI1+c_MI2+c_PT_2)</f>
        <v>1.5764312218063659</v>
      </c>
      <c r="CU22">
        <f>AL22*(c_Stroke2+c_MI2+c_PT_2)</f>
        <v>1.962929695308776</v>
      </c>
      <c r="CV22">
        <f>AM22*(c_HF1+c_PT_2)</f>
        <v>15.279936432702458</v>
      </c>
      <c r="CW22">
        <f>AN22*(c_HF2+c_PT_2)</f>
        <v>74.768892185534668</v>
      </c>
      <c r="CX22">
        <f>AO22*(c_Stroke2+c_HF1+c_PT_2)</f>
        <v>0.588632765137172</v>
      </c>
      <c r="CY22">
        <f>AP22*(c_Stroke1+c_Stroke2+c_HF2+c_PT_2)</f>
        <v>1.1550856729383001</v>
      </c>
      <c r="CZ22">
        <f>AQ22*(c_Stroke2+c_HF2+c_PT_2)</f>
        <v>2.5069884089726964</v>
      </c>
      <c r="DA22">
        <f>AR22*(c_DM+c_PT_2)</f>
        <v>4423.0443393881014</v>
      </c>
      <c r="DB22">
        <f>AS22*(c_Other+c_DM+c_PT_2)</f>
        <v>1586.7026083409698</v>
      </c>
      <c r="DC22">
        <f>AT22*(c_Stroke1+c_Stroke2+c_DM+c_PT_2)</f>
        <v>168.75830100330705</v>
      </c>
      <c r="DD22">
        <f>AU22*(c_Stroke2+c_DM+c_PT_2)</f>
        <v>337.65967936777304</v>
      </c>
      <c r="DE22">
        <f>AV22*(c_MI1+c_MI2+c_DM+c_PT_2)</f>
        <v>109.94649015720714</v>
      </c>
      <c r="DF22">
        <f>AW22*(c_MI2+c_DM+c_PT_2)</f>
        <v>200.25587559584122</v>
      </c>
      <c r="DG22">
        <f>AX22*(c_Stroke1+c_Stroke2+c_MI2+c_DM+c_PT_2)</f>
        <v>6.2447914471653654</v>
      </c>
      <c r="DH22">
        <f>AY22*(c_Stroke2+c_MI1+c_MI2+c_DM+c_PT_2)</f>
        <v>6.3241649724952804</v>
      </c>
      <c r="DI22">
        <f>AZ22*(c_Stroke2+c_MI2+c_DM+c_PT_2)</f>
        <v>11.130898018687901</v>
      </c>
      <c r="DJ22">
        <f>BA22*(c_HF1+c_DM+c_PT_2)</f>
        <v>40.551884938935224</v>
      </c>
      <c r="DK22">
        <f>BB22*(c_HF2+c_DM+c_PT_2)</f>
        <v>212.02253362156077</v>
      </c>
      <c r="DL22">
        <f>BC22*(c_Stroke2+c_HF1+c_DM+c_PT_2)</f>
        <v>2.3081612840510219</v>
      </c>
      <c r="DM22">
        <f>BD22*(c_Stroke1+c_Stroke2+c_HF2+c_DM+c_PT_2)</f>
        <v>4.2474127647985274</v>
      </c>
      <c r="DN22">
        <f>BE22*(c_Stroke2+c_HF2+c_DM+c_PT_2)</f>
        <v>9.8701028968892768</v>
      </c>
      <c r="DO22">
        <f t="shared" si="5"/>
        <v>0</v>
      </c>
      <c r="DP22">
        <f t="shared" si="38"/>
        <v>8433.194323204747</v>
      </c>
      <c r="DQ22">
        <f>DP22/(1+r_)^A22</f>
        <v>4809.3328839133164</v>
      </c>
    </row>
    <row r="23" spans="1:121" x14ac:dyDescent="0.3">
      <c r="A23">
        <v>20</v>
      </c>
      <c r="B23">
        <v>65</v>
      </c>
      <c r="C23">
        <f t="shared" si="39"/>
        <v>34.542000000000002</v>
      </c>
      <c r="D23">
        <f t="shared" si="1"/>
        <v>125</v>
      </c>
      <c r="E23">
        <f t="shared" si="40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0"/>
        <v>4.0096398347168494E-2</v>
      </c>
      <c r="J23">
        <f t="shared" si="21"/>
        <v>0.19735930534200297</v>
      </c>
      <c r="K23">
        <f t="shared" si="22"/>
        <v>0.26500780372506116</v>
      </c>
      <c r="L23">
        <f t="shared" si="23"/>
        <v>9.8843053871052078E-2</v>
      </c>
      <c r="M23">
        <f t="shared" si="24"/>
        <v>0.13563256215722419</v>
      </c>
      <c r="N23">
        <f t="shared" si="25"/>
        <v>0.42201762747588156</v>
      </c>
      <c r="O23">
        <f t="shared" si="26"/>
        <v>0.53911989839006447</v>
      </c>
      <c r="P23">
        <f t="shared" si="27"/>
        <v>0.23636091244036928</v>
      </c>
      <c r="Q23">
        <f t="shared" si="28"/>
        <v>0.31684027759746924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1.6017435780849992E-2</v>
      </c>
      <c r="U23">
        <f t="shared" si="29"/>
        <v>0.38026126532922555</v>
      </c>
      <c r="V23">
        <f t="shared" si="30"/>
        <v>0.48832995635484866</v>
      </c>
      <c r="W23">
        <f t="shared" si="31"/>
        <v>0.20268155561171086</v>
      </c>
      <c r="X23">
        <f t="shared" si="32"/>
        <v>0.27182427290334554</v>
      </c>
      <c r="Y23">
        <f t="shared" si="33"/>
        <v>0.60657558576298376</v>
      </c>
      <c r="Z23">
        <f t="shared" si="34"/>
        <v>0.73236462591284135</v>
      </c>
      <c r="AA23">
        <f t="shared" si="35"/>
        <v>0.36800113925580258</v>
      </c>
      <c r="AB23">
        <f t="shared" si="36"/>
        <v>0.47710518778885314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2.8905817724870574E-2</v>
      </c>
      <c r="AD23">
        <f t="shared" si="37"/>
        <v>0.29615826050624983</v>
      </c>
      <c r="AE23">
        <f t="shared" si="6"/>
        <v>3.4532443202142646E-2</v>
      </c>
      <c r="AF23">
        <f t="shared" si="7"/>
        <v>2.4052449455672243E-3</v>
      </c>
      <c r="AG23">
        <f t="shared" si="8"/>
        <v>1.0002649296528689E-2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1.308514238296679E-3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6.9835217450774168E-3</v>
      </c>
      <c r="AJ23">
        <f t="shared" si="11"/>
        <v>5.4781282329200318E-5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4.4895360465715134E-5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1.8877241813158521E-4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5.3289885595862241E-4</v>
      </c>
      <c r="AN23">
        <f t="shared" si="15"/>
        <v>4.6147875861014568E-3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1.7875551863660914E-5</v>
      </c>
      <c r="AP23">
        <f>AM22*T22*p_Stroke*p_Stroke_rec*(1-I22) + AN22*T22*p_Stroke*p_Stroke_rec*(1-I22) + AO22*(p_recur_Stroke*p_Stroke_rec)*(1-I22) + AP22*(p_recur_Stroke*p_Stroke_rec)*(1-I22) + AQ22*(p_recur_Stroke*p_Stroke_rec)*(1-I22)</f>
        <v>3.1432470978917277E-5</v>
      </c>
      <c r="AQ23">
        <f>AO22*(1-p_recur_Stroke-H22*rr_Stroke*rr_HF)*(1-I22) + AP22*(1-p_recur_Stroke-H22*rr_Stroke*rr_HF)*(1-I22) + AQ22*(1-p_recur_Stroke-H22*rr_Stroke*rr_HF)*(1-I22)</f>
        <v>1.194617894860594E-4</v>
      </c>
      <c r="AR23">
        <f>AR22*(1-AC22-H22*rr_DM) + AD22*(1-T22-H22)*I22</f>
        <v>0.34189911667852796</v>
      </c>
      <c r="AS23">
        <f>AR22*AC22*p_Other + AD22*T22*p_Other*I22 + AE22*(1-T22*p_Stroke-T22*p_MI-H22*rr_Other)*I22 + AS22*(1-AC22*p_Stroke-AC22*p_MI-H22*rr_Other*rr_DM)</f>
        <v>6.3075069144120047E-2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4.9024315224956132E-3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1.8843653795017325E-2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2.7634447814207964E-3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1.3449902379457829E-2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1.7792965209629331E-4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1.4770741719551597E-4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5.6818147397452083E-4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1.0822700916953681E-3</v>
      </c>
      <c r="BB23">
        <f>AM22*(1-T22*p_Stroke - H22*rr_HF)*I22 + AN22*(1-T22*p_Stroke - H22*rr_HF)*I22 + BA22*(1-AC22*p_Stroke - H22*rr_HF*rr_DM) + BB22*(1-AC22*p_Stroke - H22*rr_HF*rr_DM)</f>
        <v>8.4142082313460737E-3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5.6801404739210829E-5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9.6856270145688136E-5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3.4076422133206467E-4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0.12918612368725796</v>
      </c>
      <c r="BG23">
        <f t="shared" si="17"/>
        <v>0.94199999999999995</v>
      </c>
      <c r="BH23">
        <f>(0.9442 - 0.0007*$B23 - dis_BMI*($C23-21.75))*AD23</f>
        <v>0.2536555223712601</v>
      </c>
      <c r="BI23">
        <f>0.959*(0.9442 - 0.0007*$B23 - dis_BMI*($C23-21.75))*AE23</f>
        <v>2.8363928674989915E-2</v>
      </c>
      <c r="BJ23">
        <f>(0.943*(0.9442 - 0.0007*$B23 - dis_BMI*($C23-21.75)) - 0.19*0.5)*AF23</f>
        <v>1.7141379183989989E-3</v>
      </c>
      <c r="BK23">
        <f>(0.943*(0.9442 - 0.0007*$B23 - dis_BMI*($C23-21.75)))*AG23</f>
        <v>8.0788065005189449E-3</v>
      </c>
      <c r="BL23">
        <f>(0.955*(0.9442 - 0.0007*$B23 - dis_BMI*($C23-21.75)) - 0.15*0.5)*AH23</f>
        <v>9.721534722163781E-4</v>
      </c>
      <c r="BM23">
        <f>(0.955*(0.9442 - 0.0007*$B23 - dis_BMI*($C23-21.75)))*AI23</f>
        <v>5.7121332858187362E-3</v>
      </c>
      <c r="BN23">
        <f>(0.955*0.943*(0.9442 - 0.0007*$B23 - dis_BMI*($C23-21.75)) - 0.19*0.5)*AJ23</f>
        <v>3.7049768613452904E-5</v>
      </c>
      <c r="BO23">
        <f>(0.955*0.943*(0.9442 - 0.0007*$B23 - dis_BMI*($C23-21.75)) - 0.15*0.5)*AK23</f>
        <v>3.1261612590954801E-5</v>
      </c>
      <c r="BP23">
        <f>(0.955*0.943*(0.9442 - 0.0007*$B23 - dis_BMI*($C23-21.75)))*AL23</f>
        <v>1.4560425771232056E-4</v>
      </c>
      <c r="BQ23">
        <f>(0.93*(0.9442 - 0.0007*$B23 - dis_BMI*($C23-21.75)))*AM23</f>
        <v>4.2447117911483082E-4</v>
      </c>
      <c r="BR23">
        <f>(0.93*(0.9442 - 0.0007*$B23 - dis_BMI*($C23-21.75)))*AN23</f>
        <v>3.6758276099377969E-3</v>
      </c>
      <c r="BS23">
        <f>(0.93*0.943*(0.9442 - 0.0007*$B23 - dis_BMI*($C23-21.75)))*AO23</f>
        <v>1.3426863413212005E-5</v>
      </c>
      <c r="BT23">
        <f>(0.93*0.943*(0.9442 - 0.0007*$B23 - dis_BMI*($C23-21.75))-0.19*0.5)*AP23</f>
        <v>2.062378743284509E-5</v>
      </c>
      <c r="BU23">
        <f>(0.93*0.943*(0.9442 - 0.0007*$B23 - dis_BMI*($C23-21.75)))*AQ23</f>
        <v>8.973133488471257E-5</v>
      </c>
      <c r="BV23">
        <f>0.962*(0.9442 - 0.0007*$B23 - dis_BMI*($C23-21.75))*AR23</f>
        <v>0.28170432975009985</v>
      </c>
      <c r="BW23">
        <f>0.962*0.959*(0.9442 - 0.0007*$B23 - dis_BMI*($C23-21.75))*AS23</f>
        <v>4.983929446662734E-2</v>
      </c>
      <c r="BX23">
        <f>0.962*(0.943*(0.9442 - 0.0007*$B23 - dis_BMI*($C23-21.75)) - 0.19*0.5)*AT23</f>
        <v>3.3610351897383831E-3</v>
      </c>
      <c r="BY23">
        <f>0.962*(0.943*(0.9442 - 0.0007*$B23 - dis_BMI*($C23-21.75)))*AU23</f>
        <v>1.4641054343290327E-2</v>
      </c>
      <c r="BZ23">
        <f>0.962*(0.955*(0.9442 - 0.0007*$B23 - dis_BMI*($C23-21.75)) - 0.15*0.5)*AV23</f>
        <v>1.9750688614578989E-3</v>
      </c>
      <c r="CA23">
        <f>0.962*(0.955*(0.9442 - 0.0007*$B23 - dis_BMI*($C23-21.75)))*AW23</f>
        <v>1.0583225432361169E-2</v>
      </c>
      <c r="CB23">
        <f>0.962*(0.955*0.943*(0.9442 - 0.0007*$B23 - dis_BMI*($C23-21.75)) - 0.19*0.5)*AX23</f>
        <v>1.1576484845359595E-4</v>
      </c>
      <c r="CC23">
        <f>0.962*(0.955*0.943*(0.9442 - 0.0007*$B23 - dis_BMI*($C23-21.75)) - 0.15*0.5)*AY23</f>
        <v>9.8943504831602877E-5</v>
      </c>
      <c r="CD23">
        <f>0.962*(0.955*0.943*(0.9442 - 0.0007*$B23 - dis_BMI*($C23-21.75)))*AZ23</f>
        <v>4.2159716003344375E-4</v>
      </c>
      <c r="CE23">
        <f>0.962*(0.93*(0.9442 - 0.0007*$B23 - dis_BMI*($C23-21.75)))*BA23</f>
        <v>8.2930474225514743E-4</v>
      </c>
      <c r="CF23">
        <f>0.962*(0.93*(0.9442 - 0.0007*$B23 - dis_BMI*($C23-21.75)))*BB23</f>
        <v>6.4475058879680386E-3</v>
      </c>
      <c r="CG23">
        <f>0.962*(0.93*0.943*(0.9442 - 0.0007*$B23 - dis_BMI*($C23-21.75)))*BC23</f>
        <v>4.104396048802289E-5</v>
      </c>
      <c r="CH23">
        <f>0.962*(0.93*0.943*(0.9442 - 0.0007*$B23 - dis_BMI*($C23-21.75))-0.19*0.5)*BD23</f>
        <v>6.1135393697966755E-5</v>
      </c>
      <c r="CI23">
        <f>0.962*(0.93*0.943*(0.9442 - 0.0007*$B23 - dis_BMI*($C23-21.75)))*BE23</f>
        <v>2.4623181944706724E-4</v>
      </c>
      <c r="CJ23">
        <f t="shared" si="18"/>
        <v>0</v>
      </c>
      <c r="CK23">
        <f t="shared" si="19"/>
        <v>0.67330021399765305</v>
      </c>
      <c r="CL23">
        <f>CK23/(1+r_)^A23</f>
        <v>0.37279000377897126</v>
      </c>
      <c r="CM23">
        <f>AD23*c_PT_2</f>
        <v>433.87185164165601</v>
      </c>
      <c r="CN23">
        <f>AE23*(c_Other+c_PT_2)</f>
        <v>543.67878577453382</v>
      </c>
      <c r="CO23">
        <f>AF23*(c_Stroke1+c_Stroke2+c_PT_2)</f>
        <v>60.806997468885001</v>
      </c>
      <c r="CP23">
        <f>AG23*(c_Stroke2 + c_PT_2)</f>
        <v>79.671101646851014</v>
      </c>
      <c r="CQ23">
        <f>AH23*(c_MI1+c_MI2 + c_PT_2)</f>
        <v>40.061471919691122</v>
      </c>
      <c r="CR23">
        <f>AI23*(c_MI2+c_PT_2)</f>
        <v>31.998496635944722</v>
      </c>
      <c r="CS23">
        <f>AJ23*(c_Stroke1+c_Stroke2+c_MI2+c_PT_2)</f>
        <v>1.5556788555846306</v>
      </c>
      <c r="CT23">
        <f>AK23*(c_Stroke2+c_MI1+c_MI2+c_PT_2)</f>
        <v>1.666336199045483</v>
      </c>
      <c r="CU23">
        <f>AL23*(c_Stroke2+c_MI2+c_PT_2)</f>
        <v>2.0919759377342273</v>
      </c>
      <c r="CV23">
        <f>AM23*(c_HF1+c_PT_2)</f>
        <v>15.184952900540946</v>
      </c>
      <c r="CW23">
        <f>AN23*(c_HF2+c_PT_2)</f>
        <v>78.774424094751865</v>
      </c>
      <c r="CX23">
        <f>AO23*(c_Stroke2+c_HF1+c_PT_2)</f>
        <v>0.62555493746881363</v>
      </c>
      <c r="CY23">
        <f>AP23*(c_Stroke1+c_Stroke2+c_HF2+c_PT_2)</f>
        <v>1.2851480084440119</v>
      </c>
      <c r="CZ23">
        <f>AQ23*(c_Stroke2+c_HF2+c_PT_2)</f>
        <v>2.8157143781864202</v>
      </c>
      <c r="DA23">
        <f>AR23*(c_DM+c_PT_2)</f>
        <v>4407.079613986225</v>
      </c>
      <c r="DB23">
        <f>AS23*(c_Other+c_DM+c_PT_2)</f>
        <v>1713.6865535765976</v>
      </c>
      <c r="DC23">
        <f>AT23*(c_Stroke1+c_Stroke2+c_DM+c_PT_2)</f>
        <v>179.94865146472398</v>
      </c>
      <c r="DD23">
        <f>AU23*(c_Stroke2+c_DM+c_PT_2)</f>
        <v>365.37844708538591</v>
      </c>
      <c r="DE23">
        <f>AV23*(c_MI1+c_MI2+c_DM+c_PT_2)</f>
        <v>116.17798205571171</v>
      </c>
      <c r="DF23">
        <f>AW23*(c_MI2+c_DM+c_PT_2)</f>
        <v>215.29258738798148</v>
      </c>
      <c r="DG23">
        <f>AX23*(c_Stroke1+c_Stroke2+c_MI2+c_DM+c_PT_2)</f>
        <v>7.085692535430689</v>
      </c>
      <c r="DH23">
        <f>AY23*(c_Stroke2+c_MI1+c_MI2+c_DM+c_PT_2)</f>
        <v>7.169865738087541</v>
      </c>
      <c r="DI23">
        <f>AZ23*(c_Stroke2+c_MI2+c_DM+c_PT_2)</f>
        <v>12.788060434744541</v>
      </c>
      <c r="DJ23">
        <f>BA23*(c_HF1+c_DM+c_PT_2)</f>
        <v>43.204222060479097</v>
      </c>
      <c r="DK23">
        <f>BB23*(c_HF2+c_DM+c_PT_2)</f>
        <v>239.76286355220637</v>
      </c>
      <c r="DL23">
        <f>BC23*(c_Stroke2+c_HF1+c_DM+c_PT_2)</f>
        <v>2.6367212079941669</v>
      </c>
      <c r="DM23">
        <f>BD23*(c_Stroke1+c_Stroke2+c_HF2+c_DM+c_PT_2)</f>
        <v>5.0666483475910917</v>
      </c>
      <c r="DN23">
        <f>BE23*(c_Stroke2+c_HF2+c_DM+c_PT_2)</f>
        <v>11.925043925515602</v>
      </c>
      <c r="DO23">
        <f t="shared" si="5"/>
        <v>0</v>
      </c>
      <c r="DP23">
        <f t="shared" si="38"/>
        <v>8621.2914437579948</v>
      </c>
      <c r="DQ23">
        <f>DP23/(1+r_)^A23</f>
        <v>4773.4000421829041</v>
      </c>
    </row>
    <row r="24" spans="1:121" x14ac:dyDescent="0.3">
      <c r="A24">
        <v>21</v>
      </c>
      <c r="B24">
        <v>66</v>
      </c>
      <c r="C24">
        <f t="shared" si="39"/>
        <v>34.542000000000002</v>
      </c>
      <c r="D24">
        <f t="shared" si="1"/>
        <v>125</v>
      </c>
      <c r="E24">
        <f t="shared" si="40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20"/>
        <v>4.0096398347168494E-2</v>
      </c>
      <c r="J24">
        <f t="shared" si="21"/>
        <v>0.20480970664268638</v>
      </c>
      <c r="K24">
        <f t="shared" si="22"/>
        <v>0.27454481196956004</v>
      </c>
      <c r="L24">
        <f t="shared" si="23"/>
        <v>0.10281269542321858</v>
      </c>
      <c r="M24">
        <f t="shared" si="24"/>
        <v>0.14096033995559165</v>
      </c>
      <c r="N24">
        <f t="shared" si="25"/>
        <v>0.43723673358766824</v>
      </c>
      <c r="O24">
        <f t="shared" si="26"/>
        <v>0.55617369476340128</v>
      </c>
      <c r="P24">
        <f t="shared" si="27"/>
        <v>0.24631875383565394</v>
      </c>
      <c r="Q24">
        <f t="shared" si="28"/>
        <v>0.32939375549470007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1.6639412988746098E-2</v>
      </c>
      <c r="U24">
        <f t="shared" si="29"/>
        <v>0.39271246918751634</v>
      </c>
      <c r="V24">
        <f t="shared" si="30"/>
        <v>0.5026688380420552</v>
      </c>
      <c r="W24">
        <f t="shared" si="31"/>
        <v>0.21030544748095759</v>
      </c>
      <c r="X24">
        <f t="shared" si="32"/>
        <v>0.28155684444749651</v>
      </c>
      <c r="Y24">
        <f t="shared" si="33"/>
        <v>0.62404046370287247</v>
      </c>
      <c r="Z24">
        <f t="shared" si="34"/>
        <v>0.74899689820028403</v>
      </c>
      <c r="AA24">
        <f t="shared" si="35"/>
        <v>0.38196065462643314</v>
      </c>
      <c r="AB24">
        <f t="shared" si="36"/>
        <v>0.49334994033538593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2.9904753637149246E-2</v>
      </c>
      <c r="AD24">
        <f t="shared" si="37"/>
        <v>0.27659538156373575</v>
      </c>
      <c r="AE24">
        <f t="shared" si="6"/>
        <v>3.4718885312367061E-2</v>
      </c>
      <c r="AF24">
        <f t="shared" si="7"/>
        <v>2.3907724104168379E-3</v>
      </c>
      <c r="AG24">
        <f t="shared" si="8"/>
        <v>1.0028122522654139E-2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1.2901674291388387E-3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6.9550188225811684E-3</v>
      </c>
      <c r="AJ24">
        <f t="shared" si="11"/>
        <v>5.7545151665432721E-5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4.7190397346066146E-5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1.9945897659495593E-4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5.2828698510131453E-4</v>
      </c>
      <c r="AN24">
        <f t="shared" si="15"/>
        <v>4.8239207174194257E-3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1.8881286572381894E-5</v>
      </c>
      <c r="AP24">
        <f>AM23*T23*p_Stroke*p_Stroke_rec*(1-I23) + AN23*T23*p_Stroke*p_Stroke_rec*(1-I23) + AO23*(p_recur_Stroke*p_Stroke_rec)*(1-I23) + AP23*(p_recur_Stroke*p_Stroke_rec)*(1-I23) + AQ23*(p_recur_Stroke*p_Stroke_rec)*(1-I23)</f>
        <v>3.4632541000278772E-5</v>
      </c>
      <c r="AQ24">
        <f>AO23*(1-p_recur_Stroke-H23*rr_Stroke*rr_HF)*(1-I23) + AP23*(1-p_recur_Stroke-H23*rr_Stroke*rr_HF)*(1-I23) + AQ23*(1-p_recur_Stroke-H23*rr_Stroke*rr_HF)*(1-I23)</f>
        <v>1.3238691256707883E-4</v>
      </c>
      <c r="AR24">
        <f>AR23*(1-AC23-H23*rr_DM) + AD23*(1-T23-H23)*I23</f>
        <v>0.33923473856549718</v>
      </c>
      <c r="AS24">
        <f>AR23*AC23*p_Other + AD23*T23*p_Other*I23 + AE23*(1-T23*p_Stroke-T23*p_MI-H23*rr_Other)*I23 + AS23*(1-AC23*p_Stroke-AC23*p_MI-H23*rr_Other*rr_DM)</f>
        <v>6.7620852753462274E-2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5.1984463091523311E-3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2.0221997850747561E-2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2.9060959748741328E-3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1.4367230451662617E-2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2.0024976981171901E-4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1.660308187225697E-4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6.4490280714382957E-4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1.1470899148564016E-3</v>
      </c>
      <c r="BB24">
        <f>AM23*(1-T23*p_Stroke - H23*rr_HF)*I23 + AN23*(1-T23*p_Stroke - H23*rr_HF)*I23 + BA23*(1-AC23*p_Stroke - H23*rr_HF*rr_DM) + BB23*(1-AC23*p_Stroke - H23*rr_HF*rr_DM)</f>
        <v>9.4156896488597243E-3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6.4298215206471906E-5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1.1411575732898978E-4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4.049079991422799E-4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0.14247270213437116</v>
      </c>
      <c r="BG24">
        <f t="shared" si="17"/>
        <v>0.94199999999999995</v>
      </c>
      <c r="BH24">
        <f>(0.9442 - 0.0007*$B24 - dis_BMI*($C24-21.75))*AD24</f>
        <v>0.23670656584505581</v>
      </c>
      <c r="BI24">
        <f>0.959*(0.9442 - 0.0007*$B24 - dis_BMI*($C24-21.75))*AE24</f>
        <v>2.8493759928670658E-2</v>
      </c>
      <c r="BJ24">
        <f>(0.943*(0.9442 - 0.0007*$B24 - dis_BMI*($C24-21.75)) - 0.19*0.5)*AF24</f>
        <v>1.7022456760235414E-3</v>
      </c>
      <c r="BK24">
        <f>(0.943*(0.9442 - 0.0007*$B24 - dis_BMI*($C24-21.75)))*AG24</f>
        <v>8.0927608126931012E-3</v>
      </c>
      <c r="BL24">
        <f>(0.955*(0.9442 - 0.0007*$B24 - dis_BMI*($C24-21.75)) - 0.15*0.5)*AH24</f>
        <v>9.5766033411346979E-4</v>
      </c>
      <c r="BM24">
        <f>(0.955*(0.9442 - 0.0007*$B24 - dis_BMI*($C24-21.75)))*AI24</f>
        <v>5.6841700467040726E-3</v>
      </c>
      <c r="BN24">
        <f>(0.955*0.943*(0.9442 - 0.0007*$B24 - dis_BMI*($C24-21.75)) - 0.19*0.5)*AJ24</f>
        <v>3.8882757147249484E-5</v>
      </c>
      <c r="BO24">
        <f>(0.955*0.943*(0.9442 - 0.0007*$B24 - dis_BMI*($C24-21.75)) - 0.15*0.5)*AK24</f>
        <v>3.2829947901115131E-5</v>
      </c>
      <c r="BP24">
        <f>(0.955*0.943*(0.9442 - 0.0007*$B24 - dis_BMI*($C24-21.75)))*AL24</f>
        <v>1.5372129384302668E-4</v>
      </c>
      <c r="BQ24">
        <f>(0.93*(0.9442 - 0.0007*$B24 - dis_BMI*($C24-21.75)))*AM24</f>
        <v>4.2045375994643813E-4</v>
      </c>
      <c r="BR24">
        <f>(0.93*(0.9442 - 0.0007*$B24 - dis_BMI*($C24-21.75)))*AN24</f>
        <v>3.839268542520583E-3</v>
      </c>
      <c r="BS24">
        <f>(0.93*0.943*(0.9442 - 0.0007*$B24 - dis_BMI*($C24-21.75)))*AO24</f>
        <v>1.4170709843297325E-5</v>
      </c>
      <c r="BT24">
        <f>(0.93*0.943*(0.9442 - 0.0007*$B24 - dis_BMI*($C24-21.75))-0.19*0.5)*AP24</f>
        <v>2.2702188726864476E-5</v>
      </c>
      <c r="BU24">
        <f>(0.93*0.943*(0.9442 - 0.0007*$B24 - dis_BMI*($C24-21.75)))*AQ24</f>
        <v>9.9358511288215941E-5</v>
      </c>
      <c r="BV24">
        <f>0.962*(0.9442 - 0.0007*$B24 - dis_BMI*($C24-21.75))*AR24</f>
        <v>0.27928060159637552</v>
      </c>
      <c r="BW24">
        <f>0.962*0.959*(0.9442 - 0.0007*$B24 - dis_BMI*($C24-21.75))*AS24</f>
        <v>5.3387514569103643E-2</v>
      </c>
      <c r="BX24">
        <f>0.962*(0.943*(0.9442 - 0.0007*$B24 - dis_BMI*($C24-21.75)) - 0.19*0.5)*AT24</f>
        <v>3.5606774907288876E-3</v>
      </c>
      <c r="BY24">
        <f>0.962*(0.943*(0.9442 - 0.0007*$B24 - dis_BMI*($C24-21.75)))*AU24</f>
        <v>1.5699152390522674E-2</v>
      </c>
      <c r="BZ24">
        <f>0.962*(0.955*(0.9442 - 0.0007*$B24 - dis_BMI*($C24-21.75)) - 0.15*0.5)*AV24</f>
        <v>2.0751545681515081E-3</v>
      </c>
      <c r="CA24">
        <f>0.962*(0.955*(0.9442 - 0.0007*$B24 - dis_BMI*($C24-21.75)))*AW24</f>
        <v>1.129579708035303E-2</v>
      </c>
      <c r="CB24">
        <f>0.962*(0.955*0.943*(0.9442 - 0.0007*$B24 - dis_BMI*($C24-21.75)) - 0.19*0.5)*AX24</f>
        <v>1.3016535626723597E-4</v>
      </c>
      <c r="CC24">
        <f>0.962*(0.955*0.943*(0.9442 - 0.0007*$B24 - dis_BMI*($C24-21.75)) - 0.15*0.5)*AY24</f>
        <v>1.1111695736103388E-4</v>
      </c>
      <c r="CD24">
        <f>0.962*(0.955*0.943*(0.9442 - 0.0007*$B24 - dis_BMI*($C24-21.75)))*AZ24</f>
        <v>4.7813417263221561E-4</v>
      </c>
      <c r="CE24">
        <f>0.962*(0.93*(0.9442 - 0.0007*$B24 - dis_BMI*($C24-21.75)))*BA24</f>
        <v>8.7825546835402168E-4</v>
      </c>
      <c r="CF24">
        <f>0.962*(0.93*(0.9442 - 0.0007*$B24 - dis_BMI*($C24-21.75)))*BB24</f>
        <v>7.2090084790525019E-3</v>
      </c>
      <c r="CG24">
        <f>0.962*(0.93*0.943*(0.9442 - 0.0007*$B24 - dis_BMI*($C24-21.75)))*BC24</f>
        <v>4.6423086500465088E-5</v>
      </c>
      <c r="CH24">
        <f>0.962*(0.93*0.943*(0.9442 - 0.0007*$B24 - dis_BMI*($C24-21.75))-0.19*0.5)*BD24</f>
        <v>7.1962138617182158E-5</v>
      </c>
      <c r="CI24">
        <f>0.962*(0.93*0.943*(0.9442 - 0.0007*$B24 - dis_BMI*($C24-21.75)))*BE24</f>
        <v>2.9234215924270779E-4</v>
      </c>
      <c r="CJ24">
        <f t="shared" si="18"/>
        <v>0</v>
      </c>
      <c r="CK24">
        <f t="shared" si="19"/>
        <v>0.66077485586773999</v>
      </c>
      <c r="CL24">
        <f>CK24/(1+r_)^A24</f>
        <v>0.35519904531061919</v>
      </c>
      <c r="CM24">
        <f>AD24*c_PT_2</f>
        <v>405.2122339908729</v>
      </c>
      <c r="CN24">
        <f>AE24*(c_Other+c_PT_2)</f>
        <v>546.61413035790702</v>
      </c>
      <c r="CO24">
        <f>AF24*(c_Stroke1+c_Stroke2+c_PT_2)</f>
        <v>60.44111730774808</v>
      </c>
      <c r="CP24">
        <f>AG24*(c_Stroke2 + c_PT_2)</f>
        <v>79.873995892940215</v>
      </c>
      <c r="CQ24">
        <f>AH24*(c_MI1+c_MI2 + c_PT_2)</f>
        <v>39.499766010514684</v>
      </c>
      <c r="CR24">
        <f>AI24*(c_MI2+c_PT_2)</f>
        <v>31.867896245066913</v>
      </c>
      <c r="CS24">
        <f>AJ24*(c_Stroke1+c_Stroke2+c_MI2+c_PT_2)</f>
        <v>1.6341672169949584</v>
      </c>
      <c r="CT24">
        <f>AK24*(c_Stroke2+c_MI1+c_MI2+c_PT_2)</f>
        <v>1.751518787896591</v>
      </c>
      <c r="CU24">
        <f>AL24*(c_Stroke2+c_MI2+c_PT_2)</f>
        <v>2.2104043786253018</v>
      </c>
      <c r="CV24">
        <f>AM24*(c_HF1+c_PT_2)</f>
        <v>15.053537640461958</v>
      </c>
      <c r="CW24">
        <f>AN24*(c_HF2+c_PT_2)</f>
        <v>82.3443266463496</v>
      </c>
      <c r="CX24">
        <f>AO24*(c_Stroke2+c_HF1+c_PT_2)</f>
        <v>0.66075062360050441</v>
      </c>
      <c r="CY24">
        <f>AP24*(c_Stroke1+c_Stroke2+c_HF2+c_PT_2)</f>
        <v>1.415986071337398</v>
      </c>
      <c r="CZ24">
        <f>AQ24*(c_Stroke2+c_HF2+c_PT_2)</f>
        <v>3.120359529206048</v>
      </c>
      <c r="DA24">
        <f>AR24*(c_DM+c_PT_2)</f>
        <v>4372.7357801092585</v>
      </c>
      <c r="DB24">
        <f>AS24*(c_Other+c_DM+c_PT_2)</f>
        <v>1837.1909484588166</v>
      </c>
      <c r="DC24">
        <f>AT24*(c_Stroke1+c_Stroke2+c_DM+c_PT_2)</f>
        <v>190.81417022374546</v>
      </c>
      <c r="DD24">
        <f>AU24*(c_Stroke2+c_DM+c_PT_2)</f>
        <v>392.10453832599524</v>
      </c>
      <c r="DE24">
        <f>AV24*(c_MI1+c_MI2+c_DM+c_PT_2)</f>
        <v>122.17518087968342</v>
      </c>
      <c r="DF24">
        <f>AW24*(c_MI2+c_DM+c_PT_2)</f>
        <v>229.97625783976352</v>
      </c>
      <c r="DG24">
        <f>AX24*(c_Stroke1+c_Stroke2+c_MI2+c_DM+c_PT_2)</f>
        <v>7.9745465832120859</v>
      </c>
      <c r="DH24">
        <f>AY24*(c_Stroke2+c_MI1+c_MI2+c_DM+c_PT_2)</f>
        <v>8.0593019716122551</v>
      </c>
      <c r="DI24">
        <f>AZ24*(c_Stroke2+c_MI2+c_DM+c_PT_2)</f>
        <v>14.514827480386172</v>
      </c>
      <c r="DJ24">
        <f>BA24*(c_HF1+c_DM+c_PT_2)</f>
        <v>45.791829401067552</v>
      </c>
      <c r="DK24">
        <f>BB24*(c_HF2+c_DM+c_PT_2)</f>
        <v>268.30007654425782</v>
      </c>
      <c r="DL24">
        <f>BC24*(c_Stroke2+c_HF1+c_DM+c_PT_2)</f>
        <v>2.984723149884426</v>
      </c>
      <c r="DM24">
        <f>BD24*(c_Stroke1+c_Stroke2+c_HF2+c_DM+c_PT_2)</f>
        <v>5.9695093816367839</v>
      </c>
      <c r="DN24">
        <f>BE24*(c_Stroke2+c_HF2+c_DM+c_PT_2)</f>
        <v>14.169755429984086</v>
      </c>
      <c r="DO24">
        <f t="shared" si="5"/>
        <v>0</v>
      </c>
      <c r="DP24">
        <f t="shared" si="38"/>
        <v>8784.4616364788271</v>
      </c>
      <c r="DQ24">
        <f>DP24/(1+r_)^A24</f>
        <v>4722.0809919401372</v>
      </c>
    </row>
    <row r="25" spans="1:121" x14ac:dyDescent="0.3">
      <c r="A25">
        <v>22</v>
      </c>
      <c r="B25">
        <v>67</v>
      </c>
      <c r="C25">
        <f t="shared" si="39"/>
        <v>34.542000000000002</v>
      </c>
      <c r="D25">
        <f t="shared" si="1"/>
        <v>125</v>
      </c>
      <c r="E25">
        <f t="shared" si="40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20"/>
        <v>4.0096398347168494E-2</v>
      </c>
      <c r="J25">
        <f t="shared" si="21"/>
        <v>0.21238503080673277</v>
      </c>
      <c r="K25">
        <f t="shared" si="22"/>
        <v>0.28420510579653857</v>
      </c>
      <c r="L25">
        <f t="shared" si="23"/>
        <v>0.10686902979699797</v>
      </c>
      <c r="M25">
        <f t="shared" si="24"/>
        <v>0.14639472698578604</v>
      </c>
      <c r="N25">
        <f t="shared" si="25"/>
        <v>0.45253057591414148</v>
      </c>
      <c r="O25">
        <f t="shared" si="26"/>
        <v>0.57312040740721559</v>
      </c>
      <c r="P25">
        <f t="shared" si="27"/>
        <v>0.25646431834919525</v>
      </c>
      <c r="Q25">
        <f t="shared" si="28"/>
        <v>0.34211362821780433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1.727171451165533E-2</v>
      </c>
      <c r="U25">
        <f t="shared" si="29"/>
        <v>0.40523252047757108</v>
      </c>
      <c r="V25">
        <f t="shared" si="30"/>
        <v>0.5169687629032903</v>
      </c>
      <c r="W25">
        <f t="shared" si="31"/>
        <v>0.21805495504855654</v>
      </c>
      <c r="X25">
        <f t="shared" si="32"/>
        <v>0.29141128278508388</v>
      </c>
      <c r="Y25">
        <f t="shared" si="33"/>
        <v>0.6412603791362721</v>
      </c>
      <c r="Z25">
        <f t="shared" si="34"/>
        <v>0.7650864075680297</v>
      </c>
      <c r="AA25">
        <f t="shared" si="35"/>
        <v>0.39605084795312218</v>
      </c>
      <c r="AB25">
        <f t="shared" si="36"/>
        <v>0.50959379434241969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3.0911648327820503E-2</v>
      </c>
      <c r="AD25">
        <f t="shared" si="37"/>
        <v>0.25794932028939793</v>
      </c>
      <c r="AE25">
        <f t="shared" si="6"/>
        <v>3.4758729808531827E-2</v>
      </c>
      <c r="AF25">
        <f t="shared" si="7"/>
        <v>2.3682284140998499E-3</v>
      </c>
      <c r="AG25">
        <f t="shared" si="8"/>
        <v>1.000583059617695E-2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1.2690343924997671E-3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6.904686981381347E-3</v>
      </c>
      <c r="AJ25">
        <f t="shared" si="11"/>
        <v>6.0102972307116508E-5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4.9296173717808405E-5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2.0920308880797625E-4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5.2228121867150699E-4</v>
      </c>
      <c r="AN25">
        <f t="shared" si="15"/>
        <v>5.007438028568522E-3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1.9809347781981537E-5</v>
      </c>
      <c r="AP25">
        <f>AM24*T24*p_Stroke*p_Stroke_rec*(1-I24) + AN24*T24*p_Stroke*p_Stroke_rec*(1-I24) + AO24*(p_recur_Stroke*p_Stroke_rec)*(1-I24) + AP24*(p_recur_Stroke*p_Stroke_rec)*(1-I24) + AQ24*(p_recur_Stroke*p_Stroke_rec)*(1-I24)</f>
        <v>3.7789512518757184E-5</v>
      </c>
      <c r="AQ25">
        <f>AO24*(1-p_recur_Stroke-H24*rr_Stroke*rr_HF)*(1-I24) + AP24*(1-p_recur_Stroke-H24*rr_Stroke*rr_HF)*(1-I24) + AQ24*(1-p_recur_Stroke-H24*rr_Stroke*rr_HF)*(1-I24)</f>
        <v>1.4501970567828239E-4</v>
      </c>
      <c r="AR25">
        <f>AR24*(1-AC24-H24*rr_DM) + AD24*(1-T24-H24)*I24</f>
        <v>0.33525444199250998</v>
      </c>
      <c r="AS25">
        <f>AR24*AC24*p_Other + AD24*T24*p_Other*I24 + AE24*(1-T24*p_Stroke-T24*p_MI-H24*rr_Other)*I24 + AS24*(1-AC24*p_Stroke-AC24*p_MI-H24*rr_Other*rr_DM)</f>
        <v>7.1996260258559305E-2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5.479860431199717E-3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2.1539347403196407E-2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3.0410901894159159E-3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1.5256594429808683E-2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2.2344817201462596E-4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1.8494667005925443E-4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7.243415932940687E-4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1.2093495216792729E-3</v>
      </c>
      <c r="BB25">
        <f>AM24*(1-T24*p_Stroke - H24*rr_HF)*I24 + AN24*(1-T24*p_Stroke - H24*rr_HF)*I24 + BA24*(1-AC24*p_Stroke - H24*rr_HF*rr_DM) + BB24*(1-AC24*p_Stroke - H24*rr_HF*rr_DM)</f>
        <v>1.0438023722134215E-2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7.2083920551224706E-5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1.3281690286724669E-4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4.7421975025477325E-4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0.1566664045123157</v>
      </c>
      <c r="BG25">
        <f t="shared" si="17"/>
        <v>0.94199999999999995</v>
      </c>
      <c r="BH25">
        <f>(0.9442 - 0.0007*$B25 - dis_BMI*($C25-21.75))*AD25</f>
        <v>0.22056895566870824</v>
      </c>
      <c r="BI25">
        <f>0.959*(0.9442 - 0.0007*$B25 - dis_BMI*($C25-21.75))*AE25</f>
        <v>2.8503126737787612E-2</v>
      </c>
      <c r="BJ25">
        <f>(0.943*(0.9442 - 0.0007*$B25 - dis_BMI*($C25-21.75)) - 0.19*0.5)*AF25</f>
        <v>1.6846309348384143E-3</v>
      </c>
      <c r="BK25">
        <f>(0.943*(0.9442 - 0.0007*$B25 - dis_BMI*($C25-21.75)))*AG25</f>
        <v>8.0681662326755992E-3</v>
      </c>
      <c r="BL25">
        <f>(0.955*(0.9442 - 0.0007*$B25 - dis_BMI*($C25-21.75)) - 0.15*0.5)*AH25</f>
        <v>9.4112543846418381E-4</v>
      </c>
      <c r="BM25">
        <f>(0.955*(0.9442 - 0.0007*$B25 - dis_BMI*($C25-21.75)))*AI25</f>
        <v>5.6384192570046125E-3</v>
      </c>
      <c r="BN25">
        <f>(0.955*0.943*(0.9442 - 0.0007*$B25 - dis_BMI*($C25-21.75)) - 0.19*0.5)*AJ25</f>
        <v>4.0573165605610645E-5</v>
      </c>
      <c r="BO25">
        <f>(0.955*0.943*(0.9442 - 0.0007*$B25 - dis_BMI*($C25-21.75)) - 0.15*0.5)*AK25</f>
        <v>3.4263842073046987E-5</v>
      </c>
      <c r="BP25">
        <f>(0.955*0.943*(0.9442 - 0.0007*$B25 - dis_BMI*($C25-21.75)))*AL25</f>
        <v>1.6109911546450734E-4</v>
      </c>
      <c r="BQ25">
        <f>(0.93*(0.9442 - 0.0007*$B25 - dis_BMI*($C25-21.75)))*AM25</f>
        <v>4.1533387736713152E-4</v>
      </c>
      <c r="BR25">
        <f>(0.93*(0.9442 - 0.0007*$B25 - dis_BMI*($C25-21.75)))*AN25</f>
        <v>3.9820667060767321E-3</v>
      </c>
      <c r="BS25">
        <f>(0.93*0.943*(0.9442 - 0.0007*$B25 - dis_BMI*($C25-21.75)))*AO25</f>
        <v>1.4855073916810929E-5</v>
      </c>
      <c r="BT25">
        <f>(0.93*0.943*(0.9442 - 0.0007*$B25 - dis_BMI*($C25-21.75))-0.19*0.5)*AP25</f>
        <v>2.4748435714412373E-5</v>
      </c>
      <c r="BU25">
        <f>(0.93*0.943*(0.9442 - 0.0007*$B25 - dis_BMI*($C25-21.75)))*AQ25</f>
        <v>1.0875059951264873E-4</v>
      </c>
      <c r="BV25">
        <f>0.962*(0.9442 - 0.0007*$B25 - dis_BMI*($C25-21.75))*AR25</f>
        <v>0.2757779963596636</v>
      </c>
      <c r="BW25">
        <f>0.962*0.959*(0.9442 - 0.0007*$B25 - dis_BMI*($C25-21.75))*AS25</f>
        <v>5.6795459370946946E-2</v>
      </c>
      <c r="BX25">
        <f>0.962*(0.943*(0.9442 - 0.0007*$B25 - dis_BMI*($C25-21.75)) - 0.19*0.5)*AT25</f>
        <v>3.7499523850336399E-3</v>
      </c>
      <c r="BY25">
        <f>0.962*(0.943*(0.9442 - 0.0007*$B25 - dis_BMI*($C25-21.75)))*AU25</f>
        <v>1.670818613612202E-2</v>
      </c>
      <c r="BZ25">
        <f>0.962*(0.955*(0.9442 - 0.0007*$B25 - dis_BMI*($C25-21.75)) - 0.15*0.5)*AV25</f>
        <v>2.1695941066330131E-3</v>
      </c>
      <c r="CA25">
        <f>0.962*(0.955*(0.9442 - 0.0007*$B25 - dis_BMI*($C25-21.75)))*AW25</f>
        <v>1.1985220933400202E-2</v>
      </c>
      <c r="CB25">
        <f>0.962*(0.955*0.943*(0.9442 - 0.0007*$B25 - dis_BMI*($C25-21.75)) - 0.19*0.5)*AX25</f>
        <v>1.4510915790874699E-4</v>
      </c>
      <c r="CC25">
        <f>0.962*(0.955*0.943*(0.9442 - 0.0007*$B25 - dis_BMI*($C25-21.75)) - 0.15*0.5)*AY25</f>
        <v>1.2366432650410349E-4</v>
      </c>
      <c r="CD25">
        <f>0.962*(0.955*0.943*(0.9442 - 0.0007*$B25 - dis_BMI*($C25-21.75)))*AZ25</f>
        <v>5.3659121667108472E-4</v>
      </c>
      <c r="CE25">
        <f>0.962*(0.93*(0.9442 - 0.0007*$B25 - dis_BMI*($C25-21.75)))*BA25</f>
        <v>9.2516641087503034E-4</v>
      </c>
      <c r="CF25">
        <f>0.962*(0.93*(0.9442 - 0.0007*$B25 - dis_BMI*($C25-21.75)))*BB25</f>
        <v>7.9852092141451305E-3</v>
      </c>
      <c r="CG25">
        <f>0.962*(0.93*0.943*(0.9442 - 0.0007*$B25 - dis_BMI*($C25-21.75)))*BC25</f>
        <v>5.2001768284107088E-5</v>
      </c>
      <c r="CH25">
        <f>0.962*(0.93*0.943*(0.9442 - 0.0007*$B25 - dis_BMI*($C25-21.75))-0.19*0.5)*BD25</f>
        <v>8.3676765576077891E-5</v>
      </c>
      <c r="CI25">
        <f>0.962*(0.93*0.943*(0.9442 - 0.0007*$B25 - dis_BMI*($C25-21.75)))*BE25</f>
        <v>3.4210494351471393E-4</v>
      </c>
      <c r="CJ25">
        <f t="shared" si="18"/>
        <v>0</v>
      </c>
      <c r="CK25">
        <f t="shared" si="19"/>
        <v>0.64756604818048802</v>
      </c>
      <c r="CL25">
        <f>CK25/(1+r_)^A25</f>
        <v>0.33795986437156778</v>
      </c>
      <c r="CM25">
        <f>AD25*c_PT_2</f>
        <v>377.89575422396797</v>
      </c>
      <c r="CN25">
        <f>AE25*(c_Other+c_PT_2)</f>
        <v>547.24144210552504</v>
      </c>
      <c r="CO25">
        <f>AF25*(c_Stroke1+c_Stroke2+c_PT_2)</f>
        <v>59.871182536858306</v>
      </c>
      <c r="CP25">
        <f>AG25*(c_Stroke2 + c_PT_2)</f>
        <v>79.696440698549409</v>
      </c>
      <c r="CQ25">
        <f>AH25*(c_MI1+c_MI2 + c_PT_2)</f>
        <v>38.852756960772872</v>
      </c>
      <c r="CR25">
        <f>AI25*(c_MI2+c_PT_2)</f>
        <v>31.637275748689333</v>
      </c>
      <c r="CS25">
        <f>AJ25*(c_Stroke1+c_Stroke2+c_MI2+c_PT_2)</f>
        <v>1.7068042075774945</v>
      </c>
      <c r="CT25">
        <f>AK25*(c_Stroke2+c_MI1+c_MI2+c_PT_2)</f>
        <v>1.8296767837101768</v>
      </c>
      <c r="CU25">
        <f>AL25*(c_Stroke2+c_MI2+c_PT_2)</f>
        <v>2.3183886301699927</v>
      </c>
      <c r="CV25">
        <f>AM25*(c_HF1+c_PT_2)</f>
        <v>14.882403326044592</v>
      </c>
      <c r="CW25">
        <f>AN25*(c_HF2+c_PT_2)</f>
        <v>85.476967147664666</v>
      </c>
      <c r="CX25">
        <f>AO25*(c_Stroke2+c_HF1+c_PT_2)</f>
        <v>0.69322812563044389</v>
      </c>
      <c r="CY25">
        <f>AP25*(c_Stroke1+c_Stroke2+c_HF2+c_PT_2)</f>
        <v>1.5450620088419063</v>
      </c>
      <c r="CZ25">
        <f>AQ25*(c_Stroke2+c_HF2+c_PT_2)</f>
        <v>3.4181144628371158</v>
      </c>
      <c r="DA25">
        <f>AR25*(c_DM+c_PT_2)</f>
        <v>4321.4297572834539</v>
      </c>
      <c r="DB25">
        <f>AS25*(c_Other+c_DM+c_PT_2)</f>
        <v>1956.0663949647978</v>
      </c>
      <c r="DC25">
        <f>AT25*(c_Stroke1+c_Stroke2+c_DM+c_PT_2)</f>
        <v>201.14375698761683</v>
      </c>
      <c r="DD25">
        <f>AU25*(c_Stroke2+c_DM+c_PT_2)</f>
        <v>417.64794614797836</v>
      </c>
      <c r="DE25">
        <f>AV25*(c_MI1+c_MI2+c_DM+c_PT_2)</f>
        <v>127.85047265323452</v>
      </c>
      <c r="DF25">
        <f>AW25*(c_MI2+c_DM+c_PT_2)</f>
        <v>244.2123070379476</v>
      </c>
      <c r="DG25">
        <f>AX25*(c_Stroke1+c_Stroke2+c_MI2+c_DM+c_PT_2)</f>
        <v>8.8983765541384496</v>
      </c>
      <c r="DH25">
        <f>AY25*(c_Stroke2+c_MI1+c_MI2+c_DM+c_PT_2)</f>
        <v>8.97749631134627</v>
      </c>
      <c r="DI25">
        <f>AZ25*(c_Stroke2+c_MI2+c_DM+c_PT_2)</f>
        <v>16.302756240269606</v>
      </c>
      <c r="DJ25">
        <f>BA25*(c_HF1+c_DM+c_PT_2)</f>
        <v>48.277232905436577</v>
      </c>
      <c r="DK25">
        <f>BB25*(c_HF2+c_DM+c_PT_2)</f>
        <v>297.43148596221442</v>
      </c>
      <c r="DL25">
        <f>BC25*(c_Stroke2+c_HF1+c_DM+c_PT_2)</f>
        <v>3.346135591987851</v>
      </c>
      <c r="DM25">
        <f>BD25*(c_Stroke1+c_Stroke2+c_HF2+c_DM+c_PT_2)</f>
        <v>6.9477850058885418</v>
      </c>
      <c r="DN25">
        <f>BE25*(c_Stroke2+c_HF2+c_DM+c_PT_2)</f>
        <v>16.595320160165791</v>
      </c>
      <c r="DO25">
        <f t="shared" si="5"/>
        <v>0</v>
      </c>
      <c r="DP25">
        <f t="shared" si="38"/>
        <v>8922.1927207733152</v>
      </c>
      <c r="DQ25">
        <f>DP25/(1+r_)^A25</f>
        <v>4656.4254724007851</v>
      </c>
    </row>
    <row r="26" spans="1:121" x14ac:dyDescent="0.3">
      <c r="A26">
        <v>23</v>
      </c>
      <c r="B26">
        <v>68</v>
      </c>
      <c r="C26">
        <f t="shared" si="39"/>
        <v>34.542000000000002</v>
      </c>
      <c r="D26">
        <f t="shared" si="1"/>
        <v>125</v>
      </c>
      <c r="E26">
        <f t="shared" si="40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20"/>
        <v>4.0096398347168494E-2</v>
      </c>
      <c r="J26">
        <f t="shared" si="21"/>
        <v>0.22008246813614307</v>
      </c>
      <c r="K26">
        <f t="shared" si="22"/>
        <v>0.29398307833257453</v>
      </c>
      <c r="L26">
        <f t="shared" si="23"/>
        <v>0.11101185146529602</v>
      </c>
      <c r="M26">
        <f t="shared" si="24"/>
        <v>0.15193478950754424</v>
      </c>
      <c r="N26">
        <f t="shared" si="25"/>
        <v>0.46787873847560912</v>
      </c>
      <c r="O26">
        <f t="shared" si="26"/>
        <v>0.58993185840323226</v>
      </c>
      <c r="P26">
        <f t="shared" si="27"/>
        <v>0.2667917588147638</v>
      </c>
      <c r="Q26">
        <f t="shared" si="28"/>
        <v>0.35498810873189479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1.7914045467188396E-2</v>
      </c>
      <c r="U26">
        <f t="shared" si="29"/>
        <v>0.41781011855089012</v>
      </c>
      <c r="V26">
        <f t="shared" si="30"/>
        <v>0.53121352866439286</v>
      </c>
      <c r="W26">
        <f t="shared" si="31"/>
        <v>0.22592707337452722</v>
      </c>
      <c r="X26">
        <f t="shared" si="32"/>
        <v>0.30138166683895407</v>
      </c>
      <c r="Y26">
        <f t="shared" si="33"/>
        <v>0.65820539978633763</v>
      </c>
      <c r="Z26">
        <f t="shared" si="34"/>
        <v>0.78061072712310142</v>
      </c>
      <c r="AA26">
        <f t="shared" si="35"/>
        <v>0.41025573653572156</v>
      </c>
      <c r="AB26">
        <f t="shared" si="36"/>
        <v>0.52581219123200451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3.1925673252674876E-2</v>
      </c>
      <c r="AD26">
        <f t="shared" si="37"/>
        <v>0.24019717592336751</v>
      </c>
      <c r="AE26">
        <f t="shared" si="6"/>
        <v>3.4655776231997885E-2</v>
      </c>
      <c r="AF26">
        <f t="shared" si="7"/>
        <v>2.3381857002219199E-3</v>
      </c>
      <c r="AG26">
        <f t="shared" si="8"/>
        <v>9.9370479475855665E-3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1.2453373355955798E-3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6.8333609891728583E-3</v>
      </c>
      <c r="AJ26">
        <f t="shared" si="11"/>
        <v>6.2438027564254157E-5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5.1198935614319438E-5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2.1785029956012785E-4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5.1498345767846837E-4</v>
      </c>
      <c r="AN26">
        <f t="shared" si="15"/>
        <v>5.1646860861060701E-3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2.0653299499361218E-5</v>
      </c>
      <c r="AP26">
        <f>AM25*T25*p_Stroke*p_Stroke_rec*(1-I25) + AN25*T25*p_Stroke*p_Stroke_rec*(1-I25) + AO25*(p_recur_Stroke*p_Stroke_rec)*(1-I25) + AP25*(p_recur_Stroke*p_Stroke_rec)*(1-I25) + AQ25*(p_recur_Stroke*p_Stroke_rec)*(1-I25)</f>
        <v>4.0871280278873267E-5</v>
      </c>
      <c r="AQ26">
        <f>AO25*(1-p_recur_Stroke-H25*rr_Stroke*rr_HF)*(1-I25) + AP25*(1-p_recur_Stroke-H25*rr_Stroke*rr_HF)*(1-I25) + AQ25*(1-p_recur_Stroke-H25*rr_Stroke*rr_HF)*(1-I25)</f>
        <v>1.5713711471248206E-4</v>
      </c>
      <c r="AR26">
        <f>AR25*(1-AC25-H25*rr_DM) + AD25*(1-T25-H25)*I25</f>
        <v>0.33004663204841023</v>
      </c>
      <c r="AS26">
        <f>AR25*AC25*p_Other + AD25*T25*p_Other*I25 + AE25*(1-T25*p_Stroke-T25*p_MI-H25*rr_Other)*I25 + AS25*(1-AC25*p_Stroke-AC25*p_MI-H25*rr_Other*rr_DM)</f>
        <v>7.6151878689820152E-2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5.7443776128327734E-3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2.2777761912713967E-2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3.1675156232436334E-3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1.6109305818282148E-2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2.473456314530577E-4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2.0429177787282827E-4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8.0535177327220717E-4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1.2686043966680608E-3</v>
      </c>
      <c r="BB26">
        <f>AM25*(1-T25*p_Stroke - H25*rr_HF)*I25 + AN25*(1-T25*p_Stroke - H25*rr_HF)*I25 + BA25*(1-AC25*p_Stroke - H25*rr_HF*rr_DM) + BB25*(1-AC25*p_Stroke - H25*rr_HF*rr_DM)</f>
        <v>1.1471869834615196E-2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8.0091469381052028E-5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1.5286651626220297E-4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5.4790142768511242E-4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0.17178750283853222</v>
      </c>
      <c r="BG26">
        <f t="shared" si="17"/>
        <v>0.94200000000000017</v>
      </c>
      <c r="BH26">
        <f>(0.9442 - 0.0007*$B26 - dis_BMI*($C26-21.75))*AD26</f>
        <v>0.20522120042733266</v>
      </c>
      <c r="BI26">
        <f>0.959*(0.9442 - 0.0007*$B26 - dis_BMI*($C26-21.75))*AE26</f>
        <v>2.8395437514405687E-2</v>
      </c>
      <c r="BJ26">
        <f>(0.943*(0.9442 - 0.0007*$B26 - dis_BMI*($C26-21.75)) - 0.19*0.5)*AF26</f>
        <v>1.6617167198351903E-3</v>
      </c>
      <c r="BK26">
        <f>(0.943*(0.9442 - 0.0007*$B26 - dis_BMI*($C26-21.75)))*AG26</f>
        <v>8.0061441410788151E-3</v>
      </c>
      <c r="BL26">
        <f>(0.955*(0.9442 - 0.0007*$B26 - dis_BMI*($C26-21.75)) - 0.15*0.5)*AH26</f>
        <v>9.227190150429014E-4</v>
      </c>
      <c r="BM26">
        <f>(0.955*(0.9442 - 0.0007*$B26 - dis_BMI*($C26-21.75)))*AI26</f>
        <v>5.5756058141450456E-3</v>
      </c>
      <c r="BN26">
        <f>(0.955*0.943*(0.9442 - 0.0007*$B26 - dis_BMI*($C26-21.75)) - 0.19*0.5)*AJ26</f>
        <v>4.2110109419647803E-5</v>
      </c>
      <c r="BO26">
        <f>(0.955*0.943*(0.9442 - 0.0007*$B26 - dis_BMI*($C26-21.75)) - 0.15*0.5)*AK26</f>
        <v>3.5554101859911292E-5</v>
      </c>
      <c r="BP26">
        <f>(0.955*0.943*(0.9442 - 0.0007*$B26 - dis_BMI*($C26-21.75)))*AL26</f>
        <v>1.6762066237033607E-4</v>
      </c>
      <c r="BQ26">
        <f>(0.93*(0.9442 - 0.0007*$B26 - dis_BMI*($C26-21.75)))*AM26</f>
        <v>4.0919522209287691E-4</v>
      </c>
      <c r="BR26">
        <f>(0.93*(0.9442 - 0.0007*$B26 - dis_BMI*($C26-21.75)))*AN26</f>
        <v>4.103752923581578E-3</v>
      </c>
      <c r="BS26">
        <f>(0.93*0.943*(0.9442 - 0.0007*$B26 - dis_BMI*($C26-21.75)))*AO26</f>
        <v>1.5475276268891095E-5</v>
      </c>
      <c r="BT26">
        <f>(0.93*0.943*(0.9442 - 0.0007*$B26 - dis_BMI*($C26-21.75))-0.19*0.5)*AP26</f>
        <v>2.6741601675138891E-5</v>
      </c>
      <c r="BU26">
        <f>(0.93*0.943*(0.9442 - 0.0007*$B26 - dis_BMI*($C26-21.75)))*AQ26</f>
        <v>1.1774100609674026E-4</v>
      </c>
      <c r="BV26">
        <f>0.962*(0.9442 - 0.0007*$B26 - dis_BMI*($C26-21.75))*AR26</f>
        <v>0.27127183434402319</v>
      </c>
      <c r="BW26">
        <f>0.962*0.959*(0.9442 - 0.0007*$B26 - dis_BMI*($C26-21.75))*AS26</f>
        <v>6.0024510613297416E-2</v>
      </c>
      <c r="BX26">
        <f>0.962*(0.943*(0.9442 - 0.0007*$B26 - dis_BMI*($C26-21.75)) - 0.19*0.5)*AT26</f>
        <v>3.9273177691132753E-3</v>
      </c>
      <c r="BY26">
        <f>0.962*(0.943*(0.9442 - 0.0007*$B26 - dis_BMI*($C26-21.75)))*AU26</f>
        <v>1.7654366598259457E-2</v>
      </c>
      <c r="BZ26">
        <f>0.962*(0.955*(0.9442 - 0.0007*$B26 - dis_BMI*($C26-21.75)) - 0.15*0.5)*AV26</f>
        <v>2.2577523323182359E-3</v>
      </c>
      <c r="CA26">
        <f>0.962*(0.955*(0.9442 - 0.0007*$B26 - dis_BMI*($C26-21.75)))*AW26</f>
        <v>1.2644731052586738E-2</v>
      </c>
      <c r="CB26">
        <f>0.962*(0.955*0.943*(0.9442 - 0.0007*$B26 - dis_BMI*($C26-21.75)) - 0.19*0.5)*AX26</f>
        <v>1.6047837247357391E-4</v>
      </c>
      <c r="CC26">
        <f>0.962*(0.955*0.943*(0.9442 - 0.0007*$B26 - dis_BMI*($C26-21.75)) - 0.15*0.5)*AY26</f>
        <v>1.3647551438261939E-4</v>
      </c>
      <c r="CD26">
        <f>0.962*(0.955*0.943*(0.9442 - 0.0007*$B26 - dis_BMI*($C26-21.75)))*AZ26</f>
        <v>5.9611504426434125E-4</v>
      </c>
      <c r="CE26">
        <f>0.962*(0.93*(0.9442 - 0.0007*$B26 - dis_BMI*($C26-21.75)))*BA26</f>
        <v>9.6970259878980227E-4</v>
      </c>
      <c r="CF26">
        <f>0.962*(0.93*(0.9442 - 0.0007*$B26 - dis_BMI*($C26-21.75)))*BB26</f>
        <v>8.7689290852390484E-3</v>
      </c>
      <c r="CG26">
        <f>0.962*(0.93*0.943*(0.9442 - 0.0007*$B26 - dis_BMI*($C26-21.75)))*BC26</f>
        <v>5.773116233088412E-5</v>
      </c>
      <c r="CH26">
        <f>0.962*(0.93*0.943*(0.9442 - 0.0007*$B26 - dis_BMI*($C26-21.75))-0.19*0.5)*BD26</f>
        <v>9.6218063931397021E-5</v>
      </c>
      <c r="CI26">
        <f>0.962*(0.93*0.943*(0.9442 - 0.0007*$B26 - dis_BMI*($C26-21.75)))*BE26</f>
        <v>3.9493577165529718E-4</v>
      </c>
      <c r="CJ26">
        <f t="shared" si="18"/>
        <v>0</v>
      </c>
      <c r="CK26">
        <f t="shared" si="19"/>
        <v>0.63366211285787089</v>
      </c>
      <c r="CL26">
        <f>CK26/(1+r_)^A26</f>
        <v>0.3210713638776091</v>
      </c>
      <c r="CM26">
        <f>AD26*c_PT_2</f>
        <v>351.8888627277334</v>
      </c>
      <c r="CN26">
        <f>AE26*(c_Other+c_PT_2)</f>
        <v>545.62054099657473</v>
      </c>
      <c r="CO26">
        <f>AF26*(c_Stroke1+c_Stroke2+c_PT_2)</f>
        <v>59.11167268731036</v>
      </c>
      <c r="CP26">
        <f>AG26*(c_Stroke2 + c_PT_2)</f>
        <v>79.148586902519042</v>
      </c>
      <c r="CQ26">
        <f>AH26*(c_MI1+c_MI2 + c_PT_2)</f>
        <v>38.127247866594267</v>
      </c>
      <c r="CR26">
        <f>AI26*(c_MI2+c_PT_2)</f>
        <v>31.310460052390038</v>
      </c>
      <c r="CS26">
        <f>AJ26*(c_Stroke1+c_Stroke2+c_MI2+c_PT_2)</f>
        <v>1.7731151067696895</v>
      </c>
      <c r="CT26">
        <f>AK26*(c_Stroke2+c_MI1+c_MI2+c_PT_2)</f>
        <v>1.9002996942610804</v>
      </c>
      <c r="CU26">
        <f>AL26*(c_Stroke2+c_MI2+c_PT_2)</f>
        <v>2.4142170197253368</v>
      </c>
      <c r="CV26">
        <f>AM26*(c_HF1+c_PT_2)</f>
        <v>14.674453626547956</v>
      </c>
      <c r="CW26">
        <f>AN26*(c_HF2+c_PT_2)</f>
        <v>88.161191489830614</v>
      </c>
      <c r="CX26">
        <f>AO26*(c_Stroke2+c_HF1+c_PT_2)</f>
        <v>0.72276221598014578</v>
      </c>
      <c r="CY26">
        <f>AP26*(c_Stroke1+c_Stroke2+c_HF2+c_PT_2)</f>
        <v>1.6710631654820123</v>
      </c>
      <c r="CZ26">
        <f>AQ26*(c_Stroke2+c_HF2+c_PT_2)</f>
        <v>3.7037217937732021</v>
      </c>
      <c r="DA26">
        <f>AR26*(c_DM+c_PT_2)</f>
        <v>4254.3010871040078</v>
      </c>
      <c r="DB26">
        <f>AS26*(c_Other+c_DM+c_PT_2)</f>
        <v>2068.9703921237237</v>
      </c>
      <c r="DC26">
        <f>AT26*(c_Stroke1+c_Stroke2+c_DM+c_PT_2)</f>
        <v>210.85312465663978</v>
      </c>
      <c r="DD26">
        <f>AU26*(c_Stroke2+c_DM+c_PT_2)</f>
        <v>441.66080348752382</v>
      </c>
      <c r="DE26">
        <f>AV26*(c_MI1+c_MI2+c_DM+c_PT_2)</f>
        <v>133.16552431678559</v>
      </c>
      <c r="DF26">
        <f>AW26*(c_MI2+c_DM+c_PT_2)</f>
        <v>257.86165823324234</v>
      </c>
      <c r="DG26">
        <f>AX26*(c_Stroke1+c_Stroke2+c_MI2+c_DM+c_PT_2)</f>
        <v>9.8500450813551161</v>
      </c>
      <c r="DH26">
        <f>AY26*(c_Stroke2+c_MI1+c_MI2+c_DM+c_PT_2)</f>
        <v>9.9165271897249578</v>
      </c>
      <c r="DI26">
        <f>AZ26*(c_Stroke2+c_MI2+c_DM+c_PT_2)</f>
        <v>18.126052361037566</v>
      </c>
      <c r="DJ26">
        <f>BA26*(c_HF1+c_DM+c_PT_2)</f>
        <v>50.642687514988985</v>
      </c>
      <c r="DK26">
        <f>BB26*(c_HF2+c_DM+c_PT_2)</f>
        <v>326.89093093736</v>
      </c>
      <c r="DL26">
        <f>BC26*(c_Stroke2+c_HF1+c_DM+c_PT_2)</f>
        <v>3.7178460086684351</v>
      </c>
      <c r="DM26">
        <f>BD26*(c_Stroke1+c_Stroke2+c_HF2+c_DM+c_PT_2)</f>
        <v>7.9966003321920995</v>
      </c>
      <c r="DN26">
        <f>BE26*(c_Stroke2+c_HF2+c_DM+c_PT_2)</f>
        <v>19.17381046184051</v>
      </c>
      <c r="DO26">
        <f t="shared" si="5"/>
        <v>0</v>
      </c>
      <c r="DP26">
        <f t="shared" si="38"/>
        <v>9033.3552851545828</v>
      </c>
      <c r="DQ26">
        <f>DP26/(1+r_)^A26</f>
        <v>4577.1265836215989</v>
      </c>
    </row>
    <row r="27" spans="1:121" x14ac:dyDescent="0.3">
      <c r="A27">
        <v>24</v>
      </c>
      <c r="B27">
        <v>69</v>
      </c>
      <c r="C27">
        <f t="shared" si="39"/>
        <v>34.542000000000002</v>
      </c>
      <c r="D27">
        <f t="shared" si="1"/>
        <v>125</v>
      </c>
      <c r="E27">
        <f t="shared" si="40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20"/>
        <v>4.0096398347168494E-2</v>
      </c>
      <c r="J27">
        <f t="shared" si="21"/>
        <v>0.22789907541027654</v>
      </c>
      <c r="K27">
        <f t="shared" si="22"/>
        <v>0.30387295624582278</v>
      </c>
      <c r="L27">
        <f t="shared" si="23"/>
        <v>0.11524090504405171</v>
      </c>
      <c r="M27">
        <f t="shared" si="24"/>
        <v>0.15757951213310728</v>
      </c>
      <c r="N27">
        <f t="shared" si="25"/>
        <v>0.48326057626558439</v>
      </c>
      <c r="O27">
        <f t="shared" si="26"/>
        <v>0.60658044545575729</v>
      </c>
      <c r="P27">
        <f t="shared" si="27"/>
        <v>0.27729486184547669</v>
      </c>
      <c r="Q27">
        <f t="shared" si="28"/>
        <v>0.36800497927354381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1.8566099664577802E-2</v>
      </c>
      <c r="U27">
        <f t="shared" si="29"/>
        <v>0.4304338746542975</v>
      </c>
      <c r="V27">
        <f t="shared" si="30"/>
        <v>0.54538716793054165</v>
      </c>
      <c r="W27">
        <f t="shared" si="31"/>
        <v>0.23391866016354801</v>
      </c>
      <c r="X27">
        <f t="shared" si="32"/>
        <v>0.31146190818246766</v>
      </c>
      <c r="Y27">
        <f t="shared" si="33"/>
        <v>0.67484696186601867</v>
      </c>
      <c r="Z27">
        <f t="shared" si="34"/>
        <v>0.79555076516612988</v>
      </c>
      <c r="AA27">
        <f t="shared" si="35"/>
        <v>0.42455895440870062</v>
      </c>
      <c r="AB27">
        <f t="shared" si="36"/>
        <v>0.54198063471501168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3.2945995733774935E-2</v>
      </c>
      <c r="AD27">
        <f t="shared" si="37"/>
        <v>0.22333095849891457</v>
      </c>
      <c r="AE27">
        <f t="shared" si="6"/>
        <v>3.4418610459104569E-2</v>
      </c>
      <c r="AF27">
        <f t="shared" si="7"/>
        <v>2.3009337598211997E-3</v>
      </c>
      <c r="AG27">
        <f t="shared" si="8"/>
        <v>9.825999600058484E-3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1.2192066380075754E-3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6.7428009829885666E-3</v>
      </c>
      <c r="AJ27">
        <f t="shared" si="11"/>
        <v>6.45241487580145E-5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5.287633627991975E-5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2.2537976595949155E-4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5.0645360601336842E-4</v>
      </c>
      <c r="AN27">
        <f t="shared" si="15"/>
        <v>5.2958553382317797E-3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2.1402762366738334E-5</v>
      </c>
      <c r="AP27">
        <f>AM26*T26*p_Stroke*p_Stroke_rec*(1-I26) + AN26*T26*p_Stroke*p_Stroke_rec*(1-I26) + AO26*(p_recur_Stroke*p_Stroke_rec)*(1-I26) + AP26*(p_recur_Stroke*p_Stroke_rec)*(1-I26) + AQ26*(p_recur_Stroke*p_Stroke_rec)*(1-I26)</f>
        <v>4.3838485249024288E-5</v>
      </c>
      <c r="AQ27">
        <f>AO26*(1-p_recur_Stroke-H26*rr_Stroke*rr_HF)*(1-I26) + AP26*(1-p_recur_Stroke-H26*rr_Stroke*rr_HF)*(1-I26) + AQ26*(1-p_recur_Stroke-H26*rr_Stroke*rr_HF)*(1-I26)</f>
        <v>1.6860578298331211E-4</v>
      </c>
      <c r="AR27">
        <f>AR26*(1-AC26-H26*rr_DM) + AD26*(1-T26-H26)*I26</f>
        <v>0.32372742109913577</v>
      </c>
      <c r="AS27">
        <f>AR26*AC26*p_Other + AD26*T26*p_Other*I26 + AE26*(1-T26*p_Stroke-T26*p_MI-H26*rr_Other)*I26 + AS26*(1-AC26*p_Stroke-AC26*p_MI-H26*rr_Other*rr_DM)</f>
        <v>8.0050243765362683E-2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5.9890199956184661E-3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2.3927105021429376E-2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3.2842470429951687E-3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1.6919275135686414E-2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2.7169089815960539E-4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2.2383904583548372E-4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8.8719009634576551E-4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1.3243126956046397E-3</v>
      </c>
      <c r="BB27">
        <f>AM26*(1-T26*p_Stroke - H26*rr_HF)*I26 + AN26*(1-T26*p_Stroke - H26*rr_HF)*I26 + BA26*(1-AC26*p_Stroke - H26*rr_HF*rr_DM) + BB26*(1-AC26*p_Stroke - H26*rr_HF*rr_DM)</f>
        <v>1.2509054944639074E-2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8.8224931925750071E-5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1.7410599150153073E-4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6.2531410479746874E-4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0.18778150906622626</v>
      </c>
      <c r="BG27">
        <f t="shared" si="17"/>
        <v>0.94199999999999995</v>
      </c>
      <c r="BH27">
        <f>(0.9442 - 0.0007*$B27 - dis_BMI*($C27-21.75))*AD27</f>
        <v>0.1906546019694878</v>
      </c>
      <c r="BI27">
        <f>0.959*(0.9442 - 0.0007*$B27 - dis_BMI*($C27-21.75))*AE27</f>
        <v>2.8178008969946079E-2</v>
      </c>
      <c r="BJ27">
        <f>(0.943*(0.9442 - 0.0007*$B27 - dis_BMI*($C27-21.75)) - 0.19*0.5)*AF27</f>
        <v>1.6337234269677779E-3</v>
      </c>
      <c r="BK27">
        <f>(0.943*(0.9442 - 0.0007*$B27 - dis_BMI*($C27-21.75)))*AG27</f>
        <v>7.9101878581517709E-3</v>
      </c>
      <c r="BL27">
        <f>(0.955*(0.9442 - 0.0007*$B27 - dis_BMI*($C27-21.75)) - 0.15*0.5)*AH27</f>
        <v>9.0254272215166658E-4</v>
      </c>
      <c r="BM27">
        <f>(0.955*(0.9442 - 0.0007*$B27 - dis_BMI*($C27-21.75)))*AI27</f>
        <v>5.4972068097151917E-3</v>
      </c>
      <c r="BN27">
        <f>(0.955*0.943*(0.9442 - 0.0007*$B27 - dis_BMI*($C27-21.75)) - 0.19*0.5)*AJ27</f>
        <v>4.3476377422023568E-5</v>
      </c>
      <c r="BO27">
        <f>(0.955*0.943*(0.9442 - 0.0007*$B27 - dis_BMI*($C27-21.75)) - 0.15*0.5)*AK27</f>
        <v>3.6685607018778354E-5</v>
      </c>
      <c r="BP27">
        <f>(0.955*0.943*(0.9442 - 0.0007*$B27 - dis_BMI*($C27-21.75)))*AL27</f>
        <v>1.7327198498850546E-4</v>
      </c>
      <c r="BQ27">
        <f>(0.93*(0.9442 - 0.0007*$B27 - dis_BMI*($C27-21.75)))*AM27</f>
        <v>4.0208787678665096E-4</v>
      </c>
      <c r="BR27">
        <f>(0.93*(0.9442 - 0.0007*$B27 - dis_BMI*($C27-21.75)))*AN27</f>
        <v>4.2045297011127601E-3</v>
      </c>
      <c r="BS27">
        <f>(0.93*0.943*(0.9442 - 0.0007*$B27 - dis_BMI*($C27-21.75)))*AO27</f>
        <v>1.6023701042390075E-5</v>
      </c>
      <c r="BT27">
        <f>(0.93*0.943*(0.9442 - 0.0007*$B27 - dis_BMI*($C27-21.75))-0.19*0.5)*AP27</f>
        <v>2.8656097117444615E-5</v>
      </c>
      <c r="BU27">
        <f>(0.93*0.943*(0.9442 - 0.0007*$B27 - dis_BMI*($C27-21.75)))*AQ27</f>
        <v>1.2623083947057884E-4</v>
      </c>
      <c r="BV27">
        <f>0.962*(0.9442 - 0.0007*$B27 - dis_BMI*($C27-21.75))*AR27</f>
        <v>0.26585995222482789</v>
      </c>
      <c r="BW27">
        <f>0.962*0.959*(0.9442 - 0.0007*$B27 - dis_BMI*($C27-21.75))*AS27</f>
        <v>6.3045588169345163E-2</v>
      </c>
      <c r="BX27">
        <f>0.962*(0.943*(0.9442 - 0.0007*$B27 - dis_BMI*($C27-21.75)) - 0.19*0.5)*AT27</f>
        <v>4.0907718203229823E-3</v>
      </c>
      <c r="BY27">
        <f>0.962*(0.943*(0.9442 - 0.0007*$B27 - dis_BMI*($C27-21.75)))*AU27</f>
        <v>1.8529994198915128E-2</v>
      </c>
      <c r="BZ27">
        <f>0.962*(0.955*(0.9442 - 0.0007*$B27 - dis_BMI*($C27-21.75)) - 0.15*0.5)*AV27</f>
        <v>2.3388444529305239E-3</v>
      </c>
      <c r="CA27">
        <f>0.962*(0.955*(0.9442 - 0.0007*$B27 - dis_BMI*($C27-21.75)))*AW27</f>
        <v>1.3269622230643414E-2</v>
      </c>
      <c r="CB27">
        <f>0.962*(0.955*0.943*(0.9442 - 0.0007*$B27 - dis_BMI*($C27-21.75)) - 0.19*0.5)*AX27</f>
        <v>1.7610886900611077E-4</v>
      </c>
      <c r="CC27">
        <f>0.962*(0.955*0.943*(0.9442 - 0.0007*$B27 - dis_BMI*($C27-21.75)) - 0.15*0.5)*AY27</f>
        <v>1.4939816784699639E-4</v>
      </c>
      <c r="CD27">
        <f>0.962*(0.955*0.943*(0.9442 - 0.0007*$B27 - dis_BMI*($C27-21.75)))*AZ27</f>
        <v>6.5615309893625028E-4</v>
      </c>
      <c r="CE27">
        <f>0.962*(0.93*(0.9442 - 0.0007*$B27 - dis_BMI*($C27-21.75)))*BA27</f>
        <v>1.0114558389078146E-3</v>
      </c>
      <c r="CF27">
        <f>0.962*(0.93*(0.9442 - 0.0007*$B27 - dis_BMI*($C27-21.75)))*BB27</f>
        <v>9.5539042289383112E-3</v>
      </c>
      <c r="CG27">
        <f>0.962*(0.93*0.943*(0.9442 - 0.0007*$B27 - dis_BMI*($C27-21.75)))*BC27</f>
        <v>6.3541784601492832E-5</v>
      </c>
      <c r="CH27">
        <f>0.962*(0.93*0.943*(0.9442 - 0.0007*$B27 - dis_BMI*($C27-21.75))-0.19*0.5)*BD27</f>
        <v>1.0948390762790318E-4</v>
      </c>
      <c r="CI27">
        <f>0.962*(0.93*0.943*(0.9442 - 0.0007*$B27 - dis_BMI*($C27-21.75)))*BE27</f>
        <v>4.5036673067377117E-4</v>
      </c>
      <c r="CJ27">
        <f t="shared" si="18"/>
        <v>0</v>
      </c>
      <c r="CK27">
        <f t="shared" si="19"/>
        <v>0.61911241966490316</v>
      </c>
      <c r="CL27">
        <f>CK27/(1+r_)^A27</f>
        <v>0.30456228581995021</v>
      </c>
      <c r="CM27">
        <f>AD27*c_PT_2</f>
        <v>327.17985420090986</v>
      </c>
      <c r="CN27">
        <f>AE27*(c_Other+c_PT_2)</f>
        <v>541.88660306814234</v>
      </c>
      <c r="CO27">
        <f>AF27*(c_Stroke1+c_Stroke2+c_PT_2)</f>
        <v>58.169906382039748</v>
      </c>
      <c r="CP27">
        <f>AG27*(c_Stroke2 + c_PT_2)</f>
        <v>78.264086814465827</v>
      </c>
      <c r="CQ27">
        <f>AH27*(c_MI1+c_MI2 + c_PT_2)</f>
        <v>37.327230429239926</v>
      </c>
      <c r="CR27">
        <f>AI27*(c_MI2+c_PT_2)</f>
        <v>30.895514104053611</v>
      </c>
      <c r="CS27">
        <f>AJ27*(c_Stroke1+c_Stroke2+c_MI2+c_PT_2)</f>
        <v>1.8323567764300959</v>
      </c>
      <c r="CT27">
        <f>AK27*(c_Stroke2+c_MI1+c_MI2+c_PT_2)</f>
        <v>1.9625580973655015</v>
      </c>
      <c r="CU27">
        <f>AL27*(c_Stroke2+c_MI2+c_PT_2)</f>
        <v>2.4976585663630853</v>
      </c>
      <c r="CV27">
        <f>AM27*(c_HF1+c_PT_2)</f>
        <v>14.431395503350933</v>
      </c>
      <c r="CW27">
        <f>AN27*(c_HF2+c_PT_2)</f>
        <v>90.400250623616486</v>
      </c>
      <c r="CX27">
        <f>AO27*(c_Stroke2+c_HF1+c_PT_2)</f>
        <v>0.74898966902400799</v>
      </c>
      <c r="CY27">
        <f>AP27*(c_Stroke1+c_Stroke2+c_HF2+c_PT_2)</f>
        <v>1.792380307891607</v>
      </c>
      <c r="CZ27">
        <f>AQ27*(c_Stroke2+c_HF2+c_PT_2)</f>
        <v>3.9740383049166663</v>
      </c>
      <c r="DA27">
        <f>AR27*(c_DM+c_PT_2)</f>
        <v>4172.8464579678603</v>
      </c>
      <c r="DB27">
        <f>AS27*(c_Other+c_DM+c_PT_2)</f>
        <v>2174.8850728611387</v>
      </c>
      <c r="DC27">
        <f>AT27*(c_Stroke1+c_Stroke2+c_DM+c_PT_2)</f>
        <v>219.83296795917141</v>
      </c>
      <c r="DD27">
        <f>AU27*(c_Stroke2+c_DM+c_PT_2)</f>
        <v>463.94656636551559</v>
      </c>
      <c r="DE27">
        <f>AV27*(c_MI1+c_MI2+c_DM+c_PT_2)</f>
        <v>138.07302993455988</v>
      </c>
      <c r="DF27">
        <f>AW27*(c_MI2+c_DM+c_PT_2)</f>
        <v>270.82683709693242</v>
      </c>
      <c r="DG27">
        <f>AX27*(c_Stroke1+c_Stroke2+c_MI2+c_DM+c_PT_2)</f>
        <v>10.819546637409966</v>
      </c>
      <c r="DH27">
        <f>AY27*(c_Stroke2+c_MI1+c_MI2+c_DM+c_PT_2)</f>
        <v>10.865371123900216</v>
      </c>
      <c r="DI27">
        <f>AZ27*(c_Stroke2+c_MI2+c_DM+c_PT_2)</f>
        <v>19.967987498454143</v>
      </c>
      <c r="DJ27">
        <f>BA27*(c_HF1+c_DM+c_PT_2)</f>
        <v>52.866562808537218</v>
      </c>
      <c r="DK27">
        <f>BB27*(c_HF2+c_DM+c_PT_2)</f>
        <v>356.44552064749041</v>
      </c>
      <c r="DL27">
        <f>BC27*(c_Stroke2+c_HF1+c_DM+c_PT_2)</f>
        <v>4.0954013399933187</v>
      </c>
      <c r="DM27">
        <f>BD27*(c_Stroke1+c_Stroke2+c_HF2+c_DM+c_PT_2)</f>
        <v>9.1076585214365746</v>
      </c>
      <c r="DN27">
        <f>BE27*(c_Stroke2+c_HF2+c_DM+c_PT_2)</f>
        <v>21.882867097387418</v>
      </c>
      <c r="DO27">
        <f t="shared" si="5"/>
        <v>0</v>
      </c>
      <c r="DP27">
        <f t="shared" si="38"/>
        <v>9117.8246707075941</v>
      </c>
      <c r="DQ27">
        <f>DP27/(1+r_)^A27</f>
        <v>4485.3655575497442</v>
      </c>
    </row>
    <row r="28" spans="1:121" x14ac:dyDescent="0.3">
      <c r="A28">
        <v>25</v>
      </c>
      <c r="B28">
        <v>70</v>
      </c>
      <c r="C28">
        <f t="shared" si="39"/>
        <v>34.542000000000002</v>
      </c>
      <c r="D28">
        <f t="shared" si="1"/>
        <v>125</v>
      </c>
      <c r="E28">
        <f t="shared" si="40"/>
        <v>5.7</v>
      </c>
      <c r="F28">
        <v>1.455E-2</v>
      </c>
      <c r="G28">
        <v>2.213E-2</v>
      </c>
      <c r="H28">
        <f t="shared" si="3"/>
        <v>1.6066E-2</v>
      </c>
      <c r="I28">
        <f t="shared" si="20"/>
        <v>4.0096398347168494E-2</v>
      </c>
      <c r="J28">
        <f t="shared" si="21"/>
        <v>0.23583177869984506</v>
      </c>
      <c r="K28">
        <f t="shared" si="22"/>
        <v>0.31386880830820652</v>
      </c>
      <c r="L28">
        <f t="shared" si="23"/>
        <v>0.11955588516448545</v>
      </c>
      <c r="M28">
        <f t="shared" si="24"/>
        <v>0.16332779819367982</v>
      </c>
      <c r="N28">
        <f t="shared" si="25"/>
        <v>0.49865528863023267</v>
      </c>
      <c r="O28">
        <f t="shared" si="26"/>
        <v>0.62303927090348499</v>
      </c>
      <c r="P28">
        <f t="shared" si="27"/>
        <v>0.28796705542850176</v>
      </c>
      <c r="Q28">
        <f t="shared" si="28"/>
        <v>0.38115161970178169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1.9227560250261323E-2</v>
      </c>
      <c r="U28">
        <f t="shared" si="29"/>
        <v>0.44309233801759296</v>
      </c>
      <c r="V28">
        <f t="shared" si="30"/>
        <v>0.55947399448702606</v>
      </c>
      <c r="W28">
        <f t="shared" si="31"/>
        <v>0.24202643890675668</v>
      </c>
      <c r="X28">
        <f t="shared" si="32"/>
        <v>0.32164576037696779</v>
      </c>
      <c r="Y28">
        <f t="shared" si="33"/>
        <v>0.69115801348796457</v>
      </c>
      <c r="Z28">
        <f t="shared" si="34"/>
        <v>0.80989081622540204</v>
      </c>
      <c r="AA28">
        <f t="shared" si="35"/>
        <v>0.43894380046994663</v>
      </c>
      <c r="AB28">
        <f t="shared" si="36"/>
        <v>0.55807479192609888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3.3971781132989778E-2</v>
      </c>
      <c r="AD28">
        <f t="shared" si="37"/>
        <v>0.20723529912165153</v>
      </c>
      <c r="AE28">
        <f t="shared" si="6"/>
        <v>3.4026062186008933E-2</v>
      </c>
      <c r="AF28">
        <f t="shared" si="7"/>
        <v>2.2571220983428936E-3</v>
      </c>
      <c r="AG28">
        <f t="shared" si="8"/>
        <v>9.659054888522348E-3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1.1908781858843199E-3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6.6288275388790858E-3</v>
      </c>
      <c r="AJ28">
        <f t="shared" si="11"/>
        <v>6.6350818510276796E-5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5.4320359061635271E-5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2.3097834208098294E-4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4.9679939495642306E-4</v>
      </c>
      <c r="AN28">
        <f t="shared" si="15"/>
        <v>5.396417058487691E-3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2.2053923090855697E-5</v>
      </c>
      <c r="AP28">
        <f>AM27*T27*p_Stroke*p_Stroke_rec*(1-I27) + AN27*T27*p_Stroke*p_Stroke_rec*(1-I27) + AO27*(p_recur_Stroke*p_Stroke_rec)*(1-I27) + AP27*(p_recur_Stroke*p_Stroke_rec)*(1-I27) + AQ27*(p_recur_Stroke*p_Stroke_rec)*(1-I27)</f>
        <v>4.6662436351093409E-5</v>
      </c>
      <c r="AQ28">
        <f>AO27*(1-p_recur_Stroke-H27*rr_Stroke*rr_HF)*(1-I27) + AP27*(1-p_recur_Stroke-H27*rr_Stroke*rr_HF)*(1-I27) + AQ27*(1-p_recur_Stroke-H27*rr_Stroke*rr_HF)*(1-I27)</f>
        <v>1.7868069731964012E-4</v>
      </c>
      <c r="AR28">
        <f>AR27*(1-AC27-H27*rr_DM) + AD27*(1-T27-H27)*I27</f>
        <v>0.31622938909498771</v>
      </c>
      <c r="AS28">
        <f>AR27*AC27*p_Other + AD27*T27*p_Other*I27 + AE27*(1-T27*p_Stroke-T27*p_MI-H27*rr_Other)*I27 + AS27*(1-AC27*p_Stroke-AC27*p_MI-H27*rr_Other*rr_DM)</f>
        <v>8.3571922451150443E-2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6.2119076607827237E-3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2.4925145918933932E-2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3.3905299783443159E-3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1.7662683508864584E-2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2.9627013371631234E-4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2.4340075893483049E-4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9.6517386847004766E-4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1.3760884714512757E-3</v>
      </c>
      <c r="BB28">
        <f>AM27*(1-T27*p_Stroke - H27*rr_HF)*I27 + AN27*(1-T27*p_Stroke - H27*rr_HF)*I27 + BA27*(1-AC27*p_Stroke - H27*rr_HF*rr_DM) + BB27*(1-AC27*p_Stroke - H27*rr_HF*rr_DM)</f>
        <v>1.3527072882587086E-2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9.6405389232232636E-5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1.9638272210547577E-4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7.0285435942676238E-4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0.20511526575186467</v>
      </c>
      <c r="BG28">
        <f t="shared" si="17"/>
        <v>0.94200000000000006</v>
      </c>
      <c r="BH28">
        <f>(0.9442 - 0.0007*$B28 - dis_BMI*($C28-21.75))*AD28</f>
        <v>0.17676889175070071</v>
      </c>
      <c r="BI28">
        <f>0.959*(0.9442 - 0.0007*$B28 - dis_BMI*($C28-21.75))*AE28</f>
        <v>2.7833793790320874E-2</v>
      </c>
      <c r="BJ28">
        <f>(0.943*(0.9442 - 0.0007*$B28 - dis_BMI*($C28-21.75)) - 0.19*0.5)*AF28</f>
        <v>1.6011260698608966E-3</v>
      </c>
      <c r="BK28">
        <f>(0.943*(0.9442 - 0.0007*$B28 - dis_BMI*($C28-21.75)))*AG28</f>
        <v>7.7694170367275835E-3</v>
      </c>
      <c r="BL28">
        <f>(0.955*(0.9442 - 0.0007*$B28 - dis_BMI*($C28-21.75)) - 0.15*0.5)*AH28</f>
        <v>8.8077590232695316E-4</v>
      </c>
      <c r="BM28">
        <f>(0.955*(0.9442 - 0.0007*$B28 - dis_BMI*($C28-21.75)))*AI28</f>
        <v>5.3998562503719122E-3</v>
      </c>
      <c r="BN28">
        <f>(0.955*0.943*(0.9442 - 0.0007*$B28 - dis_BMI*($C28-21.75)) - 0.19*0.5)*AJ28</f>
        <v>4.4665360413231879E-5</v>
      </c>
      <c r="BO28">
        <f>(0.955*0.943*(0.9442 - 0.0007*$B28 - dis_BMI*($C28-21.75)) - 0.15*0.5)*AK28</f>
        <v>3.7653226848850157E-5</v>
      </c>
      <c r="BP28">
        <f>(0.955*0.943*(0.9442 - 0.0007*$B28 - dis_BMI*($C28-21.75)))*AL28</f>
        <v>1.7743056312290016E-4</v>
      </c>
      <c r="BQ28">
        <f>(0.93*(0.9442 - 0.0007*$B28 - dis_BMI*($C28-21.75)))*AM28</f>
        <v>3.9409970850623347E-4</v>
      </c>
      <c r="BR28">
        <f>(0.93*(0.9442 - 0.0007*$B28 - dis_BMI*($C28-21.75)))*AN28</f>
        <v>4.280855434444745E-3</v>
      </c>
      <c r="BS28">
        <f>(0.93*0.943*(0.9442 - 0.0007*$B28 - dis_BMI*($C28-21.75)))*AO28</f>
        <v>1.6497669681214303E-5</v>
      </c>
      <c r="BT28">
        <f>(0.93*0.943*(0.9442 - 0.0007*$B28 - dis_BMI*($C28-21.75))-0.19*0.5)*AP28</f>
        <v>3.0473396018161611E-5</v>
      </c>
      <c r="BU28">
        <f>(0.93*0.943*(0.9442 - 0.0007*$B28 - dis_BMI*($C28-21.75)))*AQ28</f>
        <v>1.3366397944911308E-4</v>
      </c>
      <c r="BV28">
        <f>0.962*(0.9442 - 0.0007*$B28 - dis_BMI*($C28-21.75))*AR28</f>
        <v>0.25948927218755619</v>
      </c>
      <c r="BW28">
        <f>0.962*0.959*(0.9442 - 0.0007*$B28 - dis_BMI*($C28-21.75))*AS28</f>
        <v>6.5765205065422647E-2</v>
      </c>
      <c r="BX28">
        <f>0.962*(0.943*(0.9442 - 0.0007*$B28 - dis_BMI*($C28-21.75)) - 0.19*0.5)*AT28</f>
        <v>4.2390695252600688E-3</v>
      </c>
      <c r="BY28">
        <f>0.962*(0.943*(0.9442 - 0.0007*$B28 - dis_BMI*($C28-21.75)))*AU28</f>
        <v>1.9287084406128412E-2</v>
      </c>
      <c r="BZ28">
        <f>0.962*(0.955*(0.9442 - 0.0007*$B28 - dis_BMI*($C28-21.75)) - 0.15*0.5)*AV28</f>
        <v>2.4123523675680415E-3</v>
      </c>
      <c r="CA28">
        <f>0.962*(0.955*(0.9442 - 0.0007*$B28 - dis_BMI*($C28-21.75)))*AW28</f>
        <v>1.3841311337741979E-2</v>
      </c>
      <c r="CB28">
        <f>0.962*(0.955*0.943*(0.9442 - 0.0007*$B28 - dis_BMI*($C28-21.75)) - 0.19*0.5)*AX28</f>
        <v>1.9186135334055274E-4</v>
      </c>
      <c r="CC28">
        <f>0.962*(0.955*0.943*(0.9442 - 0.0007*$B28 - dis_BMI*($C28-21.75)) - 0.15*0.5)*AY28</f>
        <v>1.6230674524224216E-4</v>
      </c>
      <c r="CD28">
        <f>0.962*(0.955*0.943*(0.9442 - 0.0007*$B28 - dis_BMI*($C28-21.75)))*AZ28</f>
        <v>7.132434603007512E-4</v>
      </c>
      <c r="CE28">
        <f>0.962*(0.93*(0.9442 - 0.0007*$B28 - dis_BMI*($C28-21.75)))*BA28</f>
        <v>1.0501382656380729E-3</v>
      </c>
      <c r="CF28">
        <f>0.962*(0.93*(0.9442 - 0.0007*$B28 - dis_BMI*($C28-21.75)))*BB28</f>
        <v>1.0322953175458522E-2</v>
      </c>
      <c r="CG28">
        <f>0.962*(0.93*0.943*(0.9442 - 0.0007*$B28 - dis_BMI*($C28-21.75)))*BC28</f>
        <v>6.9376619234201589E-5</v>
      </c>
      <c r="CH28">
        <f>0.962*(0.93*0.943*(0.9442 - 0.0007*$B28 - dis_BMI*($C28-21.75))-0.19*0.5)*BD28</f>
        <v>1.2337631445083648E-4</v>
      </c>
      <c r="CI28">
        <f>0.962*(0.93*0.943*(0.9442 - 0.0007*$B28 - dis_BMI*($C28-21.75)))*BE28</f>
        <v>5.0579806439644511E-4</v>
      </c>
      <c r="CJ28">
        <f t="shared" si="18"/>
        <v>0</v>
      </c>
      <c r="CK28">
        <f t="shared" si="19"/>
        <v>0.60354254902653237</v>
      </c>
      <c r="CL28">
        <f>CK28/(1+r_)^A28</f>
        <v>0.28825528270145012</v>
      </c>
      <c r="CM28">
        <f>AD28*c_PT_2</f>
        <v>303.5997132132195</v>
      </c>
      <c r="CN28">
        <f>AE28*(c_Other+c_PT_2)</f>
        <v>535.70632305652464</v>
      </c>
      <c r="CO28">
        <f>AF28*(c_Stroke1+c_Stroke2+c_PT_2)</f>
        <v>57.062303768206689</v>
      </c>
      <c r="CP28">
        <f>AG28*(c_Stroke2 + c_PT_2)</f>
        <v>76.934372187080498</v>
      </c>
      <c r="CQ28">
        <f>AH28*(c_MI1+c_MI2 + c_PT_2)</f>
        <v>36.459926539034335</v>
      </c>
      <c r="CR28">
        <f>AI28*(c_MI2+c_PT_2)</f>
        <v>30.373287783143972</v>
      </c>
      <c r="CS28">
        <f>AJ28*(c_Stroke1+c_Stroke2+c_MI2+c_PT_2)</f>
        <v>1.8842305440548404</v>
      </c>
      <c r="CT28">
        <f>AK28*(c_Stroke2+c_MI1+c_MI2+c_PT_2)</f>
        <v>2.0161544469316546</v>
      </c>
      <c r="CU28">
        <f>AL28*(c_Stroke2+c_MI2+c_PT_2)</f>
        <v>2.559701986941453</v>
      </c>
      <c r="CV28">
        <f>AM28*(c_HF1+c_PT_2)</f>
        <v>14.156298759283276</v>
      </c>
      <c r="CW28">
        <f>AN28*(c_HF2+c_PT_2)</f>
        <v>92.116839188384887</v>
      </c>
      <c r="CX28">
        <f>AO28*(c_Stroke2+c_HF1+c_PT_2)</f>
        <v>0.77177703856449509</v>
      </c>
      <c r="CY28">
        <f>AP28*(c_Stroke1+c_Stroke2+c_HF2+c_PT_2)</f>
        <v>1.9078403726508051</v>
      </c>
      <c r="CZ28">
        <f>AQ28*(c_Stroke2+c_HF2+c_PT_2)</f>
        <v>4.2115040358239177</v>
      </c>
      <c r="DA28">
        <f>AR28*(c_DM+c_PT_2)</f>
        <v>4076.1968254343915</v>
      </c>
      <c r="DB28">
        <f>AS28*(c_Other+c_DM+c_PT_2)</f>
        <v>2270.5655610753065</v>
      </c>
      <c r="DC28">
        <f>AT28*(c_Stroke1+c_Stroke2+c_DM+c_PT_2)</f>
        <v>228.01428259669066</v>
      </c>
      <c r="DD28">
        <f>AU28*(c_Stroke2+c_DM+c_PT_2)</f>
        <v>483.29857936812891</v>
      </c>
      <c r="DE28">
        <f>AV28*(c_MI1+c_MI2+c_DM+c_PT_2)</f>
        <v>142.54127081957338</v>
      </c>
      <c r="DF28">
        <f>AW28*(c_MI2+c_DM+c_PT_2)</f>
        <v>282.72657492639541</v>
      </c>
      <c r="DG28">
        <f>AX28*(c_Stroke1+c_Stroke2+c_MI2+c_DM+c_PT_2)</f>
        <v>11.798365534984706</v>
      </c>
      <c r="DH28">
        <f>AY28*(c_Stroke2+c_MI1+c_MI2+c_DM+c_PT_2)</f>
        <v>11.814916239455608</v>
      </c>
      <c r="DI28">
        <f>AZ28*(c_Stroke2+c_MI2+c_DM+c_PT_2)</f>
        <v>21.723168257655363</v>
      </c>
      <c r="DJ28">
        <f>BA28*(c_HF1+c_DM+c_PT_2)</f>
        <v>54.933451780334927</v>
      </c>
      <c r="DK28">
        <f>BB28*(c_HF2+c_DM+c_PT_2)</f>
        <v>385.453941789319</v>
      </c>
      <c r="DL28">
        <f>BC28*(c_Stroke2+c_HF1+c_DM+c_PT_2)</f>
        <v>4.4751381681602389</v>
      </c>
      <c r="DM28">
        <f>BD28*(c_Stroke1+c_Stroke2+c_HF2+c_DM+c_PT_2)</f>
        <v>10.272976576059543</v>
      </c>
      <c r="DN28">
        <f>BE28*(c_Stroke2+c_HF2+c_DM+c_PT_2)</f>
        <v>24.596388308139549</v>
      </c>
      <c r="DO28">
        <f t="shared" si="5"/>
        <v>0</v>
      </c>
      <c r="DP28">
        <f t="shared" si="38"/>
        <v>9168.1717137944379</v>
      </c>
      <c r="DQ28">
        <f>DP28/(1+r_)^A28</f>
        <v>4378.7698704554386</v>
      </c>
    </row>
    <row r="29" spans="1:121" x14ac:dyDescent="0.3">
      <c r="A29">
        <v>26</v>
      </c>
      <c r="B29">
        <v>71</v>
      </c>
      <c r="C29">
        <f t="shared" si="39"/>
        <v>34.542000000000002</v>
      </c>
      <c r="D29">
        <f t="shared" si="1"/>
        <v>125</v>
      </c>
      <c r="E29">
        <f t="shared" si="40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20"/>
        <v>4.0096398347168494E-2</v>
      </c>
      <c r="J29">
        <f t="shared" si="21"/>
        <v>0.24387737639628004</v>
      </c>
      <c r="K29">
        <f t="shared" si="22"/>
        <v>0.32396455432880744</v>
      </c>
      <c r="L29">
        <f t="shared" si="23"/>
        <v>0.12395643637871501</v>
      </c>
      <c r="M29">
        <f t="shared" si="24"/>
        <v>0.16917847018959165</v>
      </c>
      <c r="N29">
        <f t="shared" si="25"/>
        <v>0.51404199426324704</v>
      </c>
      <c r="O29">
        <f t="shared" si="26"/>
        <v>0.63928226682682232</v>
      </c>
      <c r="P29">
        <f t="shared" si="27"/>
        <v>0.29880141764699275</v>
      </c>
      <c r="Q29">
        <f t="shared" si="28"/>
        <v>0.39441503777559073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1.9898100377687897E-2</v>
      </c>
      <c r="U29">
        <f t="shared" si="29"/>
        <v>0.4557740221805594</v>
      </c>
      <c r="V29">
        <f t="shared" si="30"/>
        <v>0.57345864834559301</v>
      </c>
      <c r="W29">
        <f t="shared" si="31"/>
        <v>0.2502470022519675</v>
      </c>
      <c r="X29">
        <f t="shared" si="32"/>
        <v>0.33192682869225887</v>
      </c>
      <c r="Y29">
        <f t="shared" si="33"/>
        <v>0.70711314688479199</v>
      </c>
      <c r="Z29">
        <f t="shared" si="34"/>
        <v>0.8236185797452964</v>
      </c>
      <c r="AA29">
        <f t="shared" si="35"/>
        <v>0.45339328871200979</v>
      </c>
      <c r="AB29">
        <f t="shared" si="36"/>
        <v>0.57407059452198528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3.5002194991336964E-2</v>
      </c>
      <c r="AD29">
        <f t="shared" si="37"/>
        <v>0.19190510642597067</v>
      </c>
      <c r="AE29">
        <f t="shared" si="6"/>
        <v>3.3485797426147802E-2</v>
      </c>
      <c r="AF29">
        <f t="shared" si="7"/>
        <v>2.2050236223778649E-3</v>
      </c>
      <c r="AG29">
        <f t="shared" si="8"/>
        <v>9.4421933149981679E-3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1.1598642054900536E-3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6.4935325251824199E-3</v>
      </c>
      <c r="AJ29">
        <f t="shared" si="11"/>
        <v>6.7804695709039779E-5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5.5429795322800281E-5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2.3474795351622089E-4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4.8579703445738182E-4</v>
      </c>
      <c r="AN29">
        <f t="shared" si="15"/>
        <v>5.4664938723532706E-3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2.2559947578565966E-5</v>
      </c>
      <c r="AP29">
        <f>AM28*T28*p_Stroke*p_Stroke_rec*(1-I28) + AN28*T28*p_Stroke*p_Stroke_rec*(1-I28) + AO28*(p_recur_Stroke*p_Stroke_rec)*(1-I28) + AP28*(p_recur_Stroke*p_Stroke_rec)*(1-I28) + AQ28*(p_recur_Stroke*p_Stroke_rec)*(1-I28)</f>
        <v>4.9232967305930768E-5</v>
      </c>
      <c r="AQ29">
        <f>AO28*(1-p_recur_Stroke-H28*rr_Stroke*rr_HF)*(1-I28) + AP28*(1-p_recur_Stroke-H28*rr_Stroke*rr_HF)*(1-I28) + AQ28*(1-p_recur_Stroke-H28*rr_Stroke*rr_HF)*(1-I28)</f>
        <v>1.872457476962433E-4</v>
      </c>
      <c r="AR29">
        <f>AR28*(1-AC28-H28*rr_DM) + AD28*(1-T28-H28)*I28</f>
        <v>0.30766001211100358</v>
      </c>
      <c r="AS29">
        <f>AR28*AC28*p_Other + AD28*T28*p_Other*I28 + AE28*(1-T28*p_Stroke-T28*p_MI-H28*rr_Other)*I28 + AS28*(1-AC28*p_Stroke-AC28*p_MI-H28*rr_Other*rr_DM)</f>
        <v>8.6667933024617491E-2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6.4035806629512484E-3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2.5761665430412042E-2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3.4831551746476635E-3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1.8332680636558619E-2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3.2030667830244445E-4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2.6227096226392164E-4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1.0384111838846648E-3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1.422464724152287E-3</v>
      </c>
      <c r="BB29">
        <f>AM28*(1-T28*p_Stroke - H28*rr_HF)*I28 + AN28*(1-T28*p_Stroke - H28*rr_HF)*I28 + BA28*(1-AC28*p_Stroke - H28*rr_HF*rr_DM) + BB28*(1-AC28*p_Stroke - H28*rr_HF*rr_DM)</f>
        <v>1.4513922023186208E-2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1.043201421411772E-4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2.1910576823760768E-4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7.791956852856288E-4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0.22377014625824909</v>
      </c>
      <c r="BG29">
        <f t="shared" si="17"/>
        <v>0.94199999999999995</v>
      </c>
      <c r="BH29">
        <f>(0.9442 - 0.0007*$B29 - dis_BMI*($C29-21.75))*AD29</f>
        <v>0.16355811229740744</v>
      </c>
      <c r="BI29">
        <f>0.959*(0.9442 - 0.0007*$B29 - dis_BMI*($C29-21.75))*AE29</f>
        <v>2.7369370660142885E-2</v>
      </c>
      <c r="BJ29">
        <f>(0.943*(0.9442 - 0.0007*$B29 - dis_BMI*($C29-21.75)) - 0.19*0.5)*AF29</f>
        <v>1.5627136371387036E-3</v>
      </c>
      <c r="BK29">
        <f>(0.943*(0.9442 - 0.0007*$B29 - dis_BMI*($C29-21.75)))*AG29</f>
        <v>7.5887481304768552E-3</v>
      </c>
      <c r="BL29">
        <f>(0.955*(0.9442 - 0.0007*$B29 - dis_BMI*($C29-21.75)) - 0.15*0.5)*AH29</f>
        <v>8.5706253080585512E-4</v>
      </c>
      <c r="BM29">
        <f>(0.955*(0.9442 - 0.0007*$B29 - dis_BMI*($C29-21.75)))*AI29</f>
        <v>5.2853037335079556E-3</v>
      </c>
      <c r="BN29">
        <f>(0.955*0.943*(0.9442 - 0.0007*$B29 - dis_BMI*($C29-21.75)) - 0.19*0.5)*AJ29</f>
        <v>4.5601322712003949E-5</v>
      </c>
      <c r="BO29">
        <f>(0.955*0.943*(0.9442 - 0.0007*$B29 - dis_BMI*($C29-21.75)) - 0.15*0.5)*AK29</f>
        <v>3.8387311752655894E-5</v>
      </c>
      <c r="BP29">
        <f>(0.955*0.943*(0.9442 - 0.0007*$B29 - dis_BMI*($C29-21.75)))*AL29</f>
        <v>1.8017828034457502E-4</v>
      </c>
      <c r="BQ29">
        <f>(0.93*(0.9442 - 0.0007*$B29 - dis_BMI*($C29-21.75)))*AM29</f>
        <v>3.8505553123437288E-4</v>
      </c>
      <c r="BR29">
        <f>(0.93*(0.9442 - 0.0007*$B29 - dis_BMI*($C29-21.75)))*AN29</f>
        <v>4.3328870962737274E-3</v>
      </c>
      <c r="BS29">
        <f>(0.93*0.943*(0.9442 - 0.0007*$B29 - dis_BMI*($C29-21.75)))*AO29</f>
        <v>1.686235724033091E-5</v>
      </c>
      <c r="BT29">
        <f>(0.93*0.943*(0.9442 - 0.0007*$B29 - dis_BMI*($C29-21.75))-0.19*0.5)*AP29</f>
        <v>3.2121884585163155E-5</v>
      </c>
      <c r="BU29">
        <f>(0.93*0.943*(0.9442 - 0.0007*$B29 - dis_BMI*($C29-21.75)))*AQ29</f>
        <v>1.3995620683031858E-4</v>
      </c>
      <c r="BV29">
        <f>0.962*(0.9442 - 0.0007*$B29 - dis_BMI*($C29-21.75))*AR29</f>
        <v>0.25225029526849402</v>
      </c>
      <c r="BW29">
        <f>0.962*0.959*(0.9442 - 0.0007*$B29 - dis_BMI*($C29-21.75))*AS29</f>
        <v>6.8145577556172163E-2</v>
      </c>
      <c r="BX29">
        <f>0.962*(0.943*(0.9442 - 0.0007*$B29 - dis_BMI*($C29-21.75)) - 0.19*0.5)*AT29</f>
        <v>4.3658027711498551E-3</v>
      </c>
      <c r="BY29">
        <f>0.962*(0.943*(0.9442 - 0.0007*$B29 - dis_BMI*($C29-21.75)))*AU29</f>
        <v>1.9918024347171687E-2</v>
      </c>
      <c r="BZ29">
        <f>0.962*(0.955*(0.9442 - 0.0007*$B29 - dis_BMI*($C29-21.75)) - 0.15*0.5)*AV29</f>
        <v>2.4760149227737237E-3</v>
      </c>
      <c r="CA29">
        <f>0.962*(0.955*(0.9442 - 0.0007*$B29 - dis_BMI*($C29-21.75)))*AW29</f>
        <v>1.4354562975762788E-2</v>
      </c>
      <c r="CB29">
        <f>0.962*(0.955*0.943*(0.9442 - 0.0007*$B29 - dis_BMI*($C29-21.75)) - 0.19*0.5)*AX29</f>
        <v>2.0723291426041207E-4</v>
      </c>
      <c r="CC29">
        <f>0.962*(0.955*0.943*(0.9442 - 0.0007*$B29 - dis_BMI*($C29-21.75)) - 0.15*0.5)*AY29</f>
        <v>1.7473089702733786E-4</v>
      </c>
      <c r="CD29">
        <f>0.962*(0.955*0.943*(0.9442 - 0.0007*$B29 - dis_BMI*($C29-21.75)))*AZ29</f>
        <v>7.6673458206384475E-4</v>
      </c>
      <c r="CE29">
        <f>0.962*(0.93*(0.9442 - 0.0007*$B29 - dis_BMI*($C29-21.75)))*BA29</f>
        <v>1.0846386701976801E-3</v>
      </c>
      <c r="CF29">
        <f>0.962*(0.93*(0.9442 - 0.0007*$B29 - dis_BMI*($C29-21.75)))*BB29</f>
        <v>1.1066960617925425E-2</v>
      </c>
      <c r="CG29">
        <f>0.962*(0.93*0.943*(0.9442 - 0.0007*$B29 - dis_BMI*($C29-21.75)))*BC29</f>
        <v>7.5010738615227969E-5</v>
      </c>
      <c r="CH29">
        <f>0.962*(0.93*0.943*(0.9442 - 0.0007*$B29 - dis_BMI*($C29-21.75))-0.19*0.5)*BD29</f>
        <v>1.3752254113848613E-4</v>
      </c>
      <c r="CI29">
        <f>0.962*(0.93*0.943*(0.9442 - 0.0007*$B29 - dis_BMI*($C29-21.75)))*BE29</f>
        <v>5.6027573083609861E-4</v>
      </c>
      <c r="CJ29">
        <f t="shared" si="18"/>
        <v>0</v>
      </c>
      <c r="CK29">
        <f t="shared" si="19"/>
        <v>0.58697574551404164</v>
      </c>
      <c r="CL29">
        <f>CK29/(1+r_)^A29</f>
        <v>0.27217755832914647</v>
      </c>
      <c r="CM29">
        <f>AD29*c_PT_2</f>
        <v>281.14098091404702</v>
      </c>
      <c r="CN29">
        <f>AE29*(c_Other+c_PT_2)</f>
        <v>527.20039467727099</v>
      </c>
      <c r="CO29">
        <f>AF29*(c_Stroke1+c_Stroke2+c_PT_2)</f>
        <v>55.745202197334805</v>
      </c>
      <c r="CP29">
        <f>AG29*(c_Stroke2 + c_PT_2)</f>
        <v>75.207069753960411</v>
      </c>
      <c r="CQ29">
        <f>AH29*(c_MI1+c_MI2 + c_PT_2)</f>
        <v>35.510402515283481</v>
      </c>
      <c r="CR29">
        <f>AI29*(c_MI2+c_PT_2)</f>
        <v>29.753366030385848</v>
      </c>
      <c r="CS29">
        <f>AJ29*(c_Stroke1+c_Stroke2+c_MI2+c_PT_2)</f>
        <v>1.9255177487453117</v>
      </c>
      <c r="CT29">
        <f>AK29*(c_Stroke2+c_MI1+c_MI2+c_PT_2)</f>
        <v>2.0573322832010552</v>
      </c>
      <c r="CU29">
        <f>AL29*(c_Stroke2+c_MI2+c_PT_2)</f>
        <v>2.6014768208667598</v>
      </c>
      <c r="CV29">
        <f>AM29*(c_HF1+c_PT_2)</f>
        <v>13.842786496863095</v>
      </c>
      <c r="CW29">
        <f>AN29*(c_HF2+c_PT_2)</f>
        <v>93.313050401070328</v>
      </c>
      <c r="CX29">
        <f>AO29*(c_Stroke2+c_HF1+c_PT_2)</f>
        <v>0.78948536551191595</v>
      </c>
      <c r="CY29">
        <f>AP29*(c_Stroke1+c_Stroke2+c_HF2+c_PT_2)</f>
        <v>2.0129391012702853</v>
      </c>
      <c r="CZ29">
        <f>AQ29*(c_Stroke2+c_HF2+c_PT_2)</f>
        <v>4.4133822732004546</v>
      </c>
      <c r="DA29">
        <f>AR29*(c_DM+c_PT_2)</f>
        <v>3965.7375561108361</v>
      </c>
      <c r="DB29">
        <f>AS29*(c_Other+c_DM+c_PT_2)</f>
        <v>2354.6810723458325</v>
      </c>
      <c r="DC29">
        <f>AT29*(c_Stroke1+c_Stroke2+c_DM+c_PT_2)</f>
        <v>235.04983181428852</v>
      </c>
      <c r="DD29">
        <f>AU29*(c_Stroke2+c_DM+c_PT_2)</f>
        <v>499.51869269568948</v>
      </c>
      <c r="DE29">
        <f>AV29*(c_MI1+c_MI2+c_DM+c_PT_2)</f>
        <v>146.43532669736243</v>
      </c>
      <c r="DF29">
        <f>AW29*(c_MI2+c_DM+c_PT_2)</f>
        <v>293.45121894939382</v>
      </c>
      <c r="DG29">
        <f>AX29*(c_Stroke1+c_Stroke2+c_MI2+c_DM+c_PT_2)</f>
        <v>12.755572850038245</v>
      </c>
      <c r="DH29">
        <f>AY29*(c_Stroke2+c_MI1+c_MI2+c_DM+c_PT_2)</f>
        <v>12.73089477925302</v>
      </c>
      <c r="DI29">
        <f>AZ29*(c_Stroke2+c_MI2+c_DM+c_PT_2)</f>
        <v>23.371520515692151</v>
      </c>
      <c r="DJ29">
        <f>BA29*(c_HF1+c_DM+c_PT_2)</f>
        <v>56.784791788159296</v>
      </c>
      <c r="DK29">
        <f>BB29*(c_HF2+c_DM+c_PT_2)</f>
        <v>413.57420805069103</v>
      </c>
      <c r="DL29">
        <f>BC29*(c_Stroke2+c_HF1+c_DM+c_PT_2)</f>
        <v>4.8425409981934457</v>
      </c>
      <c r="DM29">
        <f>BD29*(c_Stroke1+c_Stroke2+c_HF2+c_DM+c_PT_2)</f>
        <v>11.461641842277496</v>
      </c>
      <c r="DN29">
        <f>BE29*(c_Stroke2+c_HF2+c_DM+c_PT_2)</f>
        <v>27.267953006570579</v>
      </c>
      <c r="DO29">
        <f t="shared" si="5"/>
        <v>0</v>
      </c>
      <c r="DP29">
        <f t="shared" si="38"/>
        <v>9183.1762090232896</v>
      </c>
      <c r="DQ29">
        <f>DP29/(1+r_)^A29</f>
        <v>4258.1903892628134</v>
      </c>
    </row>
    <row r="30" spans="1:121" x14ac:dyDescent="0.3">
      <c r="A30">
        <v>27</v>
      </c>
      <c r="B30">
        <v>72</v>
      </c>
      <c r="C30">
        <f t="shared" si="39"/>
        <v>34.542000000000002</v>
      </c>
      <c r="D30">
        <f t="shared" si="1"/>
        <v>125</v>
      </c>
      <c r="E30">
        <f t="shared" si="40"/>
        <v>5.7</v>
      </c>
      <c r="F30">
        <v>1.686E-2</v>
      </c>
      <c r="G30">
        <v>2.496E-2</v>
      </c>
      <c r="H30">
        <f t="shared" si="3"/>
        <v>1.848E-2</v>
      </c>
      <c r="I30">
        <f t="shared" si="20"/>
        <v>4.0096398347168494E-2</v>
      </c>
      <c r="J30">
        <f t="shared" si="21"/>
        <v>0.25203254245442319</v>
      </c>
      <c r="K30">
        <f t="shared" si="22"/>
        <v>0.33415397444153472</v>
      </c>
      <c r="L30">
        <f t="shared" si="23"/>
        <v>0.12844215309965645</v>
      </c>
      <c r="M30">
        <f t="shared" si="24"/>
        <v>0.1751302703252684</v>
      </c>
      <c r="N30">
        <f t="shared" si="25"/>
        <v>0.52939980740322123</v>
      </c>
      <c r="O30">
        <f t="shared" si="26"/>
        <v>0.65528431525212882</v>
      </c>
      <c r="P30">
        <f t="shared" si="27"/>
        <v>0.30979068652966135</v>
      </c>
      <c r="Q30">
        <f t="shared" si="28"/>
        <v>0.40778190126867153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2.0577383898702294E-2</v>
      </c>
      <c r="U30">
        <f t="shared" si="29"/>
        <v>0.46846743146822789</v>
      </c>
      <c r="V30">
        <f t="shared" si="30"/>
        <v>0.58732613932544941</v>
      </c>
      <c r="W30">
        <f t="shared" si="31"/>
        <v>0.25857681559962398</v>
      </c>
      <c r="X30">
        <f t="shared" si="32"/>
        <v>0.34229858019071013</v>
      </c>
      <c r="Y30">
        <f t="shared" si="33"/>
        <v>0.72268871823634195</v>
      </c>
      <c r="Z30">
        <f t="shared" si="34"/>
        <v>0.83672514667336351</v>
      </c>
      <c r="AA30">
        <f t="shared" si="35"/>
        <v>0.46789020034214146</v>
      </c>
      <c r="AB30">
        <f t="shared" si="36"/>
        <v>0.58994433906432486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3.603640512458528E-2</v>
      </c>
      <c r="AD30">
        <f t="shared" si="37"/>
        <v>0.17709507332338423</v>
      </c>
      <c r="AE30">
        <f t="shared" si="6"/>
        <v>3.2727557938918621E-2</v>
      </c>
      <c r="AF30">
        <f t="shared" si="7"/>
        <v>2.1452378623294287E-3</v>
      </c>
      <c r="AG30">
        <f t="shared" si="8"/>
        <v>9.1342701211087705E-3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1.1263677673128821E-3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6.3233963025688244E-3</v>
      </c>
      <c r="AJ30">
        <f t="shared" si="11"/>
        <v>6.8868681883833325E-5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5.6190768745094013E-5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2.3445182287308531E-4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4.7353857168876519E-4</v>
      </c>
      <c r="AN30">
        <f t="shared" si="15"/>
        <v>5.492728016146262E-3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2.2914456376627866E-5</v>
      </c>
      <c r="AP30">
        <f>AM29*T29*p_Stroke*p_Stroke_rec*(1-I29) + AN29*T29*p_Stroke*p_Stroke_rec*(1-I29) + AO29*(p_recur_Stroke*p_Stroke_rec)*(1-I29) + AP29*(p_recur_Stroke*p_Stroke_rec)*(1-I29) + AQ29*(p_recur_Stroke*p_Stroke_rec)*(1-I29)</f>
        <v>5.1508062892590342E-5</v>
      </c>
      <c r="AQ30">
        <f>AO29*(1-p_recur_Stroke-H29*rr_Stroke*rr_HF)*(1-I29) + AP29*(1-p_recur_Stroke-H29*rr_Stroke*rr_HF)*(1-I29) + AQ29*(1-p_recur_Stroke-H29*rr_Stroke*rr_HF)*(1-I29)</f>
        <v>1.9228620369527355E-4</v>
      </c>
      <c r="AR30">
        <f>AR29*(1-AC29-H29*rr_DM) + AD29*(1-T29-H29)*I29</f>
        <v>0.29766258836200604</v>
      </c>
      <c r="AS30">
        <f>AR29*AC29*p_Other + AD29*T29*p_Other*I29 + AE29*(1-T29*p_Stroke-T29*p_MI-H29*rr_Other)*I29 + AS29*(1-AC29*p_Stroke-AC29*p_MI-H29*rr_Other*rr_DM)</f>
        <v>8.9046215232055179E-2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6.5612284029924446E-3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2.6270973325203006E-2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3.5610475514560439E-3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1.8869133118082134E-2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3.4341211154761535E-4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2.8011213626061944E-4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1.0932459605399348E-3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1.4628969969255766E-3</v>
      </c>
      <c r="BB30">
        <f>AM29*(1-T29*p_Stroke - H29*rr_HF)*I29 + AN29*(1-T29*p_Stroke - H29*rr_HF)*I29 + BA29*(1-AC29*p_Stroke - H29*rr_HF*rr_DM) + BB29*(1-AC29*p_Stroke - H29*rr_HF*rr_DM)</f>
        <v>1.5412859276368601E-2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1.1182178689367553E-4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2.419132637440101E-4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8.4305970895048421E-4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0.24509510286705044</v>
      </c>
      <c r="BG30">
        <f t="shared" si="17"/>
        <v>0.94200000000000017</v>
      </c>
      <c r="BH30">
        <f>(0.9442 - 0.0007*$B30 - dis_BMI*($C30-21.75))*AD30</f>
        <v>0.15081175594919682</v>
      </c>
      <c r="BI30">
        <f>0.959*(0.9442 - 0.0007*$B30 - dis_BMI*($C30-21.75))*AE30</f>
        <v>2.672765917290933E-2</v>
      </c>
      <c r="BJ30">
        <f>(0.943*(0.9442 - 0.0007*$B30 - dis_BMI*($C30-21.75)) - 0.19*0.5)*AF30</f>
        <v>1.5189270342690036E-3</v>
      </c>
      <c r="BK30">
        <f>(0.943*(0.9442 - 0.0007*$B30 - dis_BMI*($C30-21.75)))*AG30</f>
        <v>7.3352388571460148E-3</v>
      </c>
      <c r="BL30">
        <f>(0.955*(0.9442 - 0.0007*$B30 - dis_BMI*($C30-21.75)) - 0.15*0.5)*AH30</f>
        <v>8.3155791325165824E-4</v>
      </c>
      <c r="BM30">
        <f>(0.955*(0.9442 - 0.0007*$B30 - dis_BMI*($C30-21.75)))*AI30</f>
        <v>5.1425969698893903E-3</v>
      </c>
      <c r="BN30">
        <f>(0.955*0.943*(0.9442 - 0.0007*$B30 - dis_BMI*($C30-21.75)) - 0.19*0.5)*AJ30</f>
        <v>4.6273480723990978E-5</v>
      </c>
      <c r="BO30">
        <f>(0.955*0.943*(0.9442 - 0.0007*$B30 - dis_BMI*($C30-21.75)) - 0.15*0.5)*AK30</f>
        <v>3.8878893347473283E-5</v>
      </c>
      <c r="BP30">
        <f>(0.955*0.943*(0.9442 - 0.0007*$B30 - dis_BMI*($C30-21.75)))*AL30</f>
        <v>1.7980319106339042E-4</v>
      </c>
      <c r="BQ30">
        <f>(0.93*(0.9442 - 0.0007*$B30 - dis_BMI*($C30-21.75)))*AM30</f>
        <v>3.7503087699878711E-4</v>
      </c>
      <c r="BR30">
        <f>(0.93*(0.9442 - 0.0007*$B30 - dis_BMI*($C30-21.75)))*AN30</f>
        <v>4.3501052040276983E-3</v>
      </c>
      <c r="BS30">
        <f>(0.93*0.943*(0.9442 - 0.0007*$B30 - dis_BMI*($C30-21.75)))*AO30</f>
        <v>1.7113266629446698E-5</v>
      </c>
      <c r="BT30">
        <f>(0.93*0.943*(0.9442 - 0.0007*$B30 - dis_BMI*($C30-21.75))-0.19*0.5)*AP30</f>
        <v>3.357464263971005E-5</v>
      </c>
      <c r="BU30">
        <f>(0.93*0.943*(0.9442 - 0.0007*$B30 - dis_BMI*($C30-21.75)))*AQ30</f>
        <v>1.4360563562649845E-4</v>
      </c>
      <c r="BV30">
        <f>0.962*(0.9442 - 0.0007*$B30 - dis_BMI*($C30-21.75))*AR30</f>
        <v>0.2438529663804431</v>
      </c>
      <c r="BW30">
        <f>0.962*0.959*(0.9442 - 0.0007*$B30 - dis_BMI*($C30-21.75))*AS30</f>
        <v>6.9958076730361543E-2</v>
      </c>
      <c r="BX30">
        <f>0.962*(0.943*(0.9442 - 0.0007*$B30 - dis_BMI*($C30-21.75)) - 0.19*0.5)*AT30</f>
        <v>4.4691166113086682E-3</v>
      </c>
      <c r="BY30">
        <f>0.962*(0.943*(0.9442 - 0.0007*$B30 - dis_BMI*($C30-21.75)))*AU30</f>
        <v>2.0295121016441982E-2</v>
      </c>
      <c r="BZ30">
        <f>0.962*(0.955*(0.9442 - 0.0007*$B30 - dis_BMI*($C30-21.75)) - 0.15*0.5)*AV30</f>
        <v>2.5290949344025527E-3</v>
      </c>
      <c r="CA30">
        <f>0.962*(0.955*(0.9442 - 0.0007*$B30 - dis_BMI*($C30-21.75)))*AW30</f>
        <v>1.476247275238181E-2</v>
      </c>
      <c r="CB30">
        <f>0.962*(0.955*0.943*(0.9442 - 0.0007*$B30 - dis_BMI*($C30-21.75)) - 0.19*0.5)*AX30</f>
        <v>2.2197347334677265E-4</v>
      </c>
      <c r="CC30">
        <f>0.962*(0.955*0.943*(0.9442 - 0.0007*$B30 - dis_BMI*($C30-21.75)) - 0.15*0.5)*AY30</f>
        <v>1.8644722273577848E-4</v>
      </c>
      <c r="CD30">
        <f>0.962*(0.955*0.943*(0.9442 - 0.0007*$B30 - dis_BMI*($C30-21.75)))*AZ30</f>
        <v>8.0656010150264776E-4</v>
      </c>
      <c r="CE30">
        <f>0.962*(0.93*(0.9442 - 0.0007*$B30 - dis_BMI*($C30-21.75)))*BA30</f>
        <v>1.1145523862448414E-3</v>
      </c>
      <c r="CF30">
        <f>0.962*(0.93*(0.9442 - 0.0007*$B30 - dis_BMI*($C30-21.75)))*BB30</f>
        <v>1.1742753674000808E-2</v>
      </c>
      <c r="CG30">
        <f>0.962*(0.93*0.943*(0.9442 - 0.0007*$B30 - dis_BMI*($C30-21.75)))*BC30</f>
        <v>8.0338710802443667E-5</v>
      </c>
      <c r="CH30">
        <f>0.962*(0.93*0.943*(0.9442 - 0.0007*$B30 - dis_BMI*($C30-21.75))-0.19*0.5)*BD30</f>
        <v>1.5169488403910937E-4</v>
      </c>
      <c r="CI30">
        <f>0.962*(0.93*0.943*(0.9442 - 0.0007*$B30 - dis_BMI*($C30-21.75)))*BE30</f>
        <v>6.0569887164266018E-4</v>
      </c>
      <c r="CJ30">
        <f t="shared" si="18"/>
        <v>0</v>
      </c>
      <c r="CK30">
        <f t="shared" si="19"/>
        <v>0.56832898883737382</v>
      </c>
      <c r="CL30">
        <f>CK30/(1+r_)^A30</f>
        <v>0.25585549084888048</v>
      </c>
      <c r="CM30">
        <f>AD30*c_PT_2</f>
        <v>259.44428241875789</v>
      </c>
      <c r="CN30">
        <f>AE30*(c_Other+c_PT_2)</f>
        <v>515.2626721903348</v>
      </c>
      <c r="CO30">
        <f>AF30*(c_Stroke1+c_Stroke2+c_PT_2)</f>
        <v>54.233758397550289</v>
      </c>
      <c r="CP30">
        <f>AG30*(c_Stroke2 + c_PT_2)</f>
        <v>72.754461514631359</v>
      </c>
      <c r="CQ30">
        <f>AH30*(c_MI1+c_MI2 + c_PT_2)</f>
        <v>34.484875564051201</v>
      </c>
      <c r="CR30">
        <f>AI30*(c_MI2+c_PT_2)</f>
        <v>28.973801858370354</v>
      </c>
      <c r="CS30">
        <f>AJ30*(c_Stroke1+c_Stroke2+c_MI2+c_PT_2)</f>
        <v>1.9557328281370987</v>
      </c>
      <c r="CT30">
        <f>AK30*(c_Stroke2+c_MI1+c_MI2+c_PT_2)</f>
        <v>2.0855765727429092</v>
      </c>
      <c r="CU30">
        <f>AL30*(c_Stroke2+c_MI2+c_PT_2)</f>
        <v>2.5981951010795314</v>
      </c>
      <c r="CV30">
        <f>AM30*(c_HF1+c_PT_2)</f>
        <v>13.493481600271364</v>
      </c>
      <c r="CW30">
        <f>AN30*(c_HF2+c_PT_2)</f>
        <v>93.760867235616686</v>
      </c>
      <c r="CX30">
        <f>AO30*(c_Stroke2+c_HF1+c_PT_2)</f>
        <v>0.80189140090009214</v>
      </c>
      <c r="CY30">
        <f>AP30*(c_Stroke1+c_Stroke2+c_HF2+c_PT_2)</f>
        <v>2.1059586594264488</v>
      </c>
      <c r="CZ30">
        <f>AQ30*(c_Stroke2+c_HF2+c_PT_2)</f>
        <v>4.5321858210975972</v>
      </c>
      <c r="DA30">
        <f>AR30*(c_DM+c_PT_2)</f>
        <v>3836.8707639862578</v>
      </c>
      <c r="DB30">
        <f>AS30*(c_Other+c_DM+c_PT_2)</f>
        <v>2419.2966216397072</v>
      </c>
      <c r="DC30">
        <f>AT30*(c_Stroke1+c_Stroke2+c_DM+c_PT_2)</f>
        <v>240.83644976024067</v>
      </c>
      <c r="DD30">
        <f>AU30*(c_Stroke2+c_DM+c_PT_2)</f>
        <v>509.39417277568629</v>
      </c>
      <c r="DE30">
        <f>AV30*(c_MI1+c_MI2+c_DM+c_PT_2)</f>
        <v>149.71000011076353</v>
      </c>
      <c r="DF30">
        <f>AW30*(c_MI2+c_DM+c_PT_2)</f>
        <v>302.03821382114074</v>
      </c>
      <c r="DG30">
        <f>AX30*(c_Stroke1+c_Stroke2+c_MI2+c_DM+c_PT_2)</f>
        <v>13.675700518160687</v>
      </c>
      <c r="DH30">
        <f>AY30*(c_Stroke2+c_MI1+c_MI2+c_DM+c_PT_2)</f>
        <v>13.596923206226728</v>
      </c>
      <c r="DI30">
        <f>AZ30*(c_Stroke2+c_MI2+c_DM+c_PT_2)</f>
        <v>24.605686833872312</v>
      </c>
      <c r="DJ30">
        <f>BA30*(c_HF1+c_DM+c_PT_2)</f>
        <v>58.398848117269019</v>
      </c>
      <c r="DK30">
        <f>BB30*(c_HF2+c_DM+c_PT_2)</f>
        <v>439.18942508012327</v>
      </c>
      <c r="DL30">
        <f>BC30*(c_Stroke2+c_HF1+c_DM+c_PT_2)</f>
        <v>5.1907673476044183</v>
      </c>
      <c r="DM30">
        <f>BD30*(c_Stroke1+c_Stroke2+c_HF2+c_DM+c_PT_2)</f>
        <v>12.654724739712913</v>
      </c>
      <c r="DN30">
        <f>BE30*(c_Stroke2+c_HF2+c_DM+c_PT_2)</f>
        <v>29.502874514722194</v>
      </c>
      <c r="DO30">
        <f t="shared" si="5"/>
        <v>0</v>
      </c>
      <c r="DP30">
        <f t="shared" si="38"/>
        <v>9141.4489136144566</v>
      </c>
      <c r="DQ30">
        <f>DP30/(1+r_)^A30</f>
        <v>4115.3802547489986</v>
      </c>
    </row>
    <row r="31" spans="1:121" x14ac:dyDescent="0.3">
      <c r="A31">
        <v>28</v>
      </c>
      <c r="B31">
        <v>73</v>
      </c>
      <c r="C31">
        <f t="shared" si="39"/>
        <v>34.542000000000002</v>
      </c>
      <c r="D31">
        <f t="shared" si="1"/>
        <v>125</v>
      </c>
      <c r="E31">
        <f t="shared" si="40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20"/>
        <v>4.0096398347168494E-2</v>
      </c>
      <c r="J31">
        <f t="shared" si="21"/>
        <v>0.26029382984590699</v>
      </c>
      <c r="K31">
        <f t="shared" si="22"/>
        <v>0.34443071872876874</v>
      </c>
      <c r="L31">
        <f t="shared" si="23"/>
        <v>0.13301257957607626</v>
      </c>
      <c r="M31">
        <f t="shared" si="24"/>
        <v>0.18118186112994927</v>
      </c>
      <c r="N31">
        <f t="shared" si="25"/>
        <v>0.54470791480205727</v>
      </c>
      <c r="O31">
        <f t="shared" si="26"/>
        <v>0.6710213624851511</v>
      </c>
      <c r="P31">
        <f t="shared" si="27"/>
        <v>0.32092727102357377</v>
      </c>
      <c r="Q31">
        <f t="shared" si="28"/>
        <v>0.42123857181952595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2.1265066073771006E-2</v>
      </c>
      <c r="U31">
        <f t="shared" si="29"/>
        <v>0.48116108752161868</v>
      </c>
      <c r="V31">
        <f t="shared" si="30"/>
        <v>0.60106188896541424</v>
      </c>
      <c r="W31">
        <f t="shared" si="31"/>
        <v>0.26701222092117172</v>
      </c>
      <c r="X31">
        <f t="shared" si="32"/>
        <v>0.35275435415408907</v>
      </c>
      <c r="Y31">
        <f t="shared" si="33"/>
        <v>0.73786295402410818</v>
      </c>
      <c r="Z31">
        <f t="shared" si="34"/>
        <v>0.8492049546393643</v>
      </c>
      <c r="AA31">
        <f t="shared" si="35"/>
        <v>0.48241713755978721</v>
      </c>
      <c r="AB31">
        <f t="shared" si="36"/>
        <v>0.60567278600068475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3.7073583666087637E-2</v>
      </c>
      <c r="AD31">
        <f t="shared" si="37"/>
        <v>0.16335467003820411</v>
      </c>
      <c r="AE31">
        <f t="shared" si="6"/>
        <v>3.1945266320873821E-2</v>
      </c>
      <c r="AF31">
        <f t="shared" si="7"/>
        <v>2.0722994264262794E-3</v>
      </c>
      <c r="AG31">
        <f t="shared" si="8"/>
        <v>8.8526827492360176E-3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1.0887559297428208E-3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6.1568355660584695E-3</v>
      </c>
      <c r="AJ31">
        <f t="shared" si="11"/>
        <v>6.9235559182703895E-5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5.6327957206024761E-5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2.3587633827138572E-4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4.5927140428472752E-4</v>
      </c>
      <c r="AN31">
        <f t="shared" si="15"/>
        <v>5.5073148582234464E-3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2.2989887070072226E-5</v>
      </c>
      <c r="AP31">
        <f>AM30*T30*p_Stroke*p_Stroke_rec*(1-I30) + AN30*T30*p_Stroke*p_Stroke_rec*(1-I30) + AO30*(p_recur_Stroke*p_Stroke_rec)*(1-I30) + AP30*(p_recur_Stroke*p_Stroke_rec)*(1-I30) + AQ30*(p_recur_Stroke*p_Stroke_rec)*(1-I30)</f>
        <v>5.3200553447065201E-5</v>
      </c>
      <c r="AQ31">
        <f>AO30*(1-p_recur_Stroke-H30*rr_Stroke*rr_HF)*(1-I30) + AP30*(1-p_recur_Stroke-H30*rr_Stroke*rr_HF)*(1-I30) + AQ30*(1-p_recur_Stroke-H30*rr_Stroke*rr_HF)*(1-I30)</f>
        <v>1.9834142940485666E-4</v>
      </c>
      <c r="AR31">
        <f>AR30*(1-AC30-H30*rr_DM) + AD30*(1-T30-H30)*I30</f>
        <v>0.28743350642931065</v>
      </c>
      <c r="AS31">
        <f>AR30*AC30*p_Other + AD30*T30*p_Other*I30 + AE30*(1-T30*p_Stroke-T30*p_MI-H30*rr_Other)*I30 + AS30*(1-AC30*p_Stroke-AC30*p_MI-H30*rr_Other*rr_DM)</f>
        <v>9.124070227957079E-2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6.6600095878438636E-3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2.6817874033904881E-2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3.615994326656412E-3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1.9390873656125147E-2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3.6346041988373468E-4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2.9499792588106569E-4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1.1597461578602545E-3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1.493679078419325E-3</v>
      </c>
      <c r="BB31">
        <f>AM30*(1-T30*p_Stroke - H30*rr_HF)*I30 + AN30*(1-T30*p_Stroke - H30*rr_HF)*I30 + BA30*(1-AC30*p_Stroke - H30*rr_HF*rr_DM) + BB30*(1-AC30*p_Stroke - H30*rr_HF*rr_DM)</f>
        <v>1.6313199975365008E-2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1.18041292168068E-4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2.6303115687563276E-4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9.1657543088598736E-4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0.26584524023161749</v>
      </c>
      <c r="BG31">
        <f t="shared" si="17"/>
        <v>0.94200000000000017</v>
      </c>
      <c r="BH31">
        <f>(0.9442 - 0.0007*$B31 - dis_BMI*($C31-21.75))*AD31</f>
        <v>0.13899626711199536</v>
      </c>
      <c r="BI31">
        <f>0.959*(0.9442 - 0.0007*$B31 - dis_BMI*($C31-21.75))*AE31</f>
        <v>2.6067339157880381E-2</v>
      </c>
      <c r="BJ31">
        <f>(0.943*(0.9442 - 0.0007*$B31 - dis_BMI*($C31-21.75)) - 0.19*0.5)*AF31</f>
        <v>1.4659153434390117E-3</v>
      </c>
      <c r="BK31">
        <f>(0.943*(0.9442 - 0.0007*$B31 - dis_BMI*($C31-21.75)))*AG31</f>
        <v>7.1032675956136842E-3</v>
      </c>
      <c r="BL31">
        <f>(0.955*(0.9442 - 0.0007*$B31 - dis_BMI*($C31-21.75)) - 0.15*0.5)*AH31</f>
        <v>8.0306257619762174E-4</v>
      </c>
      <c r="BM31">
        <f>(0.955*(0.9442 - 0.0007*$B31 - dis_BMI*($C31-21.75)))*AI31</f>
        <v>5.0030231059366584E-3</v>
      </c>
      <c r="BN31">
        <f>(0.955*0.943*(0.9442 - 0.0007*$B31 - dis_BMI*($C31-21.75)) - 0.19*0.5)*AJ31</f>
        <v>4.6476343063678506E-5</v>
      </c>
      <c r="BO31">
        <f>(0.955*0.943*(0.9442 - 0.0007*$B31 - dis_BMI*($C31-21.75)) - 0.15*0.5)*AK31</f>
        <v>3.8938306374688171E-5</v>
      </c>
      <c r="BP31">
        <f>(0.955*0.943*(0.9442 - 0.0007*$B31 - dis_BMI*($C31-21.75)))*AL31</f>
        <v>1.8074696922732852E-4</v>
      </c>
      <c r="BQ31">
        <f>(0.93*(0.9442 - 0.0007*$B31 - dis_BMI*($C31-21.75)))*AM31</f>
        <v>3.6343264638774206E-4</v>
      </c>
      <c r="BR31">
        <f>(0.93*(0.9442 - 0.0007*$B31 - dis_BMI*($C31-21.75)))*AN31</f>
        <v>4.3580723614436408E-3</v>
      </c>
      <c r="BS31">
        <f>(0.93*0.943*(0.9442 - 0.0007*$B31 - dis_BMI*($C31-21.75)))*AO31</f>
        <v>1.7155487411446234E-5</v>
      </c>
      <c r="BT31">
        <f>(0.93*0.943*(0.9442 - 0.0007*$B31 - dis_BMI*($C31-21.75))-0.19*0.5)*AP31</f>
        <v>3.4645203976564254E-5</v>
      </c>
      <c r="BU31">
        <f>(0.93*0.943*(0.9442 - 0.0007*$B31 - dis_BMI*($C31-21.75)))*AQ31</f>
        <v>1.480061161219345E-4</v>
      </c>
      <c r="BV31">
        <f>0.962*(0.9442 - 0.0007*$B31 - dis_BMI*($C31-21.75))*AR31</f>
        <v>0.2352794775870625</v>
      </c>
      <c r="BW31">
        <f>0.962*0.959*(0.9442 - 0.0007*$B31 - dis_BMI*($C31-21.75))*AS31</f>
        <v>7.1623226419601629E-2</v>
      </c>
      <c r="BX31">
        <f>0.962*(0.943*(0.9442 - 0.0007*$B31 - dis_BMI*($C31-21.75)) - 0.19*0.5)*AT31</f>
        <v>4.5321712361141046E-3</v>
      </c>
      <c r="BY31">
        <f>0.962*(0.943*(0.9442 - 0.0007*$B31 - dis_BMI*($C31-21.75)))*AU31</f>
        <v>2.0700588561245594E-2</v>
      </c>
      <c r="BZ31">
        <f>0.962*(0.955*(0.9442 - 0.0007*$B31 - dis_BMI*($C31-21.75)) - 0.15*0.5)*AV31</f>
        <v>2.5657933002489228E-3</v>
      </c>
      <c r="CA31">
        <f>0.962*(0.955*(0.9442 - 0.0007*$B31 - dis_BMI*($C31-21.75)))*AW31</f>
        <v>1.5158191958291184E-2</v>
      </c>
      <c r="CB31">
        <f>0.962*(0.955*0.943*(0.9442 - 0.0007*$B31 - dis_BMI*($C31-21.75)) - 0.19*0.5)*AX31</f>
        <v>2.3471180896290724E-4</v>
      </c>
      <c r="CC31">
        <f>0.962*(0.955*0.943*(0.9442 - 0.0007*$B31 - dis_BMI*($C31-21.75)) - 0.15*0.5)*AY31</f>
        <v>1.9617654927479069E-4</v>
      </c>
      <c r="CD31">
        <f>0.962*(0.955*0.943*(0.9442 - 0.0007*$B31 - dis_BMI*($C31-21.75)))*AZ31</f>
        <v>8.5491839353648354E-4</v>
      </c>
      <c r="CE31">
        <f>0.962*(0.93*(0.9442 - 0.0007*$B31 - dis_BMI*($C31-21.75)))*BA31</f>
        <v>1.1370692129307365E-3</v>
      </c>
      <c r="CF31">
        <f>0.962*(0.93*(0.9442 - 0.0007*$B31 - dis_BMI*($C31-21.75)))*BB31</f>
        <v>1.241848916836915E-2</v>
      </c>
      <c r="CG31">
        <f>0.962*(0.93*0.943*(0.9442 - 0.0007*$B31 - dis_BMI*($C31-21.75)))*BC31</f>
        <v>8.4737422659503817E-5</v>
      </c>
      <c r="CH31">
        <f>0.962*(0.93*0.943*(0.9442 - 0.0007*$B31 - dis_BMI*($C31-21.75))-0.19*0.5)*BD31</f>
        <v>1.6478179881622917E-4</v>
      </c>
      <c r="CI31">
        <f>0.962*(0.93*0.943*(0.9442 - 0.0007*$B31 - dis_BMI*($C31-21.75)))*BE31</f>
        <v>6.5797517343099037E-4</v>
      </c>
      <c r="CJ31">
        <f t="shared" si="18"/>
        <v>0</v>
      </c>
      <c r="CK31">
        <f t="shared" si="19"/>
        <v>0.55023465691561457</v>
      </c>
      <c r="CL31">
        <f>CK31/(1+r_)^A31</f>
        <v>0.24049477732651989</v>
      </c>
      <c r="CM31">
        <f>AD31*c_PT_2</f>
        <v>239.31459160596901</v>
      </c>
      <c r="CN31">
        <f>AE31*(c_Other+c_PT_2)</f>
        <v>502.94627295583746</v>
      </c>
      <c r="CO31">
        <f>AF31*(c_Stroke1+c_Stroke2+c_PT_2)</f>
        <v>52.389801799482768</v>
      </c>
      <c r="CP31">
        <f>AG31*(c_Stroke2 + c_PT_2)</f>
        <v>70.511618097664879</v>
      </c>
      <c r="CQ31">
        <f>AH31*(c_MI1+c_MI2 + c_PT_2)</f>
        <v>33.333351545006202</v>
      </c>
      <c r="CR31">
        <f>AI31*(c_MI2+c_PT_2)</f>
        <v>28.210620563679907</v>
      </c>
      <c r="CS31">
        <f>AJ31*(c_Stroke1+c_Stroke2+c_MI2+c_PT_2)</f>
        <v>1.9661514096704251</v>
      </c>
      <c r="CT31">
        <f>AK31*(c_Stroke2+c_MI1+c_MI2+c_PT_2)</f>
        <v>2.090668459658815</v>
      </c>
      <c r="CU31">
        <f>AL31*(c_Stroke2+c_MI2+c_PT_2)</f>
        <v>2.6139815807234967</v>
      </c>
      <c r="CV31">
        <f>AM31*(c_HF1+c_PT_2)</f>
        <v>13.08693866509331</v>
      </c>
      <c r="CW31">
        <f>AN31*(c_HF2+c_PT_2)</f>
        <v>94.00986462987423</v>
      </c>
      <c r="CX31">
        <f>AO31*(c_Stroke2+c_HF1+c_PT_2)</f>
        <v>0.80453109801717759</v>
      </c>
      <c r="CY31">
        <f>AP31*(c_Stroke1+c_Stroke2+c_HF2+c_PT_2)</f>
        <v>2.1751578282367077</v>
      </c>
      <c r="CZ31">
        <f>AQ31*(c_Stroke2+c_HF2+c_PT_2)</f>
        <v>4.6749074910724717</v>
      </c>
      <c r="DA31">
        <f>AR31*(c_DM+c_PT_2)</f>
        <v>3705.017897873814</v>
      </c>
      <c r="DB31">
        <f>AS31*(c_Other+c_DM+c_PT_2)</f>
        <v>2478.9186402336586</v>
      </c>
      <c r="DC31">
        <f>AT31*(c_Stroke1+c_Stroke2+c_DM+c_PT_2)</f>
        <v>244.46231193139687</v>
      </c>
      <c r="DD31">
        <f>AU31*(c_Stroke2+c_DM+c_PT_2)</f>
        <v>519.99857751741558</v>
      </c>
      <c r="DE31">
        <f>AV31*(c_MI1+c_MI2+c_DM+c_PT_2)</f>
        <v>152.02001748696222</v>
      </c>
      <c r="DF31">
        <f>AW31*(c_MI2+c_DM+c_PT_2)</f>
        <v>310.38971461359523</v>
      </c>
      <c r="DG31">
        <f>AX31*(c_Stroke1+c_Stroke2+c_MI2+c_DM+c_PT_2)</f>
        <v>14.474084301029967</v>
      </c>
      <c r="DH31">
        <f>AY31*(c_Stroke2+c_MI1+c_MI2+c_DM+c_PT_2)</f>
        <v>14.31949432019281</v>
      </c>
      <c r="DI31">
        <f>AZ31*(c_Stroke2+c_MI2+c_DM+c_PT_2)</f>
        <v>26.102406774960748</v>
      </c>
      <c r="DJ31">
        <f>BA31*(c_HF1+c_DM+c_PT_2)</f>
        <v>59.627668810499451</v>
      </c>
      <c r="DK31">
        <f>BB31*(c_HF2+c_DM+c_PT_2)</f>
        <v>464.84463329802588</v>
      </c>
      <c r="DL31">
        <f>BC31*(c_Stroke2+c_HF1+c_DM+c_PT_2)</f>
        <v>5.4794767824417168</v>
      </c>
      <c r="DM31">
        <f>BD31*(c_Stroke1+c_Stroke2+c_HF2+c_DM+c_PT_2)</f>
        <v>13.759422847321225</v>
      </c>
      <c r="DN31">
        <f>BE31*(c_Stroke2+c_HF2+c_DM+c_PT_2)</f>
        <v>32.075557203855126</v>
      </c>
      <c r="DO31">
        <f t="shared" si="5"/>
        <v>0</v>
      </c>
      <c r="DP31">
        <f t="shared" si="38"/>
        <v>9089.6183617251536</v>
      </c>
      <c r="DQ31">
        <f>DP31/(1+r_)^A31</f>
        <v>3972.8608811011131</v>
      </c>
    </row>
    <row r="32" spans="1:121" x14ac:dyDescent="0.3">
      <c r="A32">
        <v>29</v>
      </c>
      <c r="B32">
        <v>74</v>
      </c>
      <c r="C32">
        <f t="shared" si="39"/>
        <v>34.542000000000002</v>
      </c>
      <c r="D32">
        <f t="shared" si="1"/>
        <v>125</v>
      </c>
      <c r="E32">
        <f t="shared" si="40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20"/>
        <v>4.0096398347168494E-2</v>
      </c>
      <c r="J32">
        <f t="shared" si="21"/>
        <v>0.26865767422002695</v>
      </c>
      <c r="K32">
        <f t="shared" si="22"/>
        <v>0.35478831716133008</v>
      </c>
      <c r="L32">
        <f t="shared" si="23"/>
        <v>0.13766720990361692</v>
      </c>
      <c r="M32">
        <f t="shared" si="24"/>
        <v>0.18733182616494826</v>
      </c>
      <c r="N32">
        <f t="shared" si="25"/>
        <v>0.55994565301763255</v>
      </c>
      <c r="O32">
        <f t="shared" si="26"/>
        <v>0.68647052664823227</v>
      </c>
      <c r="P32">
        <f t="shared" si="27"/>
        <v>0.33220326308081638</v>
      </c>
      <c r="Q32">
        <f t="shared" si="28"/>
        <v>0.43477114040242837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2.1960794298238235E-2</v>
      </c>
      <c r="U32">
        <f t="shared" si="29"/>
        <v>0.49384355578998596</v>
      </c>
      <c r="V32">
        <f t="shared" si="30"/>
        <v>0.61465177057254916</v>
      </c>
      <c r="W32">
        <f t="shared" si="31"/>
        <v>0.2755494407959157</v>
      </c>
      <c r="X32">
        <f t="shared" si="32"/>
        <v>0.36328737283081713</v>
      </c>
      <c r="Y32">
        <f t="shared" si="33"/>
        <v>0.7526160429721831</v>
      </c>
      <c r="Z32">
        <f t="shared" si="34"/>
        <v>0.86105571285576277</v>
      </c>
      <c r="AA32">
        <f t="shared" si="35"/>
        <v>0.49695657874372179</v>
      </c>
      <c r="AB32">
        <f t="shared" si="36"/>
        <v>0.62123325655586392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3.8112909048386427E-2</v>
      </c>
      <c r="AD32">
        <f t="shared" si="37"/>
        <v>0.15011998305042004</v>
      </c>
      <c r="AE32">
        <f t="shared" si="6"/>
        <v>3.0960062276825059E-2</v>
      </c>
      <c r="AF32">
        <f t="shared" si="7"/>
        <v>2.0013095546464171E-3</v>
      </c>
      <c r="AG32">
        <f t="shared" si="8"/>
        <v>8.4781175052907522E-3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1.0515481179151228E-3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5.955283400274302E-3</v>
      </c>
      <c r="AJ32">
        <f t="shared" si="11"/>
        <v>6.9598637042741861E-5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5.6466273436580003E-5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2.3218990489126592E-4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4.4507633730909551E-4</v>
      </c>
      <c r="AN32">
        <f t="shared" si="15"/>
        <v>5.4766210572356599E-3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2.307745929678284E-5</v>
      </c>
      <c r="AP32">
        <f>AM31*T31*p_Stroke*p_Stroke_rec*(1-I31) + AN31*T31*p_Stroke*p_Stroke_rec*(1-I31) + AO31*(p_recur_Stroke*p_Stroke_rec)*(1-I31) + AP31*(p_recur_Stroke*p_Stroke_rec)*(1-I31) + AQ31*(p_recur_Stroke*p_Stroke_rec)*(1-I31)</f>
        <v>5.4864341383220394E-5</v>
      </c>
      <c r="AQ32">
        <f>AO31*(1-p_recur_Stroke-H31*rr_Stroke*rr_HF)*(1-I31) + AP31*(1-p_recur_Stroke-H31*rr_Stroke*rr_HF)*(1-I31) + AQ31*(1-p_recur_Stroke-H31*rr_Stroke*rr_HF)*(1-I31)</f>
        <v>1.9982677608711523E-4</v>
      </c>
      <c r="AR32">
        <f>AR31*(1-AC31-H31*rr_DM) + AD31*(1-T31-H31)*I31</f>
        <v>0.27598551959306905</v>
      </c>
      <c r="AS32">
        <f>AR31*AC31*p_Other + AD31*T31*p_Other*I31 + AE31*(1-T31*p_Stroke-T31*p_MI-H31*rr_Other)*I31 + AS31*(1-AC31*p_Stroke-AC31*p_MI-H31*rr_Other*rr_DM)</f>
        <v>9.2613123529627722E-2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6.7501677930270178E-3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2.6966946630718767E-2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3.6638602430385881E-3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1.9748254989450077E-2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3.841205958158416E-4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3.1031478886477072E-4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1.1976901839754817E-3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1.5217479174978038E-3</v>
      </c>
      <c r="BB32">
        <f>AM31*(1-T31*p_Stroke - H31*rr_HF)*I31 + AN31*(1-T31*p_Stroke - H31*rr_HF)*I31 + BA31*(1-AC31*p_Stroke - H31*rr_HF*rr_DM) + BB31*(1-AC31*p_Stroke - H31*rr_HF*rr_DM)</f>
        <v>1.708750009414094E-2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1.2453060355802168E-4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2.8524295549815667E-4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9.6864461577814175E-4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0.2892683107738856</v>
      </c>
      <c r="BG32">
        <f t="shared" si="17"/>
        <v>0.94200000000000017</v>
      </c>
      <c r="BH32">
        <f>(0.9442 - 0.0007*$B32 - dis_BMI*($C32-21.75))*AD32</f>
        <v>0.12762996795769765</v>
      </c>
      <c r="BI32">
        <f>0.959*(0.9442 - 0.0007*$B32 - dis_BMI*($C32-21.75))*AE32</f>
        <v>2.5242629111382406E-2</v>
      </c>
      <c r="BJ32">
        <f>(0.943*(0.9442 - 0.0007*$B32 - dis_BMI*($C32-21.75)) - 0.19*0.5)*AF32</f>
        <v>1.4143770464226562E-3</v>
      </c>
      <c r="BK32">
        <f>(0.943*(0.9442 - 0.0007*$B32 - dis_BMI*($C32-21.75)))*AG32</f>
        <v>6.7971253291659196E-3</v>
      </c>
      <c r="BL32">
        <f>(0.955*(0.9442 - 0.0007*$B32 - dis_BMI*($C32-21.75)) - 0.15*0.5)*AH32</f>
        <v>7.7491526405753315E-4</v>
      </c>
      <c r="BM32">
        <f>(0.955*(0.9442 - 0.0007*$B32 - dis_BMI*($C32-21.75)))*AI32</f>
        <v>4.8352614120813148E-3</v>
      </c>
      <c r="BN32">
        <f>(0.955*0.943*(0.9442 - 0.0007*$B32 - dis_BMI*($C32-21.75)) - 0.19*0.5)*AJ32</f>
        <v>4.6676194761277179E-5</v>
      </c>
      <c r="BO32">
        <f>(0.955*0.943*(0.9442 - 0.0007*$B32 - dis_BMI*($C32-21.75)) - 0.15*0.5)*AK32</f>
        <v>3.8998325327891899E-5</v>
      </c>
      <c r="BP32">
        <f>(0.955*0.943*(0.9442 - 0.0007*$B32 - dis_BMI*($C32-21.75)))*AL32</f>
        <v>1.7777576307539906E-4</v>
      </c>
      <c r="BQ32">
        <f>(0.93*(0.9442 - 0.0007*$B32 - dis_BMI*($C32-21.75)))*AM32</f>
        <v>3.5190999951606526E-4</v>
      </c>
      <c r="BR32">
        <f>(0.93*(0.9442 - 0.0007*$B32 - dis_BMI*($C32-21.75)))*AN32</f>
        <v>4.3302183289583036E-3</v>
      </c>
      <c r="BS32">
        <f>(0.93*0.943*(0.9442 - 0.0007*$B32 - dis_BMI*($C32-21.75)))*AO32</f>
        <v>1.7206668368254497E-5</v>
      </c>
      <c r="BT32">
        <f>(0.93*0.943*(0.9442 - 0.0007*$B32 - dis_BMI*($C32-21.75))-0.19*0.5)*AP32</f>
        <v>3.56950132310529E-5</v>
      </c>
      <c r="BU32">
        <f>(0.93*0.943*(0.9442 - 0.0007*$B32 - dis_BMI*($C32-21.75)))*AQ32</f>
        <v>1.4899183757666816E-4</v>
      </c>
      <c r="BV32">
        <f>0.962*(0.9442 - 0.0007*$B32 - dis_BMI*($C32-21.75))*AR32</f>
        <v>0.22572284821147234</v>
      </c>
      <c r="BW32">
        <f>0.962*0.959*(0.9442 - 0.0007*$B32 - dis_BMI*($C32-21.75))*AS32</f>
        <v>7.2640757512961757E-2</v>
      </c>
      <c r="BX32">
        <f>0.962*(0.943*(0.9442 - 0.0007*$B32 - dis_BMI*($C32-21.75)) - 0.19*0.5)*AT32</f>
        <v>4.5892378987393238E-3</v>
      </c>
      <c r="BY32">
        <f>0.962*(0.943*(0.9442 - 0.0007*$B32 - dis_BMI*($C32-21.75)))*AU32</f>
        <v>2.0798532536983015E-2</v>
      </c>
      <c r="BZ32">
        <f>0.962*(0.955*(0.9442 - 0.0007*$B32 - dis_BMI*($C32-21.75)) - 0.15*0.5)*AV32</f>
        <v>2.5974011978326301E-3</v>
      </c>
      <c r="CA32">
        <f>0.962*(0.955*(0.9442 - 0.0007*$B32 - dis_BMI*($C32-21.75)))*AW32</f>
        <v>1.542486328031926E-2</v>
      </c>
      <c r="CB32">
        <f>0.962*(0.955*0.943*(0.9442 - 0.0007*$B32 - dis_BMI*($C32-21.75)) - 0.19*0.5)*AX32</f>
        <v>2.4782058299971095E-4</v>
      </c>
      <c r="CC32">
        <f>0.962*(0.955*0.943*(0.9442 - 0.0007*$B32 - dis_BMI*($C32-21.75)) - 0.15*0.5)*AY32</f>
        <v>2.061742277689392E-4</v>
      </c>
      <c r="CD32">
        <f>0.962*(0.955*0.943*(0.9442 - 0.0007*$B32 - dis_BMI*($C32-21.75)))*AZ32</f>
        <v>8.821628812737555E-4</v>
      </c>
      <c r="CE32">
        <f>0.962*(0.93*(0.9442 - 0.0007*$B32 - dis_BMI*($C32-21.75)))*BA32</f>
        <v>1.1574837168075818E-3</v>
      </c>
      <c r="CF32">
        <f>0.962*(0.93*(0.9442 - 0.0007*$B32 - dis_BMI*($C32-21.75)))*BB32</f>
        <v>1.2997226999618814E-2</v>
      </c>
      <c r="CG32">
        <f>0.962*(0.93*0.943*(0.9442 - 0.0007*$B32 - dis_BMI*($C32-21.75)))*BC32</f>
        <v>8.9322312838753502E-5</v>
      </c>
      <c r="CH32">
        <f>0.962*(0.93*0.943*(0.9442 - 0.0007*$B32 - dis_BMI*($C32-21.75))-0.19*0.5)*BD32</f>
        <v>1.7852842635025711E-4</v>
      </c>
      <c r="CI32">
        <f>0.962*(0.93*0.943*(0.9442 - 0.0007*$B32 - dis_BMI*($C32-21.75)))*BE32</f>
        <v>6.9478164345198061E-4</v>
      </c>
      <c r="CJ32">
        <f t="shared" si="18"/>
        <v>0</v>
      </c>
      <c r="CK32">
        <f t="shared" si="19"/>
        <v>0.53006888968104038</v>
      </c>
      <c r="CL32">
        <f>CK32/(1+r_)^A32</f>
        <v>0.22493280510528316</v>
      </c>
      <c r="CM32">
        <f>AD32*c_PT_2</f>
        <v>219.92577516886536</v>
      </c>
      <c r="CN32">
        <f>AE32*(c_Other+c_PT_2)</f>
        <v>487.43522048633372</v>
      </c>
      <c r="CO32">
        <f>AF32*(c_Stroke1+c_Stroke2+c_PT_2)</f>
        <v>50.59510685101607</v>
      </c>
      <c r="CP32">
        <f>AG32*(c_Stroke2 + c_PT_2)</f>
        <v>67.528205929640848</v>
      </c>
      <c r="CQ32">
        <f>AH32*(c_MI1+c_MI2 + c_PT_2)</f>
        <v>32.194197178089397</v>
      </c>
      <c r="CR32">
        <f>AI32*(c_MI2+c_PT_2)</f>
        <v>27.287108540056852</v>
      </c>
      <c r="CS32">
        <f>AJ32*(c_Stroke1+c_Stroke2+c_MI2+c_PT_2)</f>
        <v>1.9764620947397833</v>
      </c>
      <c r="CT32">
        <f>AK32*(c_Stroke2+c_MI1+c_MI2+c_PT_2)</f>
        <v>2.0958022048721032</v>
      </c>
      <c r="CU32">
        <f>AL32*(c_Stroke2+c_MI2+c_PT_2)</f>
        <v>2.573128526005009</v>
      </c>
      <c r="CV32">
        <f>AM32*(c_HF1+c_PT_2)</f>
        <v>12.682450231622676</v>
      </c>
      <c r="CW32">
        <f>AN32*(c_HF2+c_PT_2)</f>
        <v>93.485921447012714</v>
      </c>
      <c r="CX32">
        <f>AO32*(c_Stroke2+c_HF1+c_PT_2)</f>
        <v>0.80759568809091553</v>
      </c>
      <c r="CY32">
        <f>AP32*(c_Stroke1+c_Stroke2+c_HF2+c_PT_2)</f>
        <v>2.2431834617943491</v>
      </c>
      <c r="CZ32">
        <f>AQ32*(c_Stroke2+c_HF2+c_PT_2)</f>
        <v>4.7099171123733061</v>
      </c>
      <c r="DA32">
        <f>AR32*(c_DM+c_PT_2)</f>
        <v>3557.45334755466</v>
      </c>
      <c r="DB32">
        <f>AS32*(c_Other+c_DM+c_PT_2)</f>
        <v>2516.2059531764558</v>
      </c>
      <c r="DC32">
        <f>AT32*(c_Stroke1+c_Stroke2+c_DM+c_PT_2)</f>
        <v>247.7716590108497</v>
      </c>
      <c r="DD32">
        <f>AU32*(c_Stroke2+c_DM+c_PT_2)</f>
        <v>522.8890951696369</v>
      </c>
      <c r="DE32">
        <f>AV32*(c_MI1+c_MI2+c_DM+c_PT_2)</f>
        <v>154.03234847758529</v>
      </c>
      <c r="DF32">
        <f>AW32*(c_MI2+c_DM+c_PT_2)</f>
        <v>316.11031761612736</v>
      </c>
      <c r="DG32">
        <f>AX32*(c_Stroke1+c_Stroke2+c_MI2+c_DM+c_PT_2)</f>
        <v>15.296834487174261</v>
      </c>
      <c r="DH32">
        <f>AY32*(c_Stroke2+c_MI1+c_MI2+c_DM+c_PT_2)</f>
        <v>15.062990166284836</v>
      </c>
      <c r="DI32">
        <f>AZ32*(c_Stroke2+c_MI2+c_DM+c_PT_2)</f>
        <v>26.956412970736167</v>
      </c>
      <c r="DJ32">
        <f>BA32*(c_HF1+c_DM+c_PT_2)</f>
        <v>60.748176866512331</v>
      </c>
      <c r="DK32">
        <f>BB32*(c_HF2+c_DM+c_PT_2)</f>
        <v>486.90831518254606</v>
      </c>
      <c r="DL32">
        <f>BC32*(c_Stroke2+c_HF1+c_DM+c_PT_2)</f>
        <v>5.7807106171633666</v>
      </c>
      <c r="DM32">
        <f>BD32*(c_Stroke1+c_Stroke2+c_HF2+c_DM+c_PT_2)</f>
        <v>14.921344245064073</v>
      </c>
      <c r="DN32">
        <f>BE32*(c_Stroke2+c_HF2+c_DM+c_PT_2)</f>
        <v>33.897718329156071</v>
      </c>
      <c r="DO32">
        <f t="shared" si="5"/>
        <v>0</v>
      </c>
      <c r="DP32">
        <f t="shared" si="38"/>
        <v>8979.5752987904652</v>
      </c>
      <c r="DQ32">
        <f>DP32/(1+r_)^A32</f>
        <v>3810.4501130530984</v>
      </c>
    </row>
    <row r="33" spans="1:121" x14ac:dyDescent="0.3">
      <c r="A33">
        <v>30</v>
      </c>
      <c r="B33">
        <v>75</v>
      </c>
      <c r="C33">
        <f t="shared" si="39"/>
        <v>34.542000000000002</v>
      </c>
      <c r="D33">
        <f t="shared" si="1"/>
        <v>125</v>
      </c>
      <c r="E33">
        <f t="shared" si="40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0"/>
        <v>4.0096398347168494E-2</v>
      </c>
      <c r="J33">
        <f t="shared" si="21"/>
        <v>0.27712039776832398</v>
      </c>
      <c r="K33">
        <f t="shared" si="22"/>
        <v>0.36522018983381377</v>
      </c>
      <c r="L33">
        <f t="shared" si="23"/>
        <v>0.14240548807256725</v>
      </c>
      <c r="M33">
        <f t="shared" si="24"/>
        <v>0.19357867081809632</v>
      </c>
      <c r="N33">
        <f t="shared" si="25"/>
        <v>0.57509258557203669</v>
      </c>
      <c r="O33">
        <f t="shared" si="26"/>
        <v>0.70161019754933152</v>
      </c>
      <c r="P33">
        <f t="shared" si="27"/>
        <v>0.34361045084457731</v>
      </c>
      <c r="Q33">
        <f t="shared" si="28"/>
        <v>0.44836546429271507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2.2664208841746351E-2</v>
      </c>
      <c r="U33">
        <f t="shared" si="29"/>
        <v>0.50650347188984668</v>
      </c>
      <c r="V33">
        <f t="shared" si="30"/>
        <v>0.62808214722276157</v>
      </c>
      <c r="W33">
        <f t="shared" si="31"/>
        <v>0.28418458266179369</v>
      </c>
      <c r="X33">
        <f t="shared" si="32"/>
        <v>0.37389075247997827</v>
      </c>
      <c r="Y33">
        <f t="shared" si="33"/>
        <v>0.76693021278696749</v>
      </c>
      <c r="Z33">
        <f t="shared" si="34"/>
        <v>0.87227829828400294</v>
      </c>
      <c r="AA33">
        <f t="shared" si="35"/>
        <v>0.51149093478588048</v>
      </c>
      <c r="AB33">
        <f t="shared" si="36"/>
        <v>0.63660372685121414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3.9153567915756998E-2</v>
      </c>
      <c r="AD33">
        <f t="shared" si="37"/>
        <v>0.13752845265961564</v>
      </c>
      <c r="AE33">
        <f t="shared" si="6"/>
        <v>2.9830200329120191E-2</v>
      </c>
      <c r="AF33">
        <f t="shared" si="7"/>
        <v>1.9182620922454309E-3</v>
      </c>
      <c r="AG33">
        <f t="shared" si="8"/>
        <v>8.058963823584531E-3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8.7248978461090679E-4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5.4041471425579557E-3</v>
      </c>
      <c r="AJ33">
        <f t="shared" si="11"/>
        <v>6.9219997899213229E-5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4.8301602559052795E-5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2.0941227489950799E-4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8.9670139520030691E-4</v>
      </c>
      <c r="AN33">
        <f t="shared" si="15"/>
        <v>5.4109007101797229E-3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4.7365239960416871E-5</v>
      </c>
      <c r="AP33">
        <f>AM32*T32*p_Stroke*p_Stroke_rec*(1-I32) + AN32*T32*p_Stroke*p_Stroke_rec*(1-I32) + AO32*(p_recur_Stroke*p_Stroke_rec)*(1-I32) + AP32*(p_recur_Stroke*p_Stroke_rec)*(1-I32) + AQ32*(p_recur_Stroke*p_Stroke_rec)*(1-I32)</f>
        <v>5.5850273429745143E-5</v>
      </c>
      <c r="AQ33">
        <f>AO32*(1-p_recur_Stroke-H32*rr_Stroke*rr_HF)*(1-I32) + AP32*(1-p_recur_Stroke-H32*rr_Stroke*rr_HF)*(1-I32) + AQ32*(1-p_recur_Stroke-H32*rr_Stroke*rr_HF)*(1-I32)</f>
        <v>1.9871660830267273E-4</v>
      </c>
      <c r="AR33">
        <f>AR32*(1-AC32-H32*rr_DM) + AD32*(1-T32-H32)*I32</f>
        <v>0.26370616614751213</v>
      </c>
      <c r="AS33">
        <f>AR32*AC32*p_Other + AD32*T32*p_Other*I32 + AE32*(1-T32*p_Stroke-T32*p_MI-H32*rr_Other)*I32 + AS32*(1-AC32*p_Stroke-AC32*p_MI-H32*rr_Other*rr_DM)</f>
        <v>9.3270613525144569E-2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6.7751320520580607E-3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2.6854947598583381E-2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3.1826569167792184E-3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1.8818835012386445E-2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4.005935584132619E-4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2.7776088192068497E-4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1.1277672395478286E-3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3.203653786529636E-3</v>
      </c>
      <c r="BB33">
        <f>AM32*(1-T32*p_Stroke - H32*rr_HF)*I32 + AN32*(1-T32*p_Stroke - H32*rr_HF)*I32 + BA32*(1-AC32*p_Stroke - H32*rr_HF*rr_DM) + BB32*(1-AC32*p_Stroke - H32*rr_HF*rr_DM)</f>
        <v>1.7751070503131339E-2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2.6669087456627247E-4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3.0458814896947836E-4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1.0077638534716831E-3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0.31450277596682091</v>
      </c>
      <c r="BG33">
        <f t="shared" si="17"/>
        <v>0.94200000000000039</v>
      </c>
      <c r="BH33">
        <f>(0.9442 - 0.0007*$B33 - dis_BMI*($C33-21.75))*AD33</f>
        <v>0.11682855014738733</v>
      </c>
      <c r="BI33">
        <f>0.959*(0.9442 - 0.0007*$B33 - dis_BMI*($C33-21.75))*AE33</f>
        <v>2.4301395159819741E-2</v>
      </c>
      <c r="BJ33">
        <f>(0.943*(0.9442 - 0.0007*$B33 - dis_BMI*($C33-21.75)) - 0.19*0.5)*AF33</f>
        <v>1.354419019371835E-3</v>
      </c>
      <c r="BK33">
        <f>(0.943*(0.9442 - 0.0007*$B33 - dis_BMI*($C33-21.75)))*AG33</f>
        <v>6.4557592967521161E-3</v>
      </c>
      <c r="BL33">
        <f>(0.955*(0.9442 - 0.0007*$B33 - dis_BMI*($C33-21.75)) - 0.15*0.5)*AH33</f>
        <v>6.4237890304261137E-4</v>
      </c>
      <c r="BM33">
        <f>(0.955*(0.9442 - 0.0007*$B33 - dis_BMI*($C33-21.75)))*AI33</f>
        <v>4.3841657736477619E-3</v>
      </c>
      <c r="BN33">
        <f>(0.955*0.943*(0.9442 - 0.0007*$B33 - dis_BMI*($C33-21.75)) - 0.19*0.5)*AJ33</f>
        <v>4.6378625158099166E-5</v>
      </c>
      <c r="BO33">
        <f>(0.955*0.943*(0.9442 - 0.0007*$B33 - dis_BMI*($C33-21.75)) - 0.15*0.5)*AK33</f>
        <v>3.3328961661256286E-5</v>
      </c>
      <c r="BP33">
        <f>(0.955*0.943*(0.9442 - 0.0007*$B33 - dis_BMI*($C33-21.75)))*AL33</f>
        <v>1.60204101045103E-4</v>
      </c>
      <c r="BQ33">
        <f>(0.93*(0.9442 - 0.0007*$B33 - dis_BMI*($C33-21.75)))*AM33</f>
        <v>7.0841414527782805E-4</v>
      </c>
      <c r="BR33">
        <f>(0.93*(0.9442 - 0.0007*$B33 - dis_BMI*($C33-21.75)))*AN33</f>
        <v>4.2747325054946555E-3</v>
      </c>
      <c r="BS33">
        <f>(0.93*0.943*(0.9442 - 0.0007*$B33 - dis_BMI*($C33-21.75)))*AO33</f>
        <v>3.5286681174808271E-5</v>
      </c>
      <c r="BT33">
        <f>(0.93*0.943*(0.9442 - 0.0007*$B33 - dis_BMI*($C33-21.75))-0.19*0.5)*AP33</f>
        <v>3.6302179429620398E-5</v>
      </c>
      <c r="BU33">
        <f>(0.93*0.943*(0.9442 - 0.0007*$B33 - dis_BMI*($C33-21.75)))*AQ33</f>
        <v>1.4804210022319409E-4</v>
      </c>
      <c r="BV33">
        <f>0.962*(0.9442 - 0.0007*$B33 - dis_BMI*($C33-21.75))*AR33</f>
        <v>0.21550223927239082</v>
      </c>
      <c r="BW33">
        <f>0.962*0.959*(0.9442 - 0.0007*$B33 - dis_BMI*($C33-21.75))*AS33</f>
        <v>7.3096224049625361E-2</v>
      </c>
      <c r="BX33">
        <f>0.962*(0.943*(0.9442 - 0.0007*$B33 - dis_BMI*($C33-21.75)) - 0.19*0.5)*AT33</f>
        <v>4.6019080358031261E-3</v>
      </c>
      <c r="BY33">
        <f>0.962*(0.943*(0.9442 - 0.0007*$B33 - dis_BMI*($C33-21.75)))*AU33</f>
        <v>2.0695098814760064E-2</v>
      </c>
      <c r="BZ33">
        <f>0.962*(0.955*(0.9442 - 0.0007*$B33 - dis_BMI*($C33-21.75)) - 0.15*0.5)*AV33</f>
        <v>2.2542174941316629E-3</v>
      </c>
      <c r="CA33">
        <f>0.962*(0.955*(0.9442 - 0.0007*$B33 - dis_BMI*($C33-21.75)))*AW33</f>
        <v>1.4686814470031969E-2</v>
      </c>
      <c r="CB33">
        <f>0.962*(0.955*0.943*(0.9442 - 0.0007*$B33 - dis_BMI*($C33-21.75)) - 0.19*0.5)*AX33</f>
        <v>2.5820540084295216E-4</v>
      </c>
      <c r="CC33">
        <f>0.962*(0.955*0.943*(0.9442 - 0.0007*$B33 - dis_BMI*($C33-21.75)) - 0.15*0.5)*AY33</f>
        <v>1.8437685304190657E-4</v>
      </c>
      <c r="CD33">
        <f>0.962*(0.955*0.943*(0.9442 - 0.0007*$B33 - dis_BMI*($C33-21.75)))*AZ33</f>
        <v>8.299769690429461E-4</v>
      </c>
      <c r="CE33">
        <f>0.962*(0.93*(0.9442 - 0.0007*$B33 - dis_BMI*($C33-21.75)))*BA33</f>
        <v>2.4347816916495909E-3</v>
      </c>
      <c r="CF33">
        <f>0.962*(0.93*(0.9442 - 0.0007*$B33 - dis_BMI*($C33-21.75)))*BB33</f>
        <v>1.3490840255564384E-2</v>
      </c>
      <c r="CG33">
        <f>0.962*(0.93*0.943*(0.9442 - 0.0007*$B33 - dis_BMI*($C33-21.75)))*BC33</f>
        <v>1.9113239387830668E-4</v>
      </c>
      <c r="CH33">
        <f>0.962*(0.93*0.943*(0.9442 - 0.0007*$B33 - dis_BMI*($C33-21.75))-0.19*0.5)*BD33</f>
        <v>1.9045635526274455E-4</v>
      </c>
      <c r="CI33">
        <f>0.962*(0.93*0.943*(0.9442 - 0.0007*$B33 - dis_BMI*($C33-21.75)))*BE33</f>
        <v>7.222456264816999E-4</v>
      </c>
      <c r="CJ33">
        <f t="shared" si="18"/>
        <v>0</v>
      </c>
      <c r="CK33">
        <f t="shared" si="19"/>
        <v>0.50854787528199352</v>
      </c>
      <c r="CL33">
        <f>CK33/(1+r_)^A33</f>
        <v>0.20951499119612807</v>
      </c>
      <c r="CM33">
        <f>AD33*c_PT_2</f>
        <v>201.47918314633691</v>
      </c>
      <c r="CN33">
        <f>AE33*(c_Other+c_PT_2)</f>
        <v>469.6466739816683</v>
      </c>
      <c r="CO33">
        <f>AF33*(c_Stroke1+c_Stroke2+c_PT_2)</f>
        <v>48.495583954056741</v>
      </c>
      <c r="CP33">
        <f>AG33*(c_Stroke2 + c_PT_2)</f>
        <v>64.189646854850793</v>
      </c>
      <c r="CQ33">
        <f>AH33*(c_MI1+c_MI2 + c_PT_2)</f>
        <v>26.712147245647522</v>
      </c>
      <c r="CR33">
        <f>AI33*(c_MI2+c_PT_2)</f>
        <v>24.761802207200553</v>
      </c>
      <c r="CS33">
        <f>AJ33*(c_Stroke1+c_Stroke2+c_MI2+c_PT_2)</f>
        <v>1.9657095003418572</v>
      </c>
      <c r="CT33">
        <f>AK33*(c_Stroke2+c_MI1+c_MI2+c_PT_2)</f>
        <v>1.7927622805818035</v>
      </c>
      <c r="CU33">
        <f>AL33*(c_Stroke2+c_MI2+c_PT_2)</f>
        <v>2.3207068304363476</v>
      </c>
      <c r="CV33">
        <f>AM33*(c_HF1+c_PT_2)</f>
        <v>25.551506256232745</v>
      </c>
      <c r="CW33">
        <f>AN33*(c_HF2+c_PT_2)</f>
        <v>92.364075122767872</v>
      </c>
      <c r="CX33">
        <f>AO33*(c_Stroke2+c_HF1+c_PT_2)</f>
        <v>1.6575465724147884</v>
      </c>
      <c r="CY33">
        <f>AP33*(c_Stroke1+c_Stroke2+c_HF2+c_PT_2)</f>
        <v>2.28349427944856</v>
      </c>
      <c r="CZ33">
        <f>AQ33*(c_Stroke2+c_HF2+c_PT_2)</f>
        <v>4.6837504576939963</v>
      </c>
      <c r="DA33">
        <f>AR33*(c_DM+c_PT_2)</f>
        <v>3399.1724816414312</v>
      </c>
      <c r="DB33">
        <f>AS33*(c_Other+c_DM+c_PT_2)</f>
        <v>2534.0692988646529</v>
      </c>
      <c r="DC33">
        <f>AT33*(c_Stroke1+c_Stroke2+c_DM+c_PT_2)</f>
        <v>248.68799710284318</v>
      </c>
      <c r="DD33">
        <f>AU33*(c_Stroke2+c_DM+c_PT_2)</f>
        <v>520.71743393653173</v>
      </c>
      <c r="DE33">
        <f>AV33*(c_MI1+c_MI2+c_DM+c_PT_2)</f>
        <v>133.80207943831513</v>
      </c>
      <c r="DF33">
        <f>AW33*(c_MI2+c_DM+c_PT_2)</f>
        <v>301.23309204326983</v>
      </c>
      <c r="DG33">
        <f>AX33*(c_Stroke1+c_Stroke2+c_MI2+c_DM+c_PT_2)</f>
        <v>15.952837276691328</v>
      </c>
      <c r="DH33">
        <f>AY33*(c_Stroke2+c_MI1+c_MI2+c_DM+c_PT_2)</f>
        <v>13.482790969311969</v>
      </c>
      <c r="DI33">
        <f>AZ33*(c_Stroke2+c_MI2+c_DM+c_PT_2)</f>
        <v>25.382657260502977</v>
      </c>
      <c r="DJ33">
        <f>BA33*(c_HF1+c_DM+c_PT_2)</f>
        <v>127.88985915826306</v>
      </c>
      <c r="DK33">
        <f>BB33*(c_HF2+c_DM+c_PT_2)</f>
        <v>505.81675398672752</v>
      </c>
      <c r="DL33">
        <f>BC33*(c_Stroke2+c_HF1+c_DM+c_PT_2)</f>
        <v>12.379790397366367</v>
      </c>
      <c r="DM33">
        <f>BD33*(c_Stroke1+c_Stroke2+c_HF2+c_DM+c_PT_2)</f>
        <v>15.933310660742382</v>
      </c>
      <c r="DN33">
        <f>BE33*(c_Stroke2+c_HF2+c_DM+c_PT_2)</f>
        <v>35.266696052241549</v>
      </c>
      <c r="DO33">
        <f t="shared" si="5"/>
        <v>0</v>
      </c>
      <c r="DP33">
        <f t="shared" si="38"/>
        <v>8857.6916674785734</v>
      </c>
      <c r="DQ33">
        <f>DP33/(1+r_)^A33</f>
        <v>3649.2516868755474</v>
      </c>
    </row>
    <row r="34" spans="1:121" x14ac:dyDescent="0.3">
      <c r="A34">
        <v>31</v>
      </c>
      <c r="B34">
        <v>76</v>
      </c>
      <c r="C34">
        <f t="shared" si="39"/>
        <v>34.542000000000002</v>
      </c>
      <c r="D34">
        <f t="shared" si="1"/>
        <v>125</v>
      </c>
      <c r="E34">
        <f t="shared" si="40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0"/>
        <v>4.0096398347168494E-2</v>
      </c>
      <c r="J34">
        <f t="shared" si="21"/>
        <v>0.28567821328854304</v>
      </c>
      <c r="K34">
        <f t="shared" si="22"/>
        <v>0.37571965747312586</v>
      </c>
      <c r="L34">
        <f t="shared" si="23"/>
        <v>0.14722680805310795</v>
      </c>
      <c r="M34">
        <f t="shared" si="24"/>
        <v>0.19992082318584703</v>
      </c>
      <c r="N34">
        <f t="shared" si="25"/>
        <v>0.59012857950850273</v>
      </c>
      <c r="O34">
        <f t="shared" si="26"/>
        <v>0.7164201280750897</v>
      </c>
      <c r="P34">
        <f t="shared" si="27"/>
        <v>0.35514033291504188</v>
      </c>
      <c r="Q34">
        <f t="shared" si="28"/>
        <v>0.46200720538816531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2.3374943597917912E-2</v>
      </c>
      <c r="U34">
        <f t="shared" si="29"/>
        <v>0.5191295677358454</v>
      </c>
      <c r="V34">
        <f t="shared" si="30"/>
        <v>0.64133990754043113</v>
      </c>
      <c r="W34">
        <f t="shared" si="31"/>
        <v>0.29291364327489955</v>
      </c>
      <c r="X34">
        <f t="shared" si="32"/>
        <v>0.38455751468711308</v>
      </c>
      <c r="Y34">
        <f t="shared" si="33"/>
        <v>0.78078979107258983</v>
      </c>
      <c r="Z34">
        <f t="shared" si="34"/>
        <v>0.88287662499634856</v>
      </c>
      <c r="AA34">
        <f t="shared" si="35"/>
        <v>0.52600260629541773</v>
      </c>
      <c r="AB34">
        <f t="shared" si="36"/>
        <v>0.65176291858191959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4.0194756960519801E-2</v>
      </c>
      <c r="AD34">
        <f t="shared" si="37"/>
        <v>0.12545821139516727</v>
      </c>
      <c r="AE34">
        <f t="shared" si="6"/>
        <v>2.8518964631349716E-2</v>
      </c>
      <c r="AF34">
        <f t="shared" si="7"/>
        <v>1.8277480617603437E-3</v>
      </c>
      <c r="AG34">
        <f t="shared" si="8"/>
        <v>7.5709139182552065E-3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8.1334524811432025E-4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4.8081253308098855E-3</v>
      </c>
      <c r="AJ34">
        <f t="shared" si="11"/>
        <v>6.35404925301415E-5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4.6296846989977061E-5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1.8590804391665765E-4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8.163171373245454E-4</v>
      </c>
      <c r="AN34">
        <f t="shared" si="15"/>
        <v>5.725644896960095E-3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4.4135992677693121E-5</v>
      </c>
      <c r="AP34">
        <f>AM33*T33*p_Stroke*p_Stroke_rec*(1-I33) + AN33*T33*p_Stroke*p_Stroke_rec*(1-I33) + AO33*(p_recur_Stroke*p_Stroke_rec)*(1-I33) + AP33*(p_recur_Stroke*p_Stroke_rec)*(1-I33) + AQ33*(p_recur_Stroke*p_Stroke_rec)*(1-I33)</f>
        <v>6.1033519534482231E-5</v>
      </c>
      <c r="AQ34">
        <f>AO33*(1-p_recur_Stroke-H33*rr_Stroke*rr_HF)*(1-I33) + AP33*(1-p_recur_Stroke-H33*rr_Stroke*rr_HF)*(1-I33) + AQ33*(1-p_recur_Stroke-H33*rr_Stroke*rr_HF)*(1-I33)</f>
        <v>2.104756734153588E-4</v>
      </c>
      <c r="AR34">
        <f>AR33*(1-AC33-H33*rr_DM) + AD33*(1-T33-H33)*I33</f>
        <v>0.25043481503462522</v>
      </c>
      <c r="AS34">
        <f>AR33*AC33*p_Other + AD33*T33*p_Other*I33 + AE33*(1-T33*p_Stroke-T33*p_MI-H33*rr_Other)*I33 + AS33*(1-AC33*p_Stroke-AC33*p_MI-H33*rr_Other*rr_DM)</f>
        <v>9.2995628132088018E-2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6.7466232889732622E-3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2.6353129024206147E-2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3.1017855771698186E-3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1.7534561778799567E-2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3.8433005075205046E-4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2.7806623875745683E-4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1.0415320122916577E-3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3.055220074826618E-3</v>
      </c>
      <c r="BB34">
        <f>AM33*(1-T33*p_Stroke - H33*rr_HF)*I33 + AN33*(1-T33*p_Stroke - H33*rr_HF)*I33 + BA33*(1-AC33*p_Stroke - H33*rr_HF*rr_DM) + BB33*(1-AC33*p_Stroke - H33*rr_HF*rr_DM)</f>
        <v>1.9821190781215806E-2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2.5983560968673505E-4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3.504834715013054E-4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1.1190907430045889E-3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0.34237304699329618</v>
      </c>
      <c r="BG34">
        <f t="shared" si="17"/>
        <v>0.94200000000000006</v>
      </c>
      <c r="BH34">
        <f>(0.9442 - 0.0007*$B34 - dis_BMI*($C34-21.75))*AD34</f>
        <v>0.10648722360054301</v>
      </c>
      <c r="BI34">
        <f>0.959*(0.9442 - 0.0007*$B34 - dis_BMI*($C34-21.75))*AE34</f>
        <v>2.3214042439002658E-2</v>
      </c>
      <c r="BJ34">
        <f>(0.943*(0.9442 - 0.0007*$B34 - dis_BMI*($C34-21.75)) - 0.19*0.5)*AF34</f>
        <v>1.2893036728267404E-3</v>
      </c>
      <c r="BK34">
        <f>(0.943*(0.9442 - 0.0007*$B34 - dis_BMI*($C34-21.75)))*AG34</f>
        <v>6.0598017095307441E-3</v>
      </c>
      <c r="BL34">
        <f>(0.955*(0.9442 - 0.0007*$B34 - dis_BMI*($C34-21.75)) - 0.15*0.5)*AH34</f>
        <v>5.9828945416580404E-4</v>
      </c>
      <c r="BM34">
        <f>(0.955*(0.9442 - 0.0007*$B34 - dis_BMI*($C34-21.75)))*AI34</f>
        <v>3.8974231777240201E-3</v>
      </c>
      <c r="BN34">
        <f>(0.955*0.943*(0.9442 - 0.0007*$B34 - dis_BMI*($C34-21.75)) - 0.19*0.5)*AJ34</f>
        <v>4.2533200280472207E-5</v>
      </c>
      <c r="BO34">
        <f>(0.955*0.943*(0.9442 - 0.0007*$B34 - dis_BMI*($C34-21.75)) - 0.15*0.5)*AK34</f>
        <v>3.1916459470687548E-5</v>
      </c>
      <c r="BP34">
        <f>(0.955*0.943*(0.9442 - 0.0007*$B34 - dis_BMI*($C34-21.75)))*AL34</f>
        <v>1.4210575225827535E-4</v>
      </c>
      <c r="BQ34">
        <f>(0.93*(0.9442 - 0.0007*$B34 - dis_BMI*($C34-21.75)))*AM34</f>
        <v>6.4437736235064614E-4</v>
      </c>
      <c r="BR34">
        <f>(0.93*(0.9442 - 0.0007*$B34 - dis_BMI*($C34-21.75)))*AN34</f>
        <v>4.519660053385291E-3</v>
      </c>
      <c r="BS34">
        <f>(0.93*0.943*(0.9442 - 0.0007*$B34 - dis_BMI*($C34-21.75)))*AO34</f>
        <v>3.2853825983777122E-5</v>
      </c>
      <c r="BT34">
        <f>(0.93*0.943*(0.9442 - 0.0007*$B34 - dis_BMI*($C34-21.75))-0.19*0.5)*AP34</f>
        <v>3.9633775102038446E-5</v>
      </c>
      <c r="BU34">
        <f>(0.93*0.943*(0.9442 - 0.0007*$B34 - dis_BMI*($C34-21.75)))*AQ34</f>
        <v>1.5667328927443369E-4</v>
      </c>
      <c r="BV34">
        <f>0.962*(0.9442 - 0.0007*$B34 - dis_BMI*($C34-21.75))*AR34</f>
        <v>0.20448816981456502</v>
      </c>
      <c r="BW34">
        <f>0.962*0.959*(0.9442 - 0.0007*$B34 - dis_BMI*($C34-21.75))*AS34</f>
        <v>7.2820662164196984E-2</v>
      </c>
      <c r="BX34">
        <f>0.962*(0.943*(0.9442 - 0.0007*$B34 - dis_BMI*($C34-21.75)) - 0.19*0.5)*AT34</f>
        <v>4.5782596659068959E-3</v>
      </c>
      <c r="BY34">
        <f>0.962*(0.943*(0.9442 - 0.0007*$B34 - dis_BMI*($C34-21.75)))*AU34</f>
        <v>2.0291650121931834E-2</v>
      </c>
      <c r="BZ34">
        <f>0.962*(0.955*(0.9442 - 0.0007*$B34 - dis_BMI*($C34-21.75)) - 0.15*0.5)*AV34</f>
        <v>2.1949430592320919E-3</v>
      </c>
      <c r="CA34">
        <f>0.962*(0.955*(0.9442 - 0.0007*$B34 - dis_BMI*($C34-21.75)))*AW34</f>
        <v>1.3673250566518021E-2</v>
      </c>
      <c r="CB34">
        <f>0.962*(0.955*0.943*(0.9442 - 0.0007*$B34 - dis_BMI*($C34-21.75)) - 0.19*0.5)*AX34</f>
        <v>2.4748956908271589E-4</v>
      </c>
      <c r="CC34">
        <f>0.962*(0.955*0.943*(0.9442 - 0.0007*$B34 - dis_BMI*($C34-21.75)) - 0.15*0.5)*AY34</f>
        <v>1.8441091738747171E-4</v>
      </c>
      <c r="CD34">
        <f>0.962*(0.955*0.943*(0.9442 - 0.0007*$B34 - dis_BMI*($C34-21.75)))*AZ34</f>
        <v>7.6588078107860634E-4</v>
      </c>
      <c r="CE34">
        <f>0.962*(0.93*(0.9442 - 0.0007*$B34 - dis_BMI*($C34-21.75)))*BA34</f>
        <v>2.3200584794807384E-3</v>
      </c>
      <c r="CF34">
        <f>0.962*(0.93*(0.9442 - 0.0007*$B34 - dis_BMI*($C34-21.75)))*BB34</f>
        <v>1.5051721518939964E-2</v>
      </c>
      <c r="CG34">
        <f>0.962*(0.93*0.943*(0.9442 - 0.0007*$B34 - dis_BMI*($C34-21.75)))*BC34</f>
        <v>1.8606590309672096E-4</v>
      </c>
      <c r="CH34">
        <f>0.962*(0.93*0.943*(0.9442 - 0.0007*$B34 - dis_BMI*($C34-21.75))-0.19*0.5)*BD34</f>
        <v>2.1894732322669019E-4</v>
      </c>
      <c r="CI34">
        <f>0.962*(0.93*0.943*(0.9442 - 0.0007*$B34 - dis_BMI*($C34-21.75)))*BE34</f>
        <v>8.013706435209964E-4</v>
      </c>
      <c r="CJ34">
        <f t="shared" si="18"/>
        <v>0</v>
      </c>
      <c r="CK34">
        <f t="shared" si="19"/>
        <v>0.48497871830006334</v>
      </c>
      <c r="CL34">
        <f>CK34/(1+r_)^A34</f>
        <v>0.19398525299671934</v>
      </c>
      <c r="CM34">
        <f>AD34*c_PT_2</f>
        <v>183.79627969392007</v>
      </c>
      <c r="CN34">
        <f>AE34*(c_Other+c_PT_2)</f>
        <v>449.00257915596995</v>
      </c>
      <c r="CO34">
        <f>AF34*(c_Stroke1+c_Stroke2+c_PT_2)</f>
        <v>46.207298749363247</v>
      </c>
      <c r="CP34">
        <f>AG34*(c_Stroke2 + c_PT_2)</f>
        <v>60.302329358902718</v>
      </c>
      <c r="CQ34">
        <f>AH34*(c_MI1+c_MI2 + c_PT_2)</f>
        <v>24.901378116268027</v>
      </c>
      <c r="CR34">
        <f>AI34*(c_MI2+c_PT_2)</f>
        <v>22.030830265770895</v>
      </c>
      <c r="CS34">
        <f>AJ34*(c_Stroke1+c_Stroke2+c_MI2+c_PT_2)</f>
        <v>1.8044229068709583</v>
      </c>
      <c r="CT34">
        <f>AK34*(c_Stroke2+c_MI1+c_MI2+c_PT_2)</f>
        <v>1.7183537728799887</v>
      </c>
      <c r="CU34">
        <f>AL34*(c_Stroke2+c_MI2+c_PT_2)</f>
        <v>2.0602329426843999</v>
      </c>
      <c r="CV34">
        <f>AM34*(c_HF1+c_PT_2)</f>
        <v>23.26095682806292</v>
      </c>
      <c r="CW34">
        <f>AN34*(c_HF2+c_PT_2)</f>
        <v>97.736758391108822</v>
      </c>
      <c r="CX34">
        <f>AO34*(c_Stroke2+c_HF1+c_PT_2)</f>
        <v>1.5445390637558707</v>
      </c>
      <c r="CY34">
        <f>AP34*(c_Stroke1+c_Stroke2+c_HF2+c_PT_2)</f>
        <v>2.4954164796868405</v>
      </c>
      <c r="CZ34">
        <f>AQ34*(c_Stroke2+c_HF2+c_PT_2)</f>
        <v>4.9609116224000074</v>
      </c>
      <c r="DA34">
        <f>AR34*(c_DM+c_PT_2)</f>
        <v>3228.104765796319</v>
      </c>
      <c r="DB34">
        <f>AS34*(c_Other+c_DM+c_PT_2)</f>
        <v>2526.5982207206994</v>
      </c>
      <c r="DC34">
        <f>AT34*(c_Stroke1+c_Stroke2+c_DM+c_PT_2)</f>
        <v>247.64155444505255</v>
      </c>
      <c r="DD34">
        <f>AU34*(c_Stroke2+c_DM+c_PT_2)</f>
        <v>510.9871717793572</v>
      </c>
      <c r="DE34">
        <f>AV34*(c_MI1+c_MI2+c_DM+c_PT_2)</f>
        <v>130.40216744979634</v>
      </c>
      <c r="DF34">
        <f>AW34*(c_MI2+c_DM+c_PT_2)</f>
        <v>280.67573039324469</v>
      </c>
      <c r="DG34">
        <f>AX34*(c_Stroke1+c_Stroke2+c_MI2+c_DM+c_PT_2)</f>
        <v>15.305175611098905</v>
      </c>
      <c r="DH34">
        <f>AY34*(c_Stroke2+c_MI1+c_MI2+c_DM+c_PT_2)</f>
        <v>13.497613295525712</v>
      </c>
      <c r="DI34">
        <f>AZ34*(c_Stroke2+c_MI2+c_DM+c_PT_2)</f>
        <v>23.441761000648338</v>
      </c>
      <c r="DJ34">
        <f>BA34*(c_HF1+c_DM+c_PT_2)</f>
        <v>121.96438538707859</v>
      </c>
      <c r="DK34">
        <f>BB34*(c_HF2+c_DM+c_PT_2)</f>
        <v>564.80483131074436</v>
      </c>
      <c r="DL34">
        <f>BC34*(c_Stroke2+c_HF1+c_DM+c_PT_2)</f>
        <v>12.061569001658242</v>
      </c>
      <c r="DM34">
        <f>BD34*(c_Stroke1+c_Stroke2+c_HF2+c_DM+c_PT_2)</f>
        <v>18.334140877704787</v>
      </c>
      <c r="DN34">
        <f>BE34*(c_Stroke2+c_HF2+c_DM+c_PT_2)</f>
        <v>39.162580551445593</v>
      </c>
      <c r="DO34">
        <f t="shared" si="5"/>
        <v>0</v>
      </c>
      <c r="DP34">
        <f t="shared" si="38"/>
        <v>8654.8039549680179</v>
      </c>
      <c r="DQ34">
        <f>DP34/(1+r_)^A34</f>
        <v>3461.8103258764349</v>
      </c>
    </row>
    <row r="35" spans="1:121" x14ac:dyDescent="0.3">
      <c r="A35">
        <v>32</v>
      </c>
      <c r="B35">
        <v>77</v>
      </c>
      <c r="C35">
        <f t="shared" si="39"/>
        <v>34.542000000000002</v>
      </c>
      <c r="D35">
        <f t="shared" si="1"/>
        <v>125</v>
      </c>
      <c r="E35">
        <f t="shared" si="40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0"/>
        <v>4.0096398347168494E-2</v>
      </c>
      <c r="J35">
        <f t="shared" si="21"/>
        <v>0.29432722844303705</v>
      </c>
      <c r="K35">
        <f t="shared" si="22"/>
        <v>0.38627995219684252</v>
      </c>
      <c r="L35">
        <f t="shared" si="23"/>
        <v>0.15213051391869492</v>
      </c>
      <c r="M35">
        <f t="shared" si="24"/>
        <v>0.206356635043353</v>
      </c>
      <c r="N35">
        <f t="shared" si="25"/>
        <v>0.60503388087574939</v>
      </c>
      <c r="O35">
        <f t="shared" si="26"/>
        <v>0.73088151637443699</v>
      </c>
      <c r="P35">
        <f t="shared" si="27"/>
        <v>0.36678413367019702</v>
      </c>
      <c r="Q35">
        <f t="shared" si="28"/>
        <v>0.47568186973708326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2.4092626841376284E-2</v>
      </c>
      <c r="U35">
        <f t="shared" si="29"/>
        <v>0.53171069734871512</v>
      </c>
      <c r="V35">
        <f t="shared" si="30"/>
        <v>0.65441249909675903</v>
      </c>
      <c r="W35">
        <f t="shared" si="31"/>
        <v>0.30173251337194129</v>
      </c>
      <c r="X35">
        <f t="shared" si="32"/>
        <v>0.39528059792560211</v>
      </c>
      <c r="Y35">
        <f t="shared" si="33"/>
        <v>0.79418124997299999</v>
      </c>
      <c r="Z35">
        <f t="shared" si="34"/>
        <v>0.89285748901162099</v>
      </c>
      <c r="AA35">
        <f t="shared" si="35"/>
        <v>0.54047404138463429</v>
      </c>
      <c r="AB35">
        <f t="shared" si="36"/>
        <v>0.66669038560130089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4.1235684676648121E-2</v>
      </c>
      <c r="AD35">
        <f t="shared" si="37"/>
        <v>0.11420228121645137</v>
      </c>
      <c r="AE35">
        <f t="shared" si="6"/>
        <v>2.7162729416167458E-2</v>
      </c>
      <c r="AF35">
        <f t="shared" si="7"/>
        <v>1.7270630276088324E-3</v>
      </c>
      <c r="AG35">
        <f t="shared" si="8"/>
        <v>7.0930901760875142E-3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7.562711873680785E-4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4.2940745567176444E-3</v>
      </c>
      <c r="AJ35">
        <f t="shared" si="11"/>
        <v>5.8030837798536951E-5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4.3964734498182132E-5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1.6631417502786637E-4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7.4254552433561415E-4</v>
      </c>
      <c r="AN35">
        <f t="shared" si="15"/>
        <v>5.9222236334541059E-3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4.0782358633488334E-5</v>
      </c>
      <c r="AP35">
        <f>AM34*T34*p_Stroke*p_Stroke_rec*(1-I34) + AN34*T34*p_Stroke*p_Stroke_rec*(1-I34) + AO34*(p_recur_Stroke*p_Stroke_rec)*(1-I34) + AP34*(p_recur_Stroke*p_Stroke_rec)*(1-I34) + AQ34*(p_recur_Stroke*p_Stroke_rec)*(1-I34)</f>
        <v>6.4510010475930457E-5</v>
      </c>
      <c r="AQ35">
        <f>AO34*(1-p_recur_Stroke-H34*rr_Stroke*rr_HF)*(1-I34) + AP34*(1-p_recur_Stroke-H34*rr_Stroke*rr_HF)*(1-I34) + AQ34*(1-p_recur_Stroke-H34*rr_Stroke*rr_HF)*(1-I34)</f>
        <v>2.1774976231485381E-4</v>
      </c>
      <c r="AR35">
        <f>AR34*(1-AC34-H34*rr_DM) + AD34*(1-T34-H34)*I34</f>
        <v>0.23698286247055511</v>
      </c>
      <c r="AS35">
        <f>AR34*AC34*p_Other + AD34*T34*p_Other*I34 + AE34*(1-T34*p_Stroke-T34*p_MI-H34*rr_Other)*I34 + AS34*(1-AC34*p_Stroke-AC34*p_MI-H34*rr_Other*rr_DM)</f>
        <v>9.2230075015690416E-2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6.6473025181537507E-3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2.5757256178276504E-2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3.0086589520554366E-3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1.6382982814007054E-2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3.6605418638213525E-4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2.7499650340707255E-4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9.6939097204848889E-4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2.9056278818753549E-3</v>
      </c>
      <c r="BB35">
        <f>AM34*(1-T34*p_Stroke - H34*rr_HF)*I34 + AN34*(1-T34*p_Stroke - H34*rr_HF)*I34 + BA34*(1-AC34*p_Stroke - H34*rr_HF*rr_DM) + BB34*(1-AC34*p_Stroke - H34*rr_HF*rr_DM)</f>
        <v>2.1556331099521084E-2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2.5029830268647987E-4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3.8819020152944619E-4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1.210124341171368E-3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0.37057821794570095</v>
      </c>
      <c r="BG35">
        <f t="shared" si="17"/>
        <v>0.94200000000000039</v>
      </c>
      <c r="BH35">
        <f>(0.9442 - 0.0007*$B35 - dis_BMI*($C35-21.75))*AD35</f>
        <v>9.6853401548647883E-2</v>
      </c>
      <c r="BI35">
        <f>0.959*(0.9442 - 0.0007*$B35 - dis_BMI*($C35-21.75))*AE35</f>
        <v>2.2091851407137569E-2</v>
      </c>
      <c r="BJ35">
        <f>(0.943*(0.9442 - 0.0007*$B35 - dis_BMI*($C35-21.75)) - 0.19*0.5)*AF35</f>
        <v>1.2171398540925375E-3</v>
      </c>
      <c r="BK35">
        <f>(0.943*(0.9442 - 0.0007*$B35 - dis_BMI*($C35-21.75)))*AG35</f>
        <v>5.672666773511561E-3</v>
      </c>
      <c r="BL35">
        <f>(0.955*(0.9442 - 0.0007*$B35 - dis_BMI*($C35-21.75)) - 0.15*0.5)*AH35</f>
        <v>5.5580072077377103E-4</v>
      </c>
      <c r="BM35">
        <f>(0.955*(0.9442 - 0.0007*$B35 - dis_BMI*($C35-21.75)))*AI35</f>
        <v>3.4778676516920414E-3</v>
      </c>
      <c r="BN35">
        <f>(0.955*0.943*(0.9442 - 0.0007*$B35 - dis_BMI*($C35-21.75)) - 0.19*0.5)*AJ35</f>
        <v>3.8808524862769029E-5</v>
      </c>
      <c r="BO35">
        <f>(0.955*0.943*(0.9442 - 0.0007*$B35 - dis_BMI*($C35-21.75)) - 0.15*0.5)*AK35</f>
        <v>3.0281015509178777E-5</v>
      </c>
      <c r="BP35">
        <f>(0.955*0.943*(0.9442 - 0.0007*$B35 - dis_BMI*($C35-21.75)))*AL35</f>
        <v>1.2702360353784991E-4</v>
      </c>
      <c r="BQ35">
        <f>(0.93*(0.9442 - 0.0007*$B35 - dis_BMI*($C35-21.75)))*AM35</f>
        <v>5.856607673300103E-4</v>
      </c>
      <c r="BR35">
        <f>(0.93*(0.9442 - 0.0007*$B35 - dis_BMI*($C35-21.75)))*AN35</f>
        <v>4.6709783088006423E-3</v>
      </c>
      <c r="BS35">
        <f>(0.93*0.943*(0.9442 - 0.0007*$B35 - dis_BMI*($C35-21.75)))*AO35</f>
        <v>3.0332421310157839E-5</v>
      </c>
      <c r="BT35">
        <f>(0.93*0.943*(0.9442 - 0.0007*$B35 - dis_BMI*($C35-21.75))-0.19*0.5)*AP35</f>
        <v>4.1851726759190497E-5</v>
      </c>
      <c r="BU35">
        <f>(0.93*0.943*(0.9442 - 0.0007*$B35 - dis_BMI*($C35-21.75)))*AQ35</f>
        <v>1.6195428003757726E-4</v>
      </c>
      <c r="BV35">
        <f>0.962*(0.9442 - 0.0007*$B35 - dis_BMI*($C35-21.75))*AR35</f>
        <v>0.19334462887196299</v>
      </c>
      <c r="BW35">
        <f>0.962*0.959*(0.9442 - 0.0007*$B35 - dis_BMI*($C35-21.75))*AS35</f>
        <v>7.2161630895366272E-2</v>
      </c>
      <c r="BX35">
        <f>0.962*(0.943*(0.9442 - 0.0007*$B35 - dis_BMI*($C35-21.75)) - 0.19*0.5)*AT35</f>
        <v>4.5066394298201541E-3</v>
      </c>
      <c r="BY35">
        <f>0.962*(0.943*(0.9442 - 0.0007*$B35 - dis_BMI*($C35-21.75)))*AU35</f>
        <v>1.9816477617022411E-2</v>
      </c>
      <c r="BZ35">
        <f>0.962*(0.955*(0.9442 - 0.0007*$B35 - dis_BMI*($C35-21.75)) - 0.15*0.5)*AV35</f>
        <v>2.1271082093936265E-3</v>
      </c>
      <c r="CA35">
        <f>0.962*(0.955*(0.9442 - 0.0007*$B35 - dis_BMI*($C35-21.75)))*AW35</f>
        <v>1.2764726624172032E-2</v>
      </c>
      <c r="CB35">
        <f>0.962*(0.955*0.943*(0.9442 - 0.0007*$B35 - dis_BMI*($C35-21.75)) - 0.19*0.5)*AX35</f>
        <v>2.3549882507348049E-4</v>
      </c>
      <c r="CC35">
        <f>0.962*(0.955*0.943*(0.9442 - 0.0007*$B35 - dis_BMI*($C35-21.75)) - 0.15*0.5)*AY35</f>
        <v>1.8220832873116582E-4</v>
      </c>
      <c r="CD35">
        <f>0.962*(0.955*0.943*(0.9442 - 0.0007*$B35 - dis_BMI*($C35-21.75)))*AZ35</f>
        <v>7.1224466691162977E-4</v>
      </c>
      <c r="CE35">
        <f>0.962*(0.93*(0.9442 - 0.0007*$B35 - dis_BMI*($C35-21.75)))*BA35</f>
        <v>2.2046421876343427E-3</v>
      </c>
      <c r="CF35">
        <f>0.962*(0.93*(0.9442 - 0.0007*$B35 - dis_BMI*($C35-21.75)))*BB35</f>
        <v>1.6355844204642391E-2</v>
      </c>
      <c r="CG35">
        <f>0.962*(0.93*0.943*(0.9442 - 0.0007*$B35 - dis_BMI*($C35-21.75)))*BC35</f>
        <v>1.7908850736835023E-4</v>
      </c>
      <c r="CH35">
        <f>0.962*(0.93*0.943*(0.9442 - 0.0007*$B35 - dis_BMI*($C35-21.75))-0.19*0.5)*BD35</f>
        <v>2.4227349802596418E-4</v>
      </c>
      <c r="CI35">
        <f>0.962*(0.93*0.943*(0.9442 - 0.0007*$B35 - dis_BMI*($C35-21.75)))*BE35</f>
        <v>8.6584431322312295E-4</v>
      </c>
      <c r="CJ35">
        <f t="shared" si="18"/>
        <v>0</v>
      </c>
      <c r="CK35">
        <f t="shared" si="19"/>
        <v>0.46125447478335058</v>
      </c>
      <c r="CL35">
        <f>CK35/(1+r_)^A35</f>
        <v>0.1791221947197702</v>
      </c>
      <c r="CM35">
        <f>AD35*c_PT_2</f>
        <v>167.30634198210126</v>
      </c>
      <c r="CN35">
        <f>AE35*(c_Other+c_PT_2)</f>
        <v>427.65001192814049</v>
      </c>
      <c r="CO35">
        <f>AF35*(c_Stroke1+c_Stroke2+c_PT_2)</f>
        <v>43.661880400978887</v>
      </c>
      <c r="CP35">
        <f>AG35*(c_Stroke2 + c_PT_2)</f>
        <v>56.496463252537048</v>
      </c>
      <c r="CQ35">
        <f>AH35*(c_MI1+c_MI2 + c_PT_2)</f>
        <v>23.153998672461093</v>
      </c>
      <c r="CR35">
        <f>AI35*(c_MI2+c_PT_2)</f>
        <v>19.675449618880247</v>
      </c>
      <c r="CS35">
        <f>AJ35*(c_Stroke1+c_Stroke2+c_MI2+c_PT_2)</f>
        <v>1.6479597318028523</v>
      </c>
      <c r="CT35">
        <f>AK35*(c_Stroke2+c_MI1+c_MI2+c_PT_2)</f>
        <v>1.631795085634528</v>
      </c>
      <c r="CU35">
        <f>AL35*(c_Stroke2+c_MI2+c_PT_2)</f>
        <v>1.8430936876588151</v>
      </c>
      <c r="CV35">
        <f>AM35*(c_HF1+c_PT_2)</f>
        <v>21.158834715943325</v>
      </c>
      <c r="CW35">
        <f>AN35*(c_HF2+c_PT_2)</f>
        <v>101.09235742306159</v>
      </c>
      <c r="CX35">
        <f>AO35*(c_Stroke2+c_HF1+c_PT_2)</f>
        <v>1.4271786403789242</v>
      </c>
      <c r="CY35">
        <f>AP35*(c_Stroke1+c_Stroke2+c_HF2+c_PT_2)</f>
        <v>2.6375562883188928</v>
      </c>
      <c r="CZ35">
        <f>AQ35*(c_Stroke2+c_HF2+c_PT_2)</f>
        <v>5.1323618977611041</v>
      </c>
      <c r="DA35">
        <f>AR35*(c_DM+c_PT_2)</f>
        <v>3054.7090972454553</v>
      </c>
      <c r="DB35">
        <f>AS35*(c_Other+c_DM+c_PT_2)</f>
        <v>2505.7989081012929</v>
      </c>
      <c r="DC35">
        <f>AT35*(c_Stroke1+c_Stroke2+c_DM+c_PT_2)</f>
        <v>243.99588623135156</v>
      </c>
      <c r="DD35">
        <f>AU35*(c_Stroke2+c_DM+c_PT_2)</f>
        <v>499.43319729678143</v>
      </c>
      <c r="DE35">
        <f>AV35*(c_MI1+c_MI2+c_DM+c_PT_2)</f>
        <v>126.48703100336262</v>
      </c>
      <c r="DF35">
        <f>AW35*(c_MI2+c_DM+c_PT_2)</f>
        <v>262.24240590381089</v>
      </c>
      <c r="DG35">
        <f>AX35*(c_Stroke1+c_Stroke2+c_MI2+c_DM+c_PT_2)</f>
        <v>14.577375864295773</v>
      </c>
      <c r="DH35">
        <f>AY35*(c_Stroke2+c_MI1+c_MI2+c_DM+c_PT_2)</f>
        <v>13.348605271882709</v>
      </c>
      <c r="DI35">
        <f>AZ35*(c_Stroke2+c_MI2+c_DM+c_PT_2)</f>
        <v>21.818082607895338</v>
      </c>
      <c r="DJ35">
        <f>BA35*(c_HF1+c_DM+c_PT_2)</f>
        <v>115.99266504446416</v>
      </c>
      <c r="DK35">
        <f>BB35*(c_HF2+c_DM+c_PT_2)</f>
        <v>614.24765468085332</v>
      </c>
      <c r="DL35">
        <f>BC35*(c_Stroke2+c_HF1+c_DM+c_PT_2)</f>
        <v>11.618847210706395</v>
      </c>
      <c r="DM35">
        <f>BD35*(c_Stroke1+c_Stroke2+c_HF2+c_DM+c_PT_2)</f>
        <v>20.306617632206859</v>
      </c>
      <c r="DN35">
        <f>BE35*(c_Stroke2+c_HF2+c_DM+c_PT_2)</f>
        <v>42.34830131929202</v>
      </c>
      <c r="DO35">
        <f t="shared" si="5"/>
        <v>0</v>
      </c>
      <c r="DP35">
        <f t="shared" si="38"/>
        <v>8421.4399587393091</v>
      </c>
      <c r="DQ35">
        <f>DP35/(1+r_)^A35</f>
        <v>3270.3570167393541</v>
      </c>
    </row>
    <row r="36" spans="1:121" x14ac:dyDescent="0.3">
      <c r="A36">
        <v>33</v>
      </c>
      <c r="B36">
        <v>78</v>
      </c>
      <c r="C36">
        <f t="shared" si="39"/>
        <v>34.542000000000002</v>
      </c>
      <c r="D36">
        <f t="shared" si="1"/>
        <v>125</v>
      </c>
      <c r="E36">
        <f t="shared" si="40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20"/>
        <v>4.0096398347168494E-2</v>
      </c>
      <c r="J36">
        <f t="shared" si="21"/>
        <v>0.30306345020616499</v>
      </c>
      <c r="K36">
        <f t="shared" si="22"/>
        <v>0.39689422849696032</v>
      </c>
      <c r="L36">
        <f t="shared" si="23"/>
        <v>0.15711590000821429</v>
      </c>
      <c r="M36">
        <f t="shared" si="24"/>
        <v>0.21288438290268552</v>
      </c>
      <c r="N36">
        <f t="shared" si="25"/>
        <v>0.619789188668183</v>
      </c>
      <c r="O36">
        <f t="shared" si="26"/>
        <v>0.74497707818293923</v>
      </c>
      <c r="P36">
        <f t="shared" si="27"/>
        <v>0.37853281961140473</v>
      </c>
      <c r="Q36">
        <f t="shared" si="28"/>
        <v>0.48937484811329579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2.4816881989188345E-2</v>
      </c>
      <c r="U36">
        <f t="shared" si="29"/>
        <v>0.54423586224638298</v>
      </c>
      <c r="V36">
        <f t="shared" si="30"/>
        <v>0.66728795928045859</v>
      </c>
      <c r="W36">
        <f t="shared" si="31"/>
        <v>0.31063698252925609</v>
      </c>
      <c r="X36">
        <f t="shared" si="32"/>
        <v>0.40605286933634033</v>
      </c>
      <c r="Y36">
        <f t="shared" si="33"/>
        <v>0.80709323427276292</v>
      </c>
      <c r="Z36">
        <f t="shared" si="34"/>
        <v>0.90223039118831483</v>
      </c>
      <c r="AA36">
        <f t="shared" si="35"/>
        <v>0.5548877937385438</v>
      </c>
      <c r="AB36">
        <f t="shared" si="36"/>
        <v>0.68136659578726633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4.2275573024925441E-2</v>
      </c>
      <c r="AD36">
        <f t="shared" si="37"/>
        <v>0.10354998810975757</v>
      </c>
      <c r="AE36">
        <f t="shared" si="6"/>
        <v>2.5692537395236088E-2</v>
      </c>
      <c r="AF36">
        <f t="shared" si="7"/>
        <v>1.6264834269687201E-3</v>
      </c>
      <c r="AG36">
        <f t="shared" si="8"/>
        <v>6.575975346597606E-3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7.0316214612446486E-4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3.8341221532185426E-3</v>
      </c>
      <c r="AJ36">
        <f t="shared" si="11"/>
        <v>5.3147998192894943E-5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4.1702049314403013E-5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1.4707978079807744E-4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6.7685744475172948E-4</v>
      </c>
      <c r="AN36">
        <f t="shared" si="15"/>
        <v>5.9975500469899648E-3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3.7745452579007479E-5</v>
      </c>
      <c r="AP36">
        <f>AM35*T35*p_Stroke*p_Stroke_rec*(1-I35) + AN35*T35*p_Stroke*p_Stroke_rec*(1-I35) + AO35*(p_recur_Stroke*p_Stroke_rec)*(1-I35) + AP35*(p_recur_Stroke*p_Stroke_rec)*(1-I35) + AQ35*(p_recur_Stroke*p_Stroke_rec)*(1-I35)</f>
        <v>6.684849640838332E-5</v>
      </c>
      <c r="AQ36">
        <f>AO35*(1-p_recur_Stroke-H35*rr_Stroke*rr_HF)*(1-I35) + AP35*(1-p_recur_Stroke-H35*rr_Stroke*rr_HF)*(1-I35) + AQ35*(1-p_recur_Stroke-H35*rr_Stroke*rr_HF)*(1-I35)</f>
        <v>2.1757442386947186E-4</v>
      </c>
      <c r="AR36">
        <f>AR35*(1-AC35-H35*rr_DM) + AD35*(1-T35-H35)*I35</f>
        <v>0.22300374864357472</v>
      </c>
      <c r="AS36">
        <f>AR35*AC35*p_Other + AD35*T35*p_Other*I35 + AE35*(1-T35*p_Stroke-T35*p_MI-H35*rr_Other)*I35 + AS35*(1-AC35*p_Stroke-AC35*p_MI-H35*rr_Other*rr_DM)</f>
        <v>9.0657268155005855E-2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6.5179414668987655E-3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2.4844957554073552E-2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2.9134882743660113E-3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1.5276506324477402E-2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3.4921402467029037E-4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2.7121553206610092E-4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8.8841584748761929E-4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2.7651001951574401E-3</v>
      </c>
      <c r="BB36">
        <f>AM35*(1-T35*p_Stroke - H35*rr_HF)*I35 + AN35*(1-T35*p_Stroke - H35*rr_HF)*I35 + BA35*(1-AC35*p_Stroke - H35*rr_HF*rr_DM) + BB35*(1-AC35*p_Stroke - H35*rr_HF*rr_DM)</f>
        <v>2.2877547466249586E-2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2.4117722427970372E-4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4.2032131582993184E-4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1.256714350211957E-3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0.40049560935484424</v>
      </c>
      <c r="BG36">
        <f t="shared" si="17"/>
        <v>0.94199999999999995</v>
      </c>
      <c r="BH36">
        <f>(0.9442 - 0.0007*$B36 - dis_BMI*($C36-21.75))*AD36</f>
        <v>8.774685164437028E-2</v>
      </c>
      <c r="BI36">
        <f>0.959*(0.9442 - 0.0007*$B36 - dis_BMI*($C36-21.75))*AE36</f>
        <v>2.0878874992635695E-2</v>
      </c>
      <c r="BJ36">
        <f>(0.943*(0.9442 - 0.0007*$B36 - dis_BMI*($C36-21.75)) - 0.19*0.5)*AF36</f>
        <v>1.1451831939338531E-3</v>
      </c>
      <c r="BK36">
        <f>(0.943*(0.9442 - 0.0007*$B36 - dis_BMI*($C36-21.75)))*AG36</f>
        <v>5.2547657271418977E-3</v>
      </c>
      <c r="BL36">
        <f>(0.955*(0.9442 - 0.0007*$B36 - dis_BMI*($C36-21.75)) - 0.15*0.5)*AH36</f>
        <v>5.1629962687841865E-4</v>
      </c>
      <c r="BM36">
        <f>(0.955*(0.9442 - 0.0007*$B36 - dis_BMI*($C36-21.75)))*AI36</f>
        <v>3.1027787349901842E-3</v>
      </c>
      <c r="BN36">
        <f>(0.955*0.943*(0.9442 - 0.0007*$B36 - dis_BMI*($C36-21.75)) - 0.19*0.5)*AJ36</f>
        <v>3.5509587785303931E-5</v>
      </c>
      <c r="BO36">
        <f>(0.955*0.943*(0.9442 - 0.0007*$B36 - dis_BMI*($C36-21.75)) - 0.15*0.5)*AK36</f>
        <v>2.8696286626893021E-5</v>
      </c>
      <c r="BP36">
        <f>(0.955*0.943*(0.9442 - 0.0007*$B36 - dis_BMI*($C36-21.75)))*AL36</f>
        <v>1.1224048324131403E-4</v>
      </c>
      <c r="BQ36">
        <f>(0.93*(0.9442 - 0.0007*$B36 - dis_BMI*($C36-21.75)))*AM36</f>
        <v>5.3341060788187136E-4</v>
      </c>
      <c r="BR36">
        <f>(0.93*(0.9442 - 0.0007*$B36 - dis_BMI*($C36-21.75)))*AN36</f>
        <v>4.7264853791189523E-3</v>
      </c>
      <c r="BS36">
        <f>(0.93*0.943*(0.9442 - 0.0007*$B36 - dis_BMI*($C36-21.75)))*AO36</f>
        <v>2.8050510396656702E-5</v>
      </c>
      <c r="BT36">
        <f>(0.93*0.943*(0.9442 - 0.0007*$B36 - dis_BMI*($C36-21.75))-0.19*0.5)*AP36</f>
        <v>4.3327812766869012E-5</v>
      </c>
      <c r="BU36">
        <f>(0.93*0.943*(0.9442 - 0.0007*$B36 - dis_BMI*($C36-21.75)))*AQ36</f>
        <v>1.6169030232244451E-4</v>
      </c>
      <c r="BV36">
        <f>0.962*(0.9442 - 0.0007*$B36 - dis_BMI*($C36-21.75))*AR36</f>
        <v>0.1817894706870995</v>
      </c>
      <c r="BW36">
        <f>0.962*0.959*(0.9442 - 0.0007*$B36 - dis_BMI*($C36-21.75))*AS36</f>
        <v>7.0872507208981458E-2</v>
      </c>
      <c r="BX36">
        <f>0.962*(0.943*(0.9442 - 0.0007*$B36 - dis_BMI*($C36-21.75)) - 0.19*0.5)*AT36</f>
        <v>4.4147981472494394E-3</v>
      </c>
      <c r="BY36">
        <f>0.962*(0.943*(0.9442 - 0.0007*$B36 - dis_BMI*($C36-21.75)))*AU36</f>
        <v>1.9098819024225791E-2</v>
      </c>
      <c r="BZ36">
        <f>0.962*(0.955*(0.9442 - 0.0007*$B36 - dis_BMI*($C36-21.75)) - 0.15*0.5)*AV36</f>
        <v>2.057949317102209E-3</v>
      </c>
      <c r="CA36">
        <f>0.962*(0.955*(0.9442 - 0.0007*$B36 - dis_BMI*($C36-21.75)))*AW36</f>
        <v>1.1892796219194497E-2</v>
      </c>
      <c r="CB36">
        <f>0.962*(0.955*0.943*(0.9442 - 0.0007*$B36 - dis_BMI*($C36-21.75)) - 0.19*0.5)*AX36</f>
        <v>2.2445302777213423E-4</v>
      </c>
      <c r="CC36">
        <f>0.962*(0.955*0.943*(0.9442 - 0.0007*$B36 - dis_BMI*($C36-21.75)) - 0.15*0.5)*AY36</f>
        <v>1.7953864091534063E-4</v>
      </c>
      <c r="CD36">
        <f>0.962*(0.955*0.943*(0.9442 - 0.0007*$B36 - dis_BMI*($C36-21.75)))*AZ36</f>
        <v>6.5221070501444663E-4</v>
      </c>
      <c r="CE36">
        <f>0.962*(0.93*(0.9442 - 0.0007*$B36 - dis_BMI*($C36-21.75)))*BA36</f>
        <v>2.0962852716903111E-3</v>
      </c>
      <c r="CF36">
        <f>0.962*(0.93*(0.9442 - 0.0007*$B36 - dis_BMI*($C36-21.75)))*BB36</f>
        <v>1.7343988434807646E-2</v>
      </c>
      <c r="CG36">
        <f>0.962*(0.93*0.943*(0.9442 - 0.0007*$B36 - dis_BMI*($C36-21.75)))*BC36</f>
        <v>1.7241994230861516E-4</v>
      </c>
      <c r="CH36">
        <f>0.962*(0.93*0.943*(0.9442 - 0.0007*$B36 - dis_BMI*($C36-21.75))-0.19*0.5)*BD36</f>
        <v>2.6207862990298297E-4</v>
      </c>
      <c r="CI36">
        <f>0.962*(0.93*0.943*(0.9442 - 0.0007*$B36 - dis_BMI*($C36-21.75)))*BE36</f>
        <v>8.9843730646247983E-4</v>
      </c>
      <c r="CJ36">
        <f t="shared" si="18"/>
        <v>0</v>
      </c>
      <c r="CK36">
        <f t="shared" si="19"/>
        <v>0.43626991745281746</v>
      </c>
      <c r="CL36">
        <f>CK36/(1+r_)^A36</f>
        <v>0.16448520954058832</v>
      </c>
      <c r="CM36">
        <f>AD36*c_PT_2</f>
        <v>151.70073258079483</v>
      </c>
      <c r="CN36">
        <f>AE36*(c_Other+c_PT_2)</f>
        <v>404.503308750597</v>
      </c>
      <c r="CO36">
        <f>AF36*(c_Stroke1+c_Stroke2+c_PT_2)</f>
        <v>41.119127517196212</v>
      </c>
      <c r="CP36">
        <f>AG36*(c_Stroke2 + c_PT_2)</f>
        <v>52.377643635649932</v>
      </c>
      <c r="CQ36">
        <f>AH36*(c_MI1+c_MI2 + c_PT_2)</f>
        <v>21.528012265746618</v>
      </c>
      <c r="CR36">
        <f>AI36*(c_MI2+c_PT_2)</f>
        <v>17.567947706047363</v>
      </c>
      <c r="CS36">
        <f>AJ36*(c_Stroke1+c_Stroke2+c_MI2+c_PT_2)</f>
        <v>1.5092968526818307</v>
      </c>
      <c r="CT36">
        <f>AK36*(c_Stroke2+c_MI1+c_MI2+c_PT_2)</f>
        <v>1.5478132623533822</v>
      </c>
      <c r="CU36">
        <f>AL36*(c_Stroke2+c_MI2+c_PT_2)</f>
        <v>1.6299381308042942</v>
      </c>
      <c r="CV36">
        <f>AM36*(c_HF1+c_PT_2)</f>
        <v>19.287052888200531</v>
      </c>
      <c r="CW36">
        <f>AN36*(c_HF2+c_PT_2)</f>
        <v>102.3781793021187</v>
      </c>
      <c r="CX36">
        <f>AO36*(c_Stroke2+c_HF1+c_PT_2)</f>
        <v>1.3209021130023668</v>
      </c>
      <c r="CY36">
        <f>AP36*(c_Stroke1+c_Stroke2+c_HF2+c_PT_2)</f>
        <v>2.7331676241531606</v>
      </c>
      <c r="CZ36">
        <f>AQ36*(c_Stroke2+c_HF2+c_PT_2)</f>
        <v>5.1282291706034515</v>
      </c>
      <c r="DA36">
        <f>AR36*(c_DM+c_PT_2)</f>
        <v>2874.518320015678</v>
      </c>
      <c r="DB36">
        <f>AS36*(c_Other+c_DM+c_PT_2)</f>
        <v>2463.0673185033543</v>
      </c>
      <c r="DC36">
        <f>AT36*(c_Stroke1+c_Stroke2+c_DM+c_PT_2)</f>
        <v>239.24755948398609</v>
      </c>
      <c r="DD36">
        <f>AU36*(c_Stroke2+c_DM+c_PT_2)</f>
        <v>481.74372697348616</v>
      </c>
      <c r="DE36">
        <f>AV36*(c_MI1+c_MI2+c_DM+c_PT_2)</f>
        <v>122.48596054262148</v>
      </c>
      <c r="DF36">
        <f>AW36*(c_MI2+c_DM+c_PT_2)</f>
        <v>244.53103673590977</v>
      </c>
      <c r="DG36">
        <f>AX36*(c_Stroke1+c_Stroke2+c_MI2+c_DM+c_PT_2)</f>
        <v>13.906750104444974</v>
      </c>
      <c r="DH36">
        <f>AY36*(c_Stroke2+c_MI1+c_MI2+c_DM+c_PT_2)</f>
        <v>13.165073142020605</v>
      </c>
      <c r="DI36">
        <f>AZ36*(c_Stroke2+c_MI2+c_DM+c_PT_2)</f>
        <v>19.995575479403847</v>
      </c>
      <c r="DJ36">
        <f>BA36*(c_HF1+c_DM+c_PT_2)</f>
        <v>110.38279979068501</v>
      </c>
      <c r="DK36">
        <f>BB36*(c_HF2+c_DM+c_PT_2)</f>
        <v>651.89571505078197</v>
      </c>
      <c r="DL36">
        <f>BC36*(c_Stroke2+c_HF1+c_DM+c_PT_2)</f>
        <v>11.195446751063846</v>
      </c>
      <c r="DM36">
        <f>BD36*(c_Stroke1+c_Stroke2+c_HF2+c_DM+c_PT_2)</f>
        <v>21.987428352379563</v>
      </c>
      <c r="DN36">
        <f>BE36*(c_Stroke2+c_HF2+c_DM+c_PT_2)</f>
        <v>43.978718685667438</v>
      </c>
      <c r="DO36">
        <f t="shared" si="5"/>
        <v>0</v>
      </c>
      <c r="DP36">
        <f t="shared" si="38"/>
        <v>8136.4327814114322</v>
      </c>
      <c r="DQ36">
        <f>DP36/(1+r_)^A36</f>
        <v>3067.648713386503</v>
      </c>
    </row>
    <row r="37" spans="1:121" x14ac:dyDescent="0.3">
      <c r="A37">
        <v>34</v>
      </c>
      <c r="B37">
        <v>79</v>
      </c>
      <c r="C37">
        <f t="shared" si="39"/>
        <v>34.542000000000002</v>
      </c>
      <c r="D37">
        <f t="shared" si="1"/>
        <v>125</v>
      </c>
      <c r="E37">
        <f t="shared" si="40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0"/>
        <v>4.0096398347168494E-2</v>
      </c>
      <c r="J37">
        <f t="shared" si="21"/>
        <v>0.31188278949464621</v>
      </c>
      <c r="K37">
        <f t="shared" si="22"/>
        <v>0.40755557442354007</v>
      </c>
      <c r="L37">
        <f t="shared" si="23"/>
        <v>0.16218221112747377</v>
      </c>
      <c r="M37">
        <f t="shared" si="24"/>
        <v>0.21950226915917037</v>
      </c>
      <c r="N37">
        <f t="shared" si="25"/>
        <v>0.63437572675416987</v>
      </c>
      <c r="O37">
        <f t="shared" si="26"/>
        <v>0.75869110873009027</v>
      </c>
      <c r="P37">
        <f t="shared" si="27"/>
        <v>0.39037711669824282</v>
      </c>
      <c r="Q37">
        <f t="shared" si="28"/>
        <v>0.50307145746853932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2.5547328363823757E-2</v>
      </c>
      <c r="U37">
        <f t="shared" si="29"/>
        <v>0.55669423632546655</v>
      </c>
      <c r="V37">
        <f t="shared" si="30"/>
        <v>0.67995494350923458</v>
      </c>
      <c r="W37">
        <f t="shared" si="31"/>
        <v>0.31962274421137837</v>
      </c>
      <c r="X37">
        <f t="shared" si="32"/>
        <v>0.4168671366973099</v>
      </c>
      <c r="Y37">
        <f t="shared" si="33"/>
        <v>0.81951657287374424</v>
      </c>
      <c r="Z37">
        <f t="shared" si="34"/>
        <v>0.91100734101451009</v>
      </c>
      <c r="AA37">
        <f t="shared" si="35"/>
        <v>0.56922658066188658</v>
      </c>
      <c r="AB37">
        <f t="shared" si="36"/>
        <v>0.69577300759867455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4.3313659004639828E-2</v>
      </c>
      <c r="AD37">
        <f t="shared" si="37"/>
        <v>9.3527273807569547E-2</v>
      </c>
      <c r="AE37">
        <f t="shared" si="6"/>
        <v>2.4138936034688231E-2</v>
      </c>
      <c r="AF37">
        <f t="shared" si="7"/>
        <v>1.5207143689960449E-3</v>
      </c>
      <c r="AG37">
        <f t="shared" si="8"/>
        <v>6.0417861330098483E-3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6.5204300969591241E-4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3.4236728533813127E-3</v>
      </c>
      <c r="AJ37">
        <f t="shared" si="11"/>
        <v>4.8509186705156644E-5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3.9247551578258293E-5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1.2924486304878894E-4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6.1644612208503803E-4</v>
      </c>
      <c r="AN37">
        <f t="shared" si="15"/>
        <v>5.9708981205336192E-3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3.4710774259345776E-5</v>
      </c>
      <c r="AP37">
        <f>AM36*T36*p_Stroke*p_Stroke_rec*(1-I36) + AN36*T36*p_Stroke*p_Stroke_rec*(1-I36) + AO36*(p_recur_Stroke*p_Stroke_rec)*(1-I36) + AP36*(p_recur_Stroke*p_Stroke_rec)*(1-I36) + AQ36*(p_recur_Stroke*p_Stroke_rec)*(1-I36)</f>
        <v>6.7784922854978823E-5</v>
      </c>
      <c r="AQ37">
        <f>AO36*(1-p_recur_Stroke-H36*rr_Stroke*rr_HF)*(1-I36) + AP36*(1-p_recur_Stroke-H36*rr_Stroke*rr_HF)*(1-I36) + AQ36*(1-p_recur_Stroke-H36*rr_Stroke*rr_HF)*(1-I36)</f>
        <v>2.1181012584592861E-4</v>
      </c>
      <c r="AR37">
        <f>AR36*(1-AC36-H36*rr_DM) + AD36*(1-T36-H36)*I36</f>
        <v>0.20870035662498568</v>
      </c>
      <c r="AS37">
        <f>AR36*AC36*p_Other + AD36*T36*p_Other*I36 + AE36*(1-T36*p_Stroke-T36*p_MI-H36*rr_Other)*I36 + AS36*(1-AC36*p_Stroke-AC36*p_MI-H36*rr_Other*rr_DM)</f>
        <v>8.8342446288034532E-2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6.331844386758113E-3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2.369397286224207E-2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2.8080964918447363E-3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1.4221187266260519E-2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3.3132162461534424E-4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2.6472144676805928E-4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8.0680054327022491E-4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2.6240021198510009E-3</v>
      </c>
      <c r="BB37">
        <f>AM36*(1-T36*p_Stroke - H36*rr_HF)*I36 + AN36*(1-T36*p_Stroke - H36*rr_HF)*I36 + BA36*(1-AC36*p_Stroke - H36*rr_HF*rr_DM) + BB36*(1-AC36*p_Stroke - H36*rr_HF*rr_DM)</f>
        <v>2.3804741513708781E-2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2.3029555654670623E-4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4.4398875900569118E-4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1.2665264923004478E-3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0.43170662014955619</v>
      </c>
      <c r="BG37">
        <f t="shared" si="17"/>
        <v>0.94199999999999995</v>
      </c>
      <c r="BH37">
        <f>(0.9442 - 0.0007*$B37 - dis_BMI*($C37-21.75))*AD37</f>
        <v>7.9188270761945359E-2</v>
      </c>
      <c r="BI37">
        <f>0.959*(0.9442 - 0.0007*$B37 - dis_BMI*($C37-21.75))*AE37</f>
        <v>1.9600146388147794E-2</v>
      </c>
      <c r="BJ37">
        <f>(0.943*(0.9442 - 0.0007*$B37 - dis_BMI*($C37-21.75)) - 0.19*0.5)*AF37</f>
        <v>1.0697089235116373E-3</v>
      </c>
      <c r="BK37">
        <f>(0.943*(0.9442 - 0.0007*$B37 - dis_BMI*($C37-21.75)))*AG37</f>
        <v>4.8239147559479322E-3</v>
      </c>
      <c r="BL37">
        <f>(0.955*(0.9442 - 0.0007*$B37 - dis_BMI*($C37-21.75)) - 0.15*0.5)*AH37</f>
        <v>4.7832930511379696E-4</v>
      </c>
      <c r="BM37">
        <f>(0.955*(0.9442 - 0.0007*$B37 - dis_BMI*($C37-21.75)))*AI37</f>
        <v>2.76833226707183E-3</v>
      </c>
      <c r="BN37">
        <f>(0.955*0.943*(0.9442 - 0.0007*$B37 - dis_BMI*($C37-21.75)) - 0.19*0.5)*AJ37</f>
        <v>3.2379694774287313E-5</v>
      </c>
      <c r="BO37">
        <f>(0.955*0.943*(0.9442 - 0.0007*$B37 - dis_BMI*($C37-21.75)) - 0.15*0.5)*AK37</f>
        <v>2.6982540128786834E-5</v>
      </c>
      <c r="BP37">
        <f>(0.955*0.943*(0.9442 - 0.0007*$B37 - dis_BMI*($C37-21.75)))*AL37</f>
        <v>9.8548708907259425E-5</v>
      </c>
      <c r="BQ37">
        <f>(0.93*(0.9442 - 0.0007*$B37 - dis_BMI*($C37-21.75)))*AM37</f>
        <v>4.854009895489915E-4</v>
      </c>
      <c r="BR37">
        <f>(0.93*(0.9442 - 0.0007*$B37 - dis_BMI*($C37-21.75)))*AN37</f>
        <v>4.7015947580304803E-3</v>
      </c>
      <c r="BS37">
        <f>(0.93*0.943*(0.9442 - 0.0007*$B37 - dis_BMI*($C37-21.75)))*AO37</f>
        <v>2.5773982326093602E-5</v>
      </c>
      <c r="BT37">
        <f>(0.93*0.943*(0.9442 - 0.0007*$B37 - dis_BMI*($C37-21.75))-0.19*0.5)*AP37</f>
        <v>4.3893144315731445E-5</v>
      </c>
      <c r="BU37">
        <f>(0.93*0.943*(0.9442 - 0.0007*$B37 - dis_BMI*($C37-21.75)))*AQ37</f>
        <v>1.5727653895737445E-4</v>
      </c>
      <c r="BV37">
        <f>0.962*(0.9442 - 0.0007*$B37 - dis_BMI*($C37-21.75))*AR37</f>
        <v>0.16998901099160332</v>
      </c>
      <c r="BW37">
        <f>0.962*0.959*(0.9442 - 0.0007*$B37 - dis_BMI*($C37-21.75))*AS37</f>
        <v>6.9005814163334844E-2</v>
      </c>
      <c r="BX37">
        <f>0.962*(0.943*(0.9442 - 0.0007*$B37 - dis_BMI*($C37-21.75)) - 0.19*0.5)*AT37</f>
        <v>4.2847281638283032E-3</v>
      </c>
      <c r="BY37">
        <f>0.962*(0.943*(0.9442 - 0.0007*$B37 - dis_BMI*($C37-21.75)))*AU37</f>
        <v>1.8198987864598514E-2</v>
      </c>
      <c r="BZ37">
        <f>0.962*(0.955*(0.9442 - 0.0007*$B37 - dis_BMI*($C37-21.75)) - 0.15*0.5)*AV37</f>
        <v>1.9816997044121427E-3</v>
      </c>
      <c r="CA37">
        <f>0.962*(0.955*(0.9442 - 0.0007*$B37 - dis_BMI*($C37-21.75)))*AW37</f>
        <v>1.1062082239433531E-2</v>
      </c>
      <c r="CB37">
        <f>0.962*(0.955*0.943*(0.9442 - 0.0007*$B37 - dis_BMI*($C37-21.75)) - 0.19*0.5)*AX37</f>
        <v>2.1275198042304959E-4</v>
      </c>
      <c r="CC37">
        <f>0.962*(0.955*0.943*(0.9442 - 0.0007*$B37 - dis_BMI*($C37-21.75)) - 0.15*0.5)*AY37</f>
        <v>1.7507916330460063E-4</v>
      </c>
      <c r="CD37">
        <f>0.962*(0.955*0.943*(0.9442 - 0.0007*$B37 - dis_BMI*($C37-21.75)))*AZ37</f>
        <v>5.9180537089860397E-4</v>
      </c>
      <c r="CE37">
        <f>0.962*(0.93*(0.9442 - 0.0007*$B37 - dis_BMI*($C37-21.75)))*BA37</f>
        <v>1.9876723027129938E-3</v>
      </c>
      <c r="CF37">
        <f>0.962*(0.93*(0.9442 - 0.0007*$B37 - dis_BMI*($C37-21.75)))*BB37</f>
        <v>1.8032007299875155E-2</v>
      </c>
      <c r="CG37">
        <f>0.962*(0.93*0.943*(0.9442 - 0.0007*$B37 - dis_BMI*($C37-21.75)))*BC37</f>
        <v>1.6450452774660279E-4</v>
      </c>
      <c r="CH37">
        <f>0.962*(0.93*0.943*(0.9442 - 0.0007*$B37 - dis_BMI*($C37-21.75))-0.19*0.5)*BD37</f>
        <v>2.7657354323632643E-4</v>
      </c>
      <c r="CI37">
        <f>0.962*(0.93*0.943*(0.9442 - 0.0007*$B37 - dis_BMI*($C37-21.75)))*BE37</f>
        <v>9.0470413593147733E-4</v>
      </c>
      <c r="CJ37">
        <f t="shared" si="18"/>
        <v>0</v>
      </c>
      <c r="CK37">
        <f t="shared" si="19"/>
        <v>0.41036797421006677</v>
      </c>
      <c r="CL37">
        <f>CK37/(1+r_)^A37</f>
        <v>0.15021310397731377</v>
      </c>
      <c r="CM37">
        <f>AD37*c_PT_2</f>
        <v>137.01745612808938</v>
      </c>
      <c r="CN37">
        <f>AE37*(c_Other+c_PT_2)</f>
        <v>380.04340893013153</v>
      </c>
      <c r="CO37">
        <f>AF37*(c_Stroke1+c_Stroke2+c_PT_2)</f>
        <v>38.445179962589009</v>
      </c>
      <c r="CP37">
        <f>AG37*(c_Stroke2 + c_PT_2)</f>
        <v>48.122826549423444</v>
      </c>
      <c r="CQ37">
        <f>AH37*(c_MI1+c_MI2 + c_PT_2)</f>
        <v>19.962948784850056</v>
      </c>
      <c r="CR37">
        <f>AI37*(c_MI2+c_PT_2)</f>
        <v>15.687269014193175</v>
      </c>
      <c r="CS37">
        <f>AJ37*(c_Stroke1+c_Stroke2+c_MI2+c_PT_2)</f>
        <v>1.3775638840530384</v>
      </c>
      <c r="CT37">
        <f>AK37*(c_Stroke2+c_MI1+c_MI2+c_PT_2)</f>
        <v>1.4567121243786347</v>
      </c>
      <c r="CU37">
        <f>AL37*(c_Stroke2+c_MI2+c_PT_2)</f>
        <v>1.4322915723066791</v>
      </c>
      <c r="CV37">
        <f>AM37*(c_HF1+c_PT_2)</f>
        <v>17.565632248813159</v>
      </c>
      <c r="CW37">
        <f>AN37*(c_HF2+c_PT_2)</f>
        <v>101.92323091750887</v>
      </c>
      <c r="CX37">
        <f>AO37*(c_Stroke2+c_HF1+c_PT_2)</f>
        <v>1.2147035452058055</v>
      </c>
      <c r="CY37">
        <f>AP37*(c_Stroke1+c_Stroke2+c_HF2+c_PT_2)</f>
        <v>2.7714543558486642</v>
      </c>
      <c r="CZ37">
        <f>AQ37*(c_Stroke2+c_HF2+c_PT_2)</f>
        <v>4.9923646661885375</v>
      </c>
      <c r="DA37">
        <f>AR37*(c_DM+c_PT_2)</f>
        <v>2690.1475968960654</v>
      </c>
      <c r="DB37">
        <f>AS37*(c_Other+c_DM+c_PT_2)</f>
        <v>2400.1759231996102</v>
      </c>
      <c r="DC37">
        <f>AT37*(c_Stroke1+c_Stroke2+c_DM+c_PT_2)</f>
        <v>232.41668006034331</v>
      </c>
      <c r="DD37">
        <f>AU37*(c_Stroke2+c_DM+c_PT_2)</f>
        <v>459.42613379887376</v>
      </c>
      <c r="DE37">
        <f>AV37*(c_MI1+c_MI2+c_DM+c_PT_2)</f>
        <v>118.05518461364456</v>
      </c>
      <c r="DF37">
        <f>AW37*(c_MI2+c_DM+c_PT_2)</f>
        <v>227.63854457103213</v>
      </c>
      <c r="DG37">
        <f>AX37*(c_Stroke1+c_Stroke2+c_MI2+c_DM+c_PT_2)</f>
        <v>13.194221057056854</v>
      </c>
      <c r="DH37">
        <f>AY37*(c_Stroke2+c_MI1+c_MI2+c_DM+c_PT_2)</f>
        <v>12.849843747568366</v>
      </c>
      <c r="DI37">
        <f>AZ37*(c_Stroke2+c_MI2+c_DM+c_PT_2)</f>
        <v>18.158659827382952</v>
      </c>
      <c r="DJ37">
        <f>BA37*(c_HF1+c_DM+c_PT_2)</f>
        <v>104.75016462445195</v>
      </c>
      <c r="DK37">
        <f>BB37*(c_HF2+c_DM+c_PT_2)</f>
        <v>678.31610943313171</v>
      </c>
      <c r="DL37">
        <f>BC37*(c_Stroke2+c_HF1+c_DM+c_PT_2)</f>
        <v>10.690319734898104</v>
      </c>
      <c r="DM37">
        <f>BD37*(c_Stroke1+c_Stroke2+c_HF2+c_DM+c_PT_2)</f>
        <v>23.22549597234671</v>
      </c>
      <c r="DN37">
        <f>BE37*(c_Stroke2+c_HF2+c_DM+c_PT_2)</f>
        <v>44.322094598054171</v>
      </c>
      <c r="DO37">
        <f t="shared" si="5"/>
        <v>0</v>
      </c>
      <c r="DP37">
        <f t="shared" si="38"/>
        <v>7805.3800148180399</v>
      </c>
      <c r="DQ37">
        <f>DP37/(1+r_)^A37</f>
        <v>2857.1195449772677</v>
      </c>
    </row>
    <row r="38" spans="1:121" x14ac:dyDescent="0.3">
      <c r="A38">
        <v>35</v>
      </c>
      <c r="B38">
        <v>80</v>
      </c>
      <c r="C38">
        <f t="shared" si="39"/>
        <v>34.542000000000002</v>
      </c>
      <c r="D38">
        <f t="shared" si="1"/>
        <v>125</v>
      </c>
      <c r="E38">
        <f t="shared" si="40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20"/>
        <v>4.0096398347168494E-2</v>
      </c>
      <c r="J38">
        <f t="shared" si="21"/>
        <v>0.32078106597430656</v>
      </c>
      <c r="K38">
        <f t="shared" si="22"/>
        <v>0.41825702294181755</v>
      </c>
      <c r="L38">
        <f t="shared" si="23"/>
        <v>0.16732864279054627</v>
      </c>
      <c r="M38">
        <f t="shared" si="24"/>
        <v>0.22620842332567714</v>
      </c>
      <c r="N38">
        <f t="shared" si="25"/>
        <v>0.64877531333263039</v>
      </c>
      <c r="O38">
        <f t="shared" si="26"/>
        <v>0.77200953377115633</v>
      </c>
      <c r="P38">
        <f t="shared" si="27"/>
        <v>0.4023075286318426</v>
      </c>
      <c r="Q38">
        <f t="shared" si="28"/>
        <v>0.5167569830839176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2.6283581954769104E-2</v>
      </c>
      <c r="U38">
        <f t="shared" si="29"/>
        <v>0.56907519014215702</v>
      </c>
      <c r="V38">
        <f t="shared" si="30"/>
        <v>0.69240275066629642</v>
      </c>
      <c r="W38">
        <f t="shared" si="31"/>
        <v>0.32868540100158594</v>
      </c>
      <c r="X38">
        <f t="shared" si="32"/>
        <v>0.42771616055375117</v>
      </c>
      <c r="Y38">
        <f t="shared" si="33"/>
        <v>0.83144427375157082</v>
      </c>
      <c r="Z38">
        <f t="shared" si="34"/>
        <v>0.9192026443363347</v>
      </c>
      <c r="AA38">
        <f t="shared" si="35"/>
        <v>0.58347334079168656</v>
      </c>
      <c r="AB38">
        <f t="shared" si="36"/>
        <v>0.70989214076856677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4.4349196127555064E-2</v>
      </c>
      <c r="AD38">
        <f t="shared" si="37"/>
        <v>8.4058601295915816E-2</v>
      </c>
      <c r="AE38">
        <f t="shared" si="6"/>
        <v>2.2486578372942705E-2</v>
      </c>
      <c r="AF38">
        <f t="shared" si="7"/>
        <v>1.4120007087189456E-3</v>
      </c>
      <c r="AG38">
        <f t="shared" si="8"/>
        <v>5.4805328183087695E-3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6.0291519760477465E-4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3.0506002196974786E-3</v>
      </c>
      <c r="AJ38">
        <f t="shared" si="11"/>
        <v>4.4145526465161618E-5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3.6665333490180243E-5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1.1190596419403315E-4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5.6080758518177573E-4</v>
      </c>
      <c r="AN38">
        <f t="shared" si="15"/>
        <v>5.8470211543105617E-3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3.1735076143995047E-5</v>
      </c>
      <c r="AP38">
        <f>AM37*T37*p_Stroke*p_Stroke_rec*(1-I37) + AN37*T37*p_Stroke*p_Stroke_rec*(1-I37) + AO37*(p_recur_Stroke*p_Stroke_rec)*(1-I37) + AP37*(p_recur_Stroke*p_Stroke_rec)*(1-I37) + AQ37*(p_recur_Stroke*p_Stroke_rec)*(1-I37)</f>
        <v>6.7490174369783375E-5</v>
      </c>
      <c r="AQ38">
        <f>AO37*(1-p_recur_Stroke-H37*rr_Stroke*rr_HF)*(1-I37) + AP37*(1-p_recur_Stroke-H37*rr_Stroke*rr_HF)*(1-I37) + AQ37*(1-p_recur_Stroke-H37*rr_Stroke*rr_HF)*(1-I37)</f>
        <v>1.9993114118755729E-4</v>
      </c>
      <c r="AR38">
        <f>AR37*(1-AC37-H37*rr_DM) + AD37*(1-T37-H37)*I37</f>
        <v>0.19401580918891437</v>
      </c>
      <c r="AS38">
        <f>AR37*AC37*p_Other + AD37*T37*p_Other*I37 + AE37*(1-T37*p_Stroke-T37*p_MI-H37*rr_Other)*I37 + AS37*(1-AC37*p_Stroke-AC37*p_MI-H37*rr_Other*rr_DM)</f>
        <v>8.5167583086280182E-2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6.0962791545706293E-3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2.2242358867856908E-2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2.6934243004737763E-3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1.3182405201641064E-2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3.1279423483103122E-4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2.5585515959643685E-4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7.1862777798608766E-4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2.4825294788150491E-3</v>
      </c>
      <c r="BB38">
        <f>AM37*(1-T37*p_Stroke - H37*rr_HF)*I37 + AN37*(1-T37*p_Stroke - H37*rr_HF)*I37 + BA37*(1-AC37*p_Stroke - H37*rr_HF*rr_DM) + BB37*(1-AC37*p_Stroke - H37*rr_HF*rr_DM)</f>
        <v>2.4299413282557178E-2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2.1809102602323563E-4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4.5930859866582868E-4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1.2312095274049268E-3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0.46463338054585185</v>
      </c>
      <c r="BG38">
        <f t="shared" si="17"/>
        <v>0.94200000000000006</v>
      </c>
      <c r="BH38">
        <f>(0.9442 - 0.0007*$B38 - dis_BMI*($C38-21.75))*AD38</f>
        <v>7.1112433499367161E-2</v>
      </c>
      <c r="BI38">
        <f>0.959*(0.9442 - 0.0007*$B38 - dis_BMI*($C38-21.75))*AE38</f>
        <v>1.8243382567115867E-2</v>
      </c>
      <c r="BJ38">
        <f>(0.943*(0.9442 - 0.0007*$B38 - dis_BMI*($C38-21.75)) - 0.19*0.5)*AF38</f>
        <v>9.9230492544539399E-4</v>
      </c>
      <c r="BK38">
        <f>(0.943*(0.9442 - 0.0007*$B38 - dis_BMI*($C38-21.75)))*AG38</f>
        <v>4.3721782239874449E-3</v>
      </c>
      <c r="BL38">
        <f>(0.955*(0.9442 - 0.0007*$B38 - dis_BMI*($C38-21.75)) - 0.15*0.5)*AH38</f>
        <v>4.4188680511788101E-4</v>
      </c>
      <c r="BM38">
        <f>(0.955*(0.9442 - 0.0007*$B38 - dis_BMI*($C38-21.75)))*AI38</f>
        <v>2.4646318143045306E-3</v>
      </c>
      <c r="BN38">
        <f>(0.955*0.943*(0.9442 - 0.0007*$B38 - dis_BMI*($C38-21.75)) - 0.19*0.5)*AJ38</f>
        <v>2.9439139276120629E-5</v>
      </c>
      <c r="BO38">
        <f>(0.955*0.943*(0.9442 - 0.0007*$B38 - dis_BMI*($C38-21.75)) - 0.15*0.5)*AK38</f>
        <v>2.5184161504996349E-5</v>
      </c>
      <c r="BP38">
        <f>(0.955*0.943*(0.9442 - 0.0007*$B38 - dis_BMI*($C38-21.75)))*AL38</f>
        <v>8.5257320480274778E-5</v>
      </c>
      <c r="BQ38">
        <f>(0.93*(0.9442 - 0.0007*$B38 - dis_BMI*($C38-21.75)))*AM38</f>
        <v>4.4122509877498017E-4</v>
      </c>
      <c r="BR38">
        <f>(0.93*(0.9442 - 0.0007*$B38 - dis_BMI*($C38-21.75)))*AN38</f>
        <v>4.6002453506649044E-3</v>
      </c>
      <c r="BS38">
        <f>(0.93*0.943*(0.9442 - 0.0007*$B38 - dis_BMI*($C38-21.75)))*AO38</f>
        <v>2.3544938879399583E-5</v>
      </c>
      <c r="BT38">
        <f>(0.93*0.943*(0.9442 - 0.0007*$B38 - dis_BMI*($C38-21.75))-0.19*0.5)*AP38</f>
        <v>4.3660852460632159E-5</v>
      </c>
      <c r="BU38">
        <f>(0.93*0.943*(0.9442 - 0.0007*$B38 - dis_BMI*($C38-21.75)))*AQ38</f>
        <v>1.4833323474600766E-4</v>
      </c>
      <c r="BV38">
        <f>0.962*(0.9442 - 0.0007*$B38 - dis_BMI*($C38-21.75))*AR38</f>
        <v>0.15789761599238156</v>
      </c>
      <c r="BW38">
        <f>0.962*0.959*(0.9442 - 0.0007*$B38 - dis_BMI*($C38-21.75))*AS38</f>
        <v>6.6470873129230348E-2</v>
      </c>
      <c r="BX38">
        <f>0.962*(0.943*(0.9442 - 0.0007*$B38 - dis_BMI*($C38-21.75)) - 0.19*0.5)*AT38</f>
        <v>4.1214510859809983E-3</v>
      </c>
      <c r="BY38">
        <f>0.962*(0.943*(0.9442 - 0.0007*$B38 - dis_BMI*($C38-21.75)))*AU38</f>
        <v>1.7069900504952207E-2</v>
      </c>
      <c r="BZ38">
        <f>0.962*(0.955*(0.9442 - 0.0007*$B38 - dis_BMI*($C38-21.75)) - 0.15*0.5)*AV38</f>
        <v>1.899042343718076E-3</v>
      </c>
      <c r="CA38">
        <f>0.962*(0.955*(0.9442 - 0.0007*$B38 - dis_BMI*($C38-21.75)))*AW38</f>
        <v>1.0245578423466748E-2</v>
      </c>
      <c r="CB38">
        <f>0.962*(0.955*0.943*(0.9442 - 0.0007*$B38 - dis_BMI*($C38-21.75)) - 0.19*0.5)*AX38</f>
        <v>2.0066527273785597E-4</v>
      </c>
      <c r="CC38">
        <f>0.962*(0.955*0.943*(0.9442 - 0.0007*$B38 - dis_BMI*($C38-21.75)) - 0.15*0.5)*AY38</f>
        <v>1.6906009464496503E-4</v>
      </c>
      <c r="CD38">
        <f>0.962*(0.955*0.943*(0.9442 - 0.0007*$B38 - dis_BMI*($C38-21.75)))*AZ38</f>
        <v>5.2669296587434615E-4</v>
      </c>
      <c r="CE38">
        <f>0.962*(0.93*(0.9442 - 0.0007*$B38 - dis_BMI*($C38-21.75)))*BA38</f>
        <v>1.8789525648255046E-3</v>
      </c>
      <c r="CF38">
        <f>0.962*(0.93*(0.9442 - 0.0007*$B38 - dis_BMI*($C38-21.75)))*BB38</f>
        <v>1.8391501611819235E-2</v>
      </c>
      <c r="CG38">
        <f>0.962*(0.93*0.943*(0.9442 - 0.0007*$B38 - dis_BMI*($C38-21.75)))*BC38</f>
        <v>1.5565780085385317E-4</v>
      </c>
      <c r="CH38">
        <f>0.962*(0.93*0.943*(0.9442 - 0.0007*$B38 - dis_BMI*($C38-21.75))-0.19*0.5)*BD38</f>
        <v>2.8584546642386954E-4</v>
      </c>
      <c r="CI38">
        <f>0.962*(0.93*0.943*(0.9442 - 0.0007*$B38 - dis_BMI*($C38-21.75)))*BE38</f>
        <v>8.7874944201392531E-4</v>
      </c>
      <c r="CJ38">
        <f t="shared" si="18"/>
        <v>0</v>
      </c>
      <c r="CK38">
        <f t="shared" si="19"/>
        <v>0.38321529463104909</v>
      </c>
      <c r="CL38">
        <f>CK38/(1+r_)^A38</f>
        <v>0.1361883534981245</v>
      </c>
      <c r="CM38">
        <f>AD38*c_PT_2</f>
        <v>123.14585089851667</v>
      </c>
      <c r="CN38">
        <f>AE38*(c_Other+c_PT_2)</f>
        <v>354.02868990360992</v>
      </c>
      <c r="CO38">
        <f>AF38*(c_Stroke1+c_Stroke2+c_PT_2)</f>
        <v>35.69678991712366</v>
      </c>
      <c r="CP38">
        <f>AG38*(c_Stroke2 + c_PT_2)</f>
        <v>43.65244389782935</v>
      </c>
      <c r="CQ38">
        <f>AH38*(c_MI1+c_MI2 + c_PT_2)</f>
        <v>18.458851689867782</v>
      </c>
      <c r="CR38">
        <f>AI38*(c_MI2+c_PT_2)</f>
        <v>13.977850206653848</v>
      </c>
      <c r="CS38">
        <f>AJ38*(c_Stroke1+c_Stroke2+c_MI2+c_PT_2)</f>
        <v>1.2536446605576597</v>
      </c>
      <c r="CT38">
        <f>AK38*(c_Stroke2+c_MI1+c_MI2+c_PT_2)</f>
        <v>1.3608705178215299</v>
      </c>
      <c r="CU38">
        <f>AL38*(c_Stroke2+c_MI2+c_PT_2)</f>
        <v>1.2401418951982754</v>
      </c>
      <c r="CV38">
        <f>AM38*(c_HF1+c_PT_2)</f>
        <v>15.9802121397547</v>
      </c>
      <c r="CW38">
        <f>AN38*(c_HF2+c_PT_2)</f>
        <v>99.808651104081292</v>
      </c>
      <c r="CX38">
        <f>AO38*(c_Stroke2+c_HF1+c_PT_2)</f>
        <v>1.1105689896591067</v>
      </c>
      <c r="CY38">
        <f>AP38*(c_Stroke1+c_Stroke2+c_HF2+c_PT_2)</f>
        <v>2.7594032692829629</v>
      </c>
      <c r="CZ38">
        <f>AQ38*(c_Stroke2+c_HF2+c_PT_2)</f>
        <v>4.7123769977907255</v>
      </c>
      <c r="DA38">
        <f>AR38*(c_DM+c_PT_2)</f>
        <v>2500.8637804451064</v>
      </c>
      <c r="DB38">
        <f>AS38*(c_Other+c_DM+c_PT_2)</f>
        <v>2313.9180648711463</v>
      </c>
      <c r="DC38">
        <f>AT38*(c_Stroke1+c_Stroke2+c_DM+c_PT_2)</f>
        <v>223.77002264766952</v>
      </c>
      <c r="DD38">
        <f>AU38*(c_Stroke2+c_DM+c_PT_2)</f>
        <v>431.27933844774543</v>
      </c>
      <c r="DE38">
        <f>AV38*(c_MI1+c_MI2+c_DM+c_PT_2)</f>
        <v>113.23425101621802</v>
      </c>
      <c r="DF38">
        <f>AW38*(c_MI2+c_DM+c_PT_2)</f>
        <v>211.01076006266851</v>
      </c>
      <c r="DG38">
        <f>AX38*(c_Stroke1+c_Stroke2+c_MI2+c_DM+c_PT_2)</f>
        <v>12.456404813676157</v>
      </c>
      <c r="DH38">
        <f>AY38*(c_Stroke2+c_MI1+c_MI2+c_DM+c_PT_2)</f>
        <v>12.419465301970641</v>
      </c>
      <c r="DI38">
        <f>AZ38*(c_Stroke2+c_MI2+c_DM+c_PT_2)</f>
        <v>16.174155399132875</v>
      </c>
      <c r="DJ38">
        <f>BA38*(c_HF1+c_DM+c_PT_2)</f>
        <v>99.102576794296752</v>
      </c>
      <c r="DK38">
        <f>BB38*(c_HF2+c_DM+c_PT_2)</f>
        <v>692.41178148646679</v>
      </c>
      <c r="DL38">
        <f>BC38*(c_Stroke2+c_HF1+c_DM+c_PT_2)</f>
        <v>10.123785427998598</v>
      </c>
      <c r="DM38">
        <f>BD38*(c_Stroke1+c_Stroke2+c_HF2+c_DM+c_PT_2)</f>
        <v>24.026892104808162</v>
      </c>
      <c r="DN38">
        <f>BE38*(c_Stroke2+c_HF2+c_DM+c_PT_2)</f>
        <v>43.086177411535417</v>
      </c>
      <c r="DO38">
        <f t="shared" si="5"/>
        <v>0</v>
      </c>
      <c r="DP38">
        <f t="shared" si="38"/>
        <v>7421.0638023181873</v>
      </c>
      <c r="DQ38">
        <f>DP38/(1+r_)^A38</f>
        <v>2637.3228694206682</v>
      </c>
    </row>
    <row r="39" spans="1:121" x14ac:dyDescent="0.3">
      <c r="A39">
        <v>36</v>
      </c>
      <c r="B39">
        <v>81</v>
      </c>
      <c r="C39">
        <f t="shared" si="39"/>
        <v>34.542000000000002</v>
      </c>
      <c r="D39">
        <f t="shared" si="1"/>
        <v>125</v>
      </c>
      <c r="E39">
        <f t="shared" si="40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0"/>
        <v>4.0096398347168494E-2</v>
      </c>
      <c r="J39">
        <f t="shared" si="21"/>
        <v>0.3297540130361224</v>
      </c>
      <c r="K39">
        <f t="shared" si="22"/>
        <v>0.42899156343550893</v>
      </c>
      <c r="L39">
        <f t="shared" si="23"/>
        <v>0.17255434150143234</v>
      </c>
      <c r="M39">
        <f t="shared" si="24"/>
        <v>0.23300090335450796</v>
      </c>
      <c r="N39">
        <f t="shared" si="25"/>
        <v>0.66297042747048573</v>
      </c>
      <c r="O39">
        <f t="shared" si="26"/>
        <v>0.78491994939069953</v>
      </c>
      <c r="P39">
        <f t="shared" si="27"/>
        <v>0.41431435604071343</v>
      </c>
      <c r="Q39">
        <f t="shared" si="28"/>
        <v>0.53041672123427019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2.7025256175983944E-2</v>
      </c>
      <c r="U39">
        <f t="shared" si="29"/>
        <v>0.58136831450372017</v>
      </c>
      <c r="V39">
        <f t="shared" si="30"/>
        <v>0.70462134566276335</v>
      </c>
      <c r="W39">
        <f t="shared" si="31"/>
        <v>0.3378204700062879</v>
      </c>
      <c r="X39">
        <f t="shared" si="32"/>
        <v>0.43859266647874273</v>
      </c>
      <c r="Y39">
        <f t="shared" si="33"/>
        <v>0.84287150268100064</v>
      </c>
      <c r="Z39">
        <f t="shared" si="34"/>
        <v>0.9268326782121441</v>
      </c>
      <c r="AA39">
        <f t="shared" si="35"/>
        <v>0.59761129116000911</v>
      </c>
      <c r="AB39">
        <f t="shared" si="36"/>
        <v>0.7237076406265639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4.538145579064231E-2</v>
      </c>
      <c r="AD39">
        <f t="shared" si="37"/>
        <v>7.5124739637618107E-2</v>
      </c>
      <c r="AE39">
        <f t="shared" si="6"/>
        <v>2.0746282319660171E-2</v>
      </c>
      <c r="AF39">
        <f t="shared" si="7"/>
        <v>1.299227610484199E-3</v>
      </c>
      <c r="AG39">
        <f t="shared" si="8"/>
        <v>4.9004170326781204E-3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5.5501704357532042E-4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2.7089732971960238E-3</v>
      </c>
      <c r="AJ39">
        <f t="shared" si="11"/>
        <v>3.9927526698208972E-5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3.3881164774012078E-5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9.5251050717231521E-5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5.0869764861822403E-4</v>
      </c>
      <c r="AN39">
        <f t="shared" si="15"/>
        <v>5.6360840704805498E-3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2.8725779629471523E-5</v>
      </c>
      <c r="AP39">
        <f>AM38*T38*p_Stroke*p_Stroke_rec*(1-I38) + AN38*T38*p_Stroke*p_Stroke_rec*(1-I38) + AO38*(p_recur_Stroke*p_Stroke_rec)*(1-I38) + AP38*(p_recur_Stroke*p_Stroke_rec)*(1-I38) + AQ38*(p_recur_Stroke*p_Stroke_rec)*(1-I38)</f>
        <v>6.5911477510907063E-5</v>
      </c>
      <c r="AQ39">
        <f>AO38*(1-p_recur_Stroke-H38*rr_Stroke*rr_HF)*(1-I38) + AP38*(1-p_recur_Stroke-H38*rr_Stroke*rr_HF)*(1-I38) + AQ38*(1-p_recur_Stroke-H38*rr_Stroke*rr_HF)*(1-I38)</f>
        <v>1.8290706256619236E-4</v>
      </c>
      <c r="AR39">
        <f>AR38*(1-AC38-H38*rr_DM) + AD38*(1-T38-H38)*I38</f>
        <v>0.17902985996250825</v>
      </c>
      <c r="AS39">
        <f>AR38*AC38*p_Other + AD38*T38*p_Other*I38 + AE38*(1-T38*p_Stroke-T38*p_MI-H38*rr_Other)*I38 + AS38*(1-AC38*p_Stroke-AC38*p_MI-H38*rr_Other*rr_DM)</f>
        <v>8.1127159568871426E-2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5.802793921414676E-3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2.051406081368581E-2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2.5662067218203779E-3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1.2149823240591011E-2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2.9276661003523584E-4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2.4388253076970429E-4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6.2605480547158875E-4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2.336606952797179E-3</v>
      </c>
      <c r="BB39">
        <f>AM38*(1-T38*p_Stroke - H38*rr_HF)*I38 + AN38*(1-T38*p_Stroke - H38*rr_HF)*I38 + BA38*(1-AC38*p_Stroke - H38*rr_HF*rr_DM) + BB38*(1-AC38*p_Stroke - H38*rr_HF*rr_DM)</f>
        <v>2.4352559101529059E-2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2.0384654746629299E-4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4.647931718883419E-4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1.1537432501407398E-3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0.49920980007880367</v>
      </c>
      <c r="BG39">
        <f t="shared" si="17"/>
        <v>0.94200000000000017</v>
      </c>
      <c r="BH39">
        <f>(0.9442 - 0.0007*$B39 - dis_BMI*($C39-21.75))*AD39</f>
        <v>6.3501920719219521E-2</v>
      </c>
      <c r="BI39">
        <f>0.959*(0.9442 - 0.0007*$B39 - dis_BMI*($C39-21.75))*AE39</f>
        <v>1.6817551733259061E-2</v>
      </c>
      <c r="BJ39">
        <f>(0.943*(0.9442 - 0.0007*$B39 - dis_BMI*($C39-21.75)) - 0.19*0.5)*AF39</f>
        <v>9.1219429916092494E-4</v>
      </c>
      <c r="BK39">
        <f>(0.943*(0.9442 - 0.0007*$B39 - dis_BMI*($C39-21.75)))*AG39</f>
        <v>3.9061472873442543E-3</v>
      </c>
      <c r="BL39">
        <f>(0.955*(0.9442 - 0.0007*$B39 - dis_BMI*($C39-21.75)) - 0.15*0.5)*AH39</f>
        <v>4.064104042926676E-4</v>
      </c>
      <c r="BM39">
        <f>(0.955*(0.9442 - 0.0007*$B39 - dis_BMI*($C39-21.75)))*AI39</f>
        <v>2.1868146632092241E-3</v>
      </c>
      <c r="BN39">
        <f>(0.955*0.943*(0.9442 - 0.0007*$B39 - dis_BMI*($C39-21.75)) - 0.19*0.5)*AJ39</f>
        <v>2.6601129597286355E-5</v>
      </c>
      <c r="BO39">
        <f>(0.955*0.943*(0.9442 - 0.0007*$B39 - dis_BMI*($C39-21.75)) - 0.15*0.5)*AK39</f>
        <v>2.3250452859224224E-5</v>
      </c>
      <c r="BP39">
        <f>(0.955*0.943*(0.9442 - 0.0007*$B39 - dis_BMI*($C39-21.75)))*AL39</f>
        <v>7.2508466627320149E-5</v>
      </c>
      <c r="BQ39">
        <f>(0.93*(0.9442 - 0.0007*$B39 - dis_BMI*($C39-21.75)))*AM39</f>
        <v>3.9989553980273619E-4</v>
      </c>
      <c r="BR39">
        <f>(0.93*(0.9442 - 0.0007*$B39 - dis_BMI*($C39-21.75)))*AN39</f>
        <v>4.4306178490514814E-3</v>
      </c>
      <c r="BS39">
        <f>(0.93*0.943*(0.9442 - 0.0007*$B39 - dis_BMI*($C39-21.75)))*AO39</f>
        <v>2.1294642200507531E-5</v>
      </c>
      <c r="BT39">
        <f>(0.93*0.943*(0.9442 - 0.0007*$B39 - dis_BMI*($C39-21.75))-0.19*0.5)*AP39</f>
        <v>4.2599096747687291E-5</v>
      </c>
      <c r="BU39">
        <f>(0.93*0.943*(0.9442 - 0.0007*$B39 - dis_BMI*($C39-21.75)))*AQ39</f>
        <v>1.3559041751113536E-4</v>
      </c>
      <c r="BV39">
        <f>0.962*(0.9442 - 0.0007*$B39 - dis_BMI*($C39-21.75))*AR39</f>
        <v>0.14558090859904466</v>
      </c>
      <c r="BW39">
        <f>0.962*0.959*(0.9442 - 0.0007*$B39 - dis_BMI*($C39-21.75))*AS39</f>
        <v>6.3265046483206563E-2</v>
      </c>
      <c r="BX39">
        <f>0.962*(0.943*(0.9442 - 0.0007*$B39 - dis_BMI*($C39-21.75)) - 0.19*0.5)*AT39</f>
        <v>3.9193525621874859E-3</v>
      </c>
      <c r="BY39">
        <f>0.962*(0.943*(0.9442 - 0.0007*$B39 - dis_BMI*($C39-21.75)))*AU39</f>
        <v>1.5730491232023486E-2</v>
      </c>
      <c r="BZ39">
        <f>0.962*(0.955*(0.9442 - 0.0007*$B39 - dis_BMI*($C39-21.75)) - 0.15*0.5)*AV39</f>
        <v>1.8076952135029497E-3</v>
      </c>
      <c r="CA39">
        <f>0.962*(0.955*(0.9442 - 0.0007*$B39 - dis_BMI*($C39-21.75)))*AW39</f>
        <v>9.4352255162129667E-3</v>
      </c>
      <c r="CB39">
        <f>0.962*(0.955*0.943*(0.9442 - 0.0007*$B39 - dis_BMI*($C39-21.75)) - 0.19*0.5)*AX39</f>
        <v>1.8763950834199713E-4</v>
      </c>
      <c r="CC39">
        <f>0.962*(0.955*0.943*(0.9442 - 0.0007*$B39 - dis_BMI*($C39-21.75)) - 0.15*0.5)*AY39</f>
        <v>1.610011021878776E-4</v>
      </c>
      <c r="CD39">
        <f>0.962*(0.955*0.943*(0.9442 - 0.0007*$B39 - dis_BMI*($C39-21.75)))*AZ39</f>
        <v>4.5846519518416676E-4</v>
      </c>
      <c r="CE39">
        <f>0.962*(0.93*(0.9442 - 0.0007*$B39 - dis_BMI*($C39-21.75)))*BA39</f>
        <v>1.7670448263067064E-3</v>
      </c>
      <c r="CF39">
        <f>0.962*(0.93*(0.9442 - 0.0007*$B39 - dis_BMI*($C39-21.75)))*BB39</f>
        <v>1.8416475015693608E-2</v>
      </c>
      <c r="CG39">
        <f>0.962*(0.93*0.943*(0.9442 - 0.0007*$B39 - dis_BMI*($C39-21.75)))*BC39</f>
        <v>1.4537072458493887E-4</v>
      </c>
      <c r="CH39">
        <f>0.962*(0.93*0.943*(0.9442 - 0.0007*$B39 - dis_BMI*($C39-21.75))-0.19*0.5)*BD39</f>
        <v>2.8898423738870656E-4</v>
      </c>
      <c r="CI39">
        <f>0.962*(0.93*0.943*(0.9442 - 0.0007*$B39 - dis_BMI*($C39-21.75)))*BE39</f>
        <v>8.2277818458355344E-4</v>
      </c>
      <c r="CJ39">
        <f t="shared" si="18"/>
        <v>0</v>
      </c>
      <c r="CK39">
        <f t="shared" si="19"/>
        <v>0.35486987510133261</v>
      </c>
      <c r="CL39">
        <f>CK39/(1+r_)^A39</f>
        <v>0.12244161358577633</v>
      </c>
      <c r="CM39">
        <f>AD39*c_PT_2</f>
        <v>110.05774356911053</v>
      </c>
      <c r="CN39">
        <f>AE39*(c_Other+c_PT_2)</f>
        <v>326.62946884072971</v>
      </c>
      <c r="CO39">
        <f>AF39*(c_Stroke1+c_Stroke2+c_PT_2)</f>
        <v>32.845773220651033</v>
      </c>
      <c r="CP39">
        <f>AG39*(c_Stroke2 + c_PT_2)</f>
        <v>39.031821665281228</v>
      </c>
      <c r="CQ39">
        <f>AH39*(c_MI1+c_MI2 + c_PT_2)</f>
        <v>16.992401806102009</v>
      </c>
      <c r="CR39">
        <f>AI39*(c_MI2+c_PT_2)</f>
        <v>12.412515647752182</v>
      </c>
      <c r="CS39">
        <f>AJ39*(c_Stroke1+c_Stroke2+c_MI2+c_PT_2)</f>
        <v>1.1338619031757384</v>
      </c>
      <c r="CT39">
        <f>AK39*(c_Stroke2+c_MI1+c_MI2+c_PT_2)</f>
        <v>1.2575333117522323</v>
      </c>
      <c r="CU39">
        <f>AL39*(c_Stroke2+c_MI2+c_PT_2)</f>
        <v>1.0555721440483596</v>
      </c>
      <c r="CV39">
        <f>AM39*(c_HF1+c_PT_2)</f>
        <v>14.495339497376294</v>
      </c>
      <c r="CW39">
        <f>AN39*(c_HF2+c_PT_2)</f>
        <v>96.207955083102988</v>
      </c>
      <c r="CX39">
        <f>AO39*(c_Stroke2+c_HF1+c_PT_2)</f>
        <v>1.005258658133356</v>
      </c>
      <c r="CY39">
        <f>AP39*(c_Stroke1+c_Stroke2+c_HF2+c_PT_2)</f>
        <v>2.6948566695109464</v>
      </c>
      <c r="CZ39">
        <f>AQ39*(c_Stroke2+c_HF2+c_PT_2)</f>
        <v>4.3111194646851541</v>
      </c>
      <c r="DA39">
        <f>AR39*(c_DM+c_PT_2)</f>
        <v>2307.6948949167313</v>
      </c>
      <c r="DB39">
        <f>AS39*(c_Other+c_DM+c_PT_2)</f>
        <v>2204.1437983266678</v>
      </c>
      <c r="DC39">
        <f>AT39*(c_Stroke1+c_Stroke2+c_DM+c_PT_2)</f>
        <v>212.99735367944709</v>
      </c>
      <c r="DD39">
        <f>AU39*(c_Stroke2+c_DM+c_PT_2)</f>
        <v>397.76763917736787</v>
      </c>
      <c r="DE39">
        <f>AV39*(c_MI1+c_MI2+c_DM+c_PT_2)</f>
        <v>107.8858967920505</v>
      </c>
      <c r="DF39">
        <f>AW39*(c_MI2+c_DM+c_PT_2)</f>
        <v>194.48222061214031</v>
      </c>
      <c r="DG39">
        <f>AX39*(c_Stroke1+c_Stroke2+c_MI2+c_DM+c_PT_2)</f>
        <v>11.658844711433197</v>
      </c>
      <c r="DH39">
        <f>AY39*(c_Stroke2+c_MI1+c_MI2+c_DM+c_PT_2)</f>
        <v>11.838301926092216</v>
      </c>
      <c r="DI39">
        <f>AZ39*(c_Stroke2+c_MI2+c_DM+c_PT_2)</f>
        <v>14.090615506749048</v>
      </c>
      <c r="DJ39">
        <f>BA39*(c_HF1+c_DM+c_PT_2)</f>
        <v>93.277349555663392</v>
      </c>
      <c r="DK39">
        <f>BB39*(c_HF2+c_DM+c_PT_2)</f>
        <v>693.92617159807048</v>
      </c>
      <c r="DL39">
        <f>BC39*(c_Stroke2+c_HF1+c_DM+c_PT_2)</f>
        <v>9.4625567333853198</v>
      </c>
      <c r="DM39">
        <f>BD39*(c_Stroke1+c_Stroke2+c_HF2+c_DM+c_PT_2)</f>
        <v>24.313795614651053</v>
      </c>
      <c r="DN39">
        <f>BE39*(c_Stroke2+c_HF2+c_DM+c_PT_2)</f>
        <v>40.375245038675189</v>
      </c>
      <c r="DO39">
        <f t="shared" si="5"/>
        <v>0</v>
      </c>
      <c r="DP39">
        <f t="shared" si="38"/>
        <v>6984.0459056705358</v>
      </c>
      <c r="DQ39">
        <f>DP39/(1+r_)^A39</f>
        <v>2409.7222955407292</v>
      </c>
    </row>
    <row r="40" spans="1:121" x14ac:dyDescent="0.3">
      <c r="A40">
        <v>37</v>
      </c>
      <c r="B40">
        <v>82</v>
      </c>
      <c r="C40">
        <f t="shared" si="39"/>
        <v>34.542000000000002</v>
      </c>
      <c r="D40">
        <f t="shared" si="1"/>
        <v>125</v>
      </c>
      <c r="E40">
        <f t="shared" si="40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0"/>
        <v>4.0096398347168494E-2</v>
      </c>
      <c r="J40">
        <f t="shared" si="21"/>
        <v>0.33879728293393463</v>
      </c>
      <c r="K40">
        <f t="shared" si="22"/>
        <v>0.43975215332823248</v>
      </c>
      <c r="L40">
        <f t="shared" si="23"/>
        <v>0.17785840507644157</v>
      </c>
      <c r="M40">
        <f t="shared" si="24"/>
        <v>0.23987769704637318</v>
      </c>
      <c r="N40">
        <f t="shared" si="25"/>
        <v>0.67694427228992926</v>
      </c>
      <c r="O40">
        <f t="shared" si="26"/>
        <v>0.79741165033513839</v>
      </c>
      <c r="P40">
        <f t="shared" si="27"/>
        <v>0.42638771651786256</v>
      </c>
      <c r="Q40">
        <f t="shared" si="28"/>
        <v>0.54403602217246372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2.7771962616458461E-2</v>
      </c>
      <c r="U40">
        <f t="shared" si="29"/>
        <v>0.59356344328453048</v>
      </c>
      <c r="V40">
        <f t="shared" si="30"/>
        <v>0.71660137904400822</v>
      </c>
      <c r="W40">
        <f t="shared" si="31"/>
        <v>0.34702338842454417</v>
      </c>
      <c r="X40">
        <f t="shared" si="32"/>
        <v>0.44948935743327068</v>
      </c>
      <c r="Y40">
        <f t="shared" si="33"/>
        <v>0.85379554620028197</v>
      </c>
      <c r="Z40">
        <f t="shared" si="34"/>
        <v>0.93391565616609062</v>
      </c>
      <c r="AA40">
        <f t="shared" si="35"/>
        <v>0.61162398329047041</v>
      </c>
      <c r="AB40">
        <f t="shared" si="36"/>
        <v>0.73720433559374832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4.6409728544795401E-2</v>
      </c>
      <c r="AD40">
        <f t="shared" si="37"/>
        <v>6.6777101537291897E-2</v>
      </c>
      <c r="AE40">
        <f t="shared" si="6"/>
        <v>1.8967196024783372E-2</v>
      </c>
      <c r="AF40">
        <f t="shared" si="7"/>
        <v>1.1832572793429098E-3</v>
      </c>
      <c r="AG40">
        <f t="shared" si="8"/>
        <v>4.3267987082795407E-3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5.0811354676203477E-4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2.3983509563414102E-3</v>
      </c>
      <c r="AJ40">
        <f t="shared" si="11"/>
        <v>3.5832691349352053E-5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3.090962225458759E-5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8.0110712450956497E-5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4.5950577525567511E-4</v>
      </c>
      <c r="AN40">
        <f t="shared" si="15"/>
        <v>5.3575937474215204E-3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2.5687666587498561E-5</v>
      </c>
      <c r="AP40">
        <f>AM39*T39*p_Stroke*p_Stroke_rec*(1-I39) + AN39*T39*p_Stroke*p_Stroke_rec*(1-I39) + AO39*(p_recur_Stroke*p_Stroke_rec)*(1-I39) + AP39*(p_recur_Stroke*p_Stroke_rec)*(1-I39) + AQ39*(p_recur_Stroke*p_Stroke_rec)*(1-I39)</f>
        <v>6.3142553752936639E-5</v>
      </c>
      <c r="AQ40">
        <f>AO39*(1-p_recur_Stroke-H39*rr_Stroke*rr_HF)*(1-I39) + AP39*(1-p_recur_Stroke-H39*rr_Stroke*rr_HF)*(1-I39) + AQ39*(1-p_recur_Stroke-H39*rr_Stroke*rr_HF)*(1-I39)</f>
        <v>1.6317335083046721E-4</v>
      </c>
      <c r="AR40">
        <f>AR39*(1-AC39-H39*rr_DM) + AD39*(1-T39-H39)*I39</f>
        <v>0.16402584870492523</v>
      </c>
      <c r="AS40">
        <f>AR39*AC39*p_Other + AD39*T39*p_Other*I39 + AE39*(1-T39*p_Stroke-T39*p_MI-H39*rr_Other)*I39 + AS39*(1-AC39*p_Stroke-AC39*p_MI-H39*rr_Other*rr_DM)</f>
        <v>7.6406624635342146E-2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5.4530209149861383E-3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1.8628228961318695E-2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2.4256993360109863E-3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1.1139151746838367E-2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2.7117314995484828E-4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2.2877507011928751E-4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5.3681494688138237E-4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2.1848189357829462E-3</v>
      </c>
      <c r="BB40">
        <f>AM39*(1-T39*p_Stroke - H39*rr_HF)*I39 + AN39*(1-T39*p_Stroke - H39*rr_HF)*I39 + BA39*(1-AC39*p_Stroke - H39*rr_HF*rr_DM) + BB39*(1-AC39*p_Stroke - H39*rr_HF*rr_DM)</f>
        <v>2.4011067885876151E-2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1.8759498915879607E-4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4.601171079825481E-4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1.0498526810065977E-3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0.53461443676111176</v>
      </c>
      <c r="BG40">
        <f t="shared" si="17"/>
        <v>0.94200000000000017</v>
      </c>
      <c r="BH40">
        <f>(0.9442 - 0.0007*$B40 - dis_BMI*($C40-21.75))*AD40</f>
        <v>5.6399031789815833E-2</v>
      </c>
      <c r="BI40">
        <f>0.959*(0.9442 - 0.0007*$B40 - dis_BMI*($C40-21.75))*AE40</f>
        <v>1.5362638940510789E-2</v>
      </c>
      <c r="BJ40">
        <f>(0.943*(0.9442 - 0.0007*$B40 - dis_BMI*($C40-21.75)) - 0.19*0.5)*AF40</f>
        <v>8.2998987296390683E-4</v>
      </c>
      <c r="BK40">
        <f>(0.943*(0.9442 - 0.0007*$B40 - dis_BMI*($C40-21.75)))*AG40</f>
        <v>3.4460570899110909E-3</v>
      </c>
      <c r="BL40">
        <f>(0.955*(0.9442 - 0.0007*$B40 - dis_BMI*($C40-21.75)) - 0.15*0.5)*AH40</f>
        <v>3.7172571463753204E-4</v>
      </c>
      <c r="BM40">
        <f>(0.955*(0.9442 - 0.0007*$B40 - dis_BMI*($C40-21.75)))*AI40</f>
        <v>1.9344619431460662E-3</v>
      </c>
      <c r="BN40">
        <f>(0.955*0.943*(0.9442 - 0.0007*$B40 - dis_BMI*($C40-21.75)) - 0.19*0.5)*AJ40</f>
        <v>2.3850416781106731E-5</v>
      </c>
      <c r="BO40">
        <f>(0.955*0.943*(0.9442 - 0.0007*$B40 - dis_BMI*($C40-21.75)) - 0.15*0.5)*AK40</f>
        <v>2.1191790061052477E-5</v>
      </c>
      <c r="BP40">
        <f>(0.955*0.943*(0.9442 - 0.0007*$B40 - dis_BMI*($C40-21.75)))*AL40</f>
        <v>6.0932604543649846E-5</v>
      </c>
      <c r="BQ40">
        <f>(0.93*(0.9442 - 0.0007*$B40 - dis_BMI*($C40-21.75)))*AM40</f>
        <v>3.6092586550723181E-4</v>
      </c>
      <c r="BR40">
        <f>(0.93*(0.9442 - 0.0007*$B40 - dis_BMI*($C40-21.75)))*AN40</f>
        <v>4.2082042586914442E-3</v>
      </c>
      <c r="BS40">
        <f>(0.93*0.943*(0.9442 - 0.0007*$B40 - dis_BMI*($C40-21.75)))*AO40</f>
        <v>1.9026696069750332E-5</v>
      </c>
      <c r="BT40">
        <f>(0.93*0.943*(0.9442 - 0.0007*$B40 - dis_BMI*($C40-21.75))-0.19*0.5)*AP40</f>
        <v>4.0770757175245752E-5</v>
      </c>
      <c r="BU40">
        <f>(0.93*0.943*(0.9442 - 0.0007*$B40 - dis_BMI*($C40-21.75)))*AQ40</f>
        <v>1.2086149368058929E-4</v>
      </c>
      <c r="BV40">
        <f>0.962*(0.9442 - 0.0007*$B40 - dis_BMI*($C40-21.75))*AR40</f>
        <v>0.13326970902418123</v>
      </c>
      <c r="BW40">
        <f>0.962*0.959*(0.9442 - 0.0007*$B40 - dis_BMI*($C40-21.75))*AS40</f>
        <v>5.9534509199824164E-2</v>
      </c>
      <c r="BX40">
        <f>0.962*(0.943*(0.9442 - 0.0007*$B40 - dis_BMI*($C40-21.75)) - 0.19*0.5)*AT40</f>
        <v>3.679644343899387E-3</v>
      </c>
      <c r="BY40">
        <f>0.962*(0.943*(0.9442 - 0.0007*$B40 - dis_BMI*($C40-21.75)))*AU40</f>
        <v>1.4272577697698928E-2</v>
      </c>
      <c r="BZ40">
        <f>0.962*(0.955*(0.9442 - 0.0007*$B40 - dis_BMI*($C40-21.75)) - 0.15*0.5)*AV40</f>
        <v>1.7071586096721119E-3</v>
      </c>
      <c r="CA40">
        <f>0.962*(0.955*(0.9442 - 0.0007*$B40 - dis_BMI*($C40-21.75)))*AW40</f>
        <v>8.6432016979485927E-3</v>
      </c>
      <c r="CB40">
        <f>0.962*(0.955*0.943*(0.9442 - 0.0007*$B40 - dis_BMI*($C40-21.75)) - 0.19*0.5)*AX40</f>
        <v>1.7363541200549485E-4</v>
      </c>
      <c r="CC40">
        <f>0.962*(0.955*0.943*(0.9442 - 0.0007*$B40 - dis_BMI*($C40-21.75)) - 0.15*0.5)*AY40</f>
        <v>1.5088904662061356E-4</v>
      </c>
      <c r="CD40">
        <f>0.962*(0.955*0.943*(0.9442 - 0.0007*$B40 - dis_BMI*($C40-21.75)))*AZ40</f>
        <v>3.927885504899552E-4</v>
      </c>
      <c r="CE40">
        <f>0.962*(0.93*(0.9442 - 0.0007*$B40 - dis_BMI*($C40-21.75)))*BA40</f>
        <v>1.6508877906218787E-3</v>
      </c>
      <c r="CF40">
        <f>0.962*(0.93*(0.9442 - 0.0007*$B40 - dis_BMI*($C40-21.75)))*BB40</f>
        <v>1.8143187137098334E-2</v>
      </c>
      <c r="CG40">
        <f>0.962*(0.93*0.943*(0.9442 - 0.0007*$B40 - dis_BMI*($C40-21.75)))*BC40</f>
        <v>1.3367033331755234E-4</v>
      </c>
      <c r="CH40">
        <f>0.962*(0.93*0.943*(0.9442 - 0.0007*$B40 - dis_BMI*($C40-21.75))-0.19*0.5)*BD40</f>
        <v>2.8580517479288116E-4</v>
      </c>
      <c r="CI40">
        <f>0.962*(0.93*0.943*(0.9442 - 0.0007*$B40 - dis_BMI*($C40-21.75)))*BE40</f>
        <v>7.4806986281327219E-4</v>
      </c>
      <c r="CJ40">
        <f t="shared" si="18"/>
        <v>0</v>
      </c>
      <c r="CK40">
        <f t="shared" si="19"/>
        <v>0.32598540311447971</v>
      </c>
      <c r="CL40">
        <f>CK40/(1+r_)^A40</f>
        <v>0.10919954773754424</v>
      </c>
      <c r="CM40">
        <f>AD40*c_PT_2</f>
        <v>97.828453752132631</v>
      </c>
      <c r="CN40">
        <f>AE40*(c_Other+c_PT_2)</f>
        <v>298.6195342141894</v>
      </c>
      <c r="CO40">
        <f>AF40*(c_Stroke1+c_Stroke2+c_PT_2)</f>
        <v>29.913927279068101</v>
      </c>
      <c r="CP40">
        <f>AG40*(c_Stroke2 + c_PT_2)</f>
        <v>34.462951711446543</v>
      </c>
      <c r="CQ40">
        <f>AH40*(c_MI1+c_MI2 + c_PT_2)</f>
        <v>15.556404347666456</v>
      </c>
      <c r="CR40">
        <f>AI40*(c_MI2+c_PT_2)</f>
        <v>10.989244081956342</v>
      </c>
      <c r="CS40">
        <f>AJ40*(c_Stroke1+c_Stroke2+c_MI2+c_PT_2)</f>
        <v>1.0175767689388997</v>
      </c>
      <c r="CT40">
        <f>AK40*(c_Stroke2+c_MI1+c_MI2+c_PT_2)</f>
        <v>1.147241539601273</v>
      </c>
      <c r="CU40">
        <f>AL40*(c_Stroke2+c_MI2+c_PT_2)</f>
        <v>0.8877869153814999</v>
      </c>
      <c r="CV40">
        <f>AM40*(c_HF1+c_PT_2)</f>
        <v>13.093617065910463</v>
      </c>
      <c r="CW40">
        <f>AN40*(c_HF2+c_PT_2)</f>
        <v>91.454125268485356</v>
      </c>
      <c r="CX40">
        <f>AO40*(c_Stroke2+c_HF1+c_PT_2)</f>
        <v>0.89893989222951209</v>
      </c>
      <c r="CY40">
        <f>AP40*(c_Stroke1+c_Stroke2+c_HF2+c_PT_2)</f>
        <v>2.5816464527425675</v>
      </c>
      <c r="CZ40">
        <f>AQ40*(c_Stroke2+c_HF2+c_PT_2)</f>
        <v>3.845995879074112</v>
      </c>
      <c r="DA40">
        <f>AR40*(c_DM+c_PT_2)</f>
        <v>2114.2931898064862</v>
      </c>
      <c r="DB40">
        <f>AS40*(c_Other+c_DM+c_PT_2)</f>
        <v>2075.8915847176108</v>
      </c>
      <c r="DC40">
        <f>AT40*(c_Stroke1+c_Stroke2+c_DM+c_PT_2)</f>
        <v>200.15858570548119</v>
      </c>
      <c r="DD40">
        <f>AU40*(c_Stroke2+c_DM+c_PT_2)</f>
        <v>361.20135955996949</v>
      </c>
      <c r="DE40">
        <f>AV40*(c_MI1+c_MI2+c_DM+c_PT_2)</f>
        <v>101.97882578523787</v>
      </c>
      <c r="DF40">
        <f>AW40*(c_MI2+c_DM+c_PT_2)</f>
        <v>178.30440201164174</v>
      </c>
      <c r="DG40">
        <f>AX40*(c_Stroke1+c_Stroke2+c_MI2+c_DM+c_PT_2)</f>
        <v>10.798928350651924</v>
      </c>
      <c r="DH40">
        <f>AY40*(c_Stroke2+c_MI1+c_MI2+c_DM+c_PT_2)</f>
        <v>11.104970678660335</v>
      </c>
      <c r="DI40">
        <f>AZ40*(c_Stroke2+c_MI2+c_DM+c_PT_2)</f>
        <v>12.082094009459272</v>
      </c>
      <c r="DJ40">
        <f>BA40*(c_HF1+c_DM+c_PT_2)</f>
        <v>87.217971916455213</v>
      </c>
      <c r="DK40">
        <f>BB40*(c_HF2+c_DM+c_PT_2)</f>
        <v>684.19537940804094</v>
      </c>
      <c r="DL40">
        <f>BC40*(c_Stroke2+c_HF1+c_DM+c_PT_2)</f>
        <v>8.7081593967513129</v>
      </c>
      <c r="DM40">
        <f>BD40*(c_Stroke1+c_Stroke2+c_HF2+c_DM+c_PT_2)</f>
        <v>24.069186035675074</v>
      </c>
      <c r="DN40">
        <f>BE40*(c_Stroke2+c_HF2+c_DM+c_PT_2)</f>
        <v>36.739594571825883</v>
      </c>
      <c r="DO40">
        <f t="shared" si="5"/>
        <v>0</v>
      </c>
      <c r="DP40">
        <f t="shared" si="38"/>
        <v>6509.0416771227701</v>
      </c>
      <c r="DQ40">
        <f>DP40/(1+r_)^A40</f>
        <v>2180.4178977210809</v>
      </c>
    </row>
    <row r="41" spans="1:121" x14ac:dyDescent="0.3">
      <c r="A41">
        <v>38</v>
      </c>
      <c r="B41">
        <v>83</v>
      </c>
      <c r="C41">
        <f t="shared" si="39"/>
        <v>34.542000000000002</v>
      </c>
      <c r="D41">
        <f t="shared" si="1"/>
        <v>125</v>
      </c>
      <c r="E41">
        <f t="shared" si="40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0"/>
        <v>4.0096398347168494E-2</v>
      </c>
      <c r="J41">
        <f t="shared" si="21"/>
        <v>0.34790645207572679</v>
      </c>
      <c r="K41">
        <f t="shared" si="22"/>
        <v>0.45053172979434897</v>
      </c>
      <c r="L41">
        <f t="shared" si="23"/>
        <v>0.18323988300765182</v>
      </c>
      <c r="M41">
        <f t="shared" si="24"/>
        <v>0.24683672354577602</v>
      </c>
      <c r="N41">
        <f t="shared" si="25"/>
        <v>0.69068083439517003</v>
      </c>
      <c r="O41">
        <f t="shared" si="26"/>
        <v>0.80947564674538497</v>
      </c>
      <c r="P41">
        <f t="shared" si="27"/>
        <v>0.43851756545301579</v>
      </c>
      <c r="Q41">
        <f t="shared" si="28"/>
        <v>0.55760033323502012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2.8523311781217899E-2</v>
      </c>
      <c r="U41">
        <f t="shared" si="29"/>
        <v>0.60565067538376405</v>
      </c>
      <c r="V41">
        <f t="shared" si="30"/>
        <v>0.72833420357582979</v>
      </c>
      <c r="W41">
        <f t="shared" si="31"/>
        <v>0.35628951927350705</v>
      </c>
      <c r="X41">
        <f t="shared" si="32"/>
        <v>0.4603989261942294</v>
      </c>
      <c r="Y41">
        <f t="shared" si="33"/>
        <v>0.86421575945849505</v>
      </c>
      <c r="Z41">
        <f t="shared" si="34"/>
        <v>0.94047138714188261</v>
      </c>
      <c r="AA41">
        <f t="shared" si="35"/>
        <v>0.62549535801349498</v>
      </c>
      <c r="AB41">
        <f t="shared" si="36"/>
        <v>0.75036828744972583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4.7433325257480334E-2</v>
      </c>
      <c r="AD41">
        <f t="shared" si="37"/>
        <v>5.8833289353735586E-2</v>
      </c>
      <c r="AE41">
        <f t="shared" si="6"/>
        <v>1.7076879930661894E-2</v>
      </c>
      <c r="AF41">
        <f t="shared" si="7"/>
        <v>1.0675957631196499E-3</v>
      </c>
      <c r="AG41">
        <f t="shared" si="8"/>
        <v>3.7217545161132006E-3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4.6266630723522568E-4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2.1024394088178006E-3</v>
      </c>
      <c r="AJ41">
        <f t="shared" si="11"/>
        <v>3.1957638820821063E-5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2.7880261405682427E-5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6.4412358314204743E-5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4.1336978094730478E-4</v>
      </c>
      <c r="AN41">
        <f t="shared" si="15"/>
        <v>4.9954836058098643E-3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2.273716463947194E-5</v>
      </c>
      <c r="AP41">
        <f>AM40*T40*p_Stroke*p_Stroke_rec*(1-I40) + AN40*T40*p_Stroke*p_Stroke_rec*(1-I40) + AO40*(p_recur_Stroke*p_Stroke_rec)*(1-I40) + AP40*(p_recur_Stroke*p_Stroke_rec)*(1-I40) + AQ40*(p_recur_Stroke*p_Stroke_rec)*(1-I40)</f>
        <v>5.9519451260576829E-5</v>
      </c>
      <c r="AQ41">
        <f>AO40*(1-p_recur_Stroke-H40*rr_Stroke*rr_HF)*(1-I40) + AP40*(1-p_recur_Stroke-H40*rr_Stroke*rr_HF)*(1-I40) + AQ40*(1-p_recur_Stroke-H40*rr_Stroke*rr_HF)*(1-I40)</f>
        <v>1.379271890597991E-4</v>
      </c>
      <c r="AR41">
        <f>AR40*(1-AC40-H40*rr_DM) + AD40*(1-T40-H40)*I40</f>
        <v>0.14861217888520403</v>
      </c>
      <c r="AS41">
        <f>AR40*AC40*p_Other + AD40*T40*p_Other*I40 + AE40*(1-T40*p_Stroke-T40*p_MI-H40*rr_Other)*I40 + AS40*(1-AC40*p_Stroke-AC40*p_MI-H40*rr_Other*rr_DM)</f>
        <v>7.0631400442608128E-2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5.0642834954382349E-3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1.6386885947807912E-2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2.2752492563597425E-3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1.0077064735324222E-2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2.4900445254227128E-4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2.1156309679094828E-4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4.3460134947219831E-4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2.0297363417624333E-3</v>
      </c>
      <c r="BB41">
        <f>AM40*(1-T40*p_Stroke - H40*rr_HF)*I40 + AN40*(1-T40*p_Stroke - H40*rr_HF)*I40 + BA40*(1-AC40*p_Stroke - H40*rr_HF*rr_DM) + BB40*(1-AC40*p_Stroke - H40*rr_HF*rr_DM)</f>
        <v>2.3143058302373464E-2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1.7037363386377999E-4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4.4714878457251722E-4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8.9479715150647861E-4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0.57235474139443254</v>
      </c>
      <c r="BG41">
        <f t="shared" si="17"/>
        <v>0.94200000000000006</v>
      </c>
      <c r="BH41">
        <f>(0.9442 - 0.0007*$B41 - dis_BMI*($C41-21.75))*AD41</f>
        <v>4.9648612752882251E-2</v>
      </c>
      <c r="BI41">
        <f>0.959*(0.9442 - 0.0007*$B41 - dis_BMI*($C41-21.75))*AE41</f>
        <v>1.3820097912073856E-2</v>
      </c>
      <c r="BJ41">
        <f>(0.943*(0.9442 - 0.0007*$B41 - dis_BMI*($C41-21.75)) - 0.19*0.5)*AF41</f>
        <v>7.4815496362185257E-4</v>
      </c>
      <c r="BK41">
        <f>(0.943*(0.9442 - 0.0007*$B41 - dis_BMI*($C41-21.75)))*AG41</f>
        <v>2.9617159531301796E-3</v>
      </c>
      <c r="BL41">
        <f>(0.955*(0.9442 - 0.0007*$B41 - dis_BMI*($C41-21.75)) - 0.15*0.5)*AH41</f>
        <v>3.3816813017275535E-4</v>
      </c>
      <c r="BM41">
        <f>(0.955*(0.9442 - 0.0007*$B41 - dis_BMI*($C41-21.75)))*AI41</f>
        <v>1.6943801228487397E-3</v>
      </c>
      <c r="BN41">
        <f>(0.955*0.943*(0.9442 - 0.0007*$B41 - dis_BMI*($C41-21.75)) - 0.19*0.5)*AJ41</f>
        <v>2.1251016679803647E-5</v>
      </c>
      <c r="BO41">
        <f>(0.955*0.943*(0.9442 - 0.0007*$B41 - dis_BMI*($C41-21.75)) - 0.15*0.5)*AK41</f>
        <v>1.909726967239129E-5</v>
      </c>
      <c r="BP41">
        <f>(0.955*0.943*(0.9442 - 0.0007*$B41 - dis_BMI*($C41-21.75)))*AL41</f>
        <v>4.8951753398898788E-5</v>
      </c>
      <c r="BQ41">
        <f>(0.93*(0.9442 - 0.0007*$B41 - dis_BMI*($C41-21.75)))*AM41</f>
        <v>3.2441853677054098E-4</v>
      </c>
      <c r="BR41">
        <f>(0.93*(0.9442 - 0.0007*$B41 - dis_BMI*($C41-21.75)))*AN41</f>
        <v>3.9205272290202924E-3</v>
      </c>
      <c r="BS41">
        <f>(0.93*0.943*(0.9442 - 0.0007*$B41 - dis_BMI*($C41-21.75)))*AO41</f>
        <v>1.682731930427235E-5</v>
      </c>
      <c r="BT41">
        <f>(0.93*0.943*(0.9442 - 0.0007*$B41 - dis_BMI*($C41-21.75))-0.19*0.5)*AP41</f>
        <v>3.8394803687079878E-5</v>
      </c>
      <c r="BU41">
        <f>(0.93*0.943*(0.9442 - 0.0007*$B41 - dis_BMI*($C41-21.75)))*AQ41</f>
        <v>1.020771449673543E-4</v>
      </c>
      <c r="BV41">
        <f>0.962*(0.9442 - 0.0007*$B41 - dis_BMI*($C41-21.75))*AR41</f>
        <v>0.1206461483634384</v>
      </c>
      <c r="BW41">
        <f>0.962*0.959*(0.9442 - 0.0007*$B41 - dis_BMI*($C41-21.75))*AS41</f>
        <v>5.4988957265307767E-2</v>
      </c>
      <c r="BX41">
        <f>0.962*(0.943*(0.9442 - 0.0007*$B41 - dis_BMI*($C41-21.75)) - 0.19*0.5)*AT41</f>
        <v>3.4141122927896349E-3</v>
      </c>
      <c r="BY41">
        <f>0.962*(0.943*(0.9442 - 0.0007*$B41 - dis_BMI*($C41-21.75)))*AU41</f>
        <v>1.2544899421315019E-2</v>
      </c>
      <c r="BZ41">
        <f>0.962*(0.955*(0.9442 - 0.0007*$B41 - dis_BMI*($C41-21.75)) - 0.15*0.5)*AV41</f>
        <v>1.5998116509253495E-3</v>
      </c>
      <c r="CA41">
        <f>0.962*(0.955*(0.9442 - 0.0007*$B41 - dis_BMI*($C41-21.75)))*AW41</f>
        <v>7.8126160232270762E-3</v>
      </c>
      <c r="CB41">
        <f>0.962*(0.955*0.943*(0.9442 - 0.0007*$B41 - dis_BMI*($C41-21.75)) - 0.19*0.5)*AX41</f>
        <v>1.5928952346693398E-4</v>
      </c>
      <c r="CC41">
        <f>0.962*(0.955*0.943*(0.9442 - 0.0007*$B41 - dis_BMI*($C41-21.75)) - 0.15*0.5)*AY41</f>
        <v>1.3940855539788262E-4</v>
      </c>
      <c r="CD41">
        <f>0.962*(0.955*0.943*(0.9442 - 0.0007*$B41 - dis_BMI*($C41-21.75)))*AZ41</f>
        <v>3.1773510075632573E-4</v>
      </c>
      <c r="CE41">
        <f>0.962*(0.93*(0.9442 - 0.0007*$B41 - dis_BMI*($C41-21.75)))*BA41</f>
        <v>1.5324334957430715E-3</v>
      </c>
      <c r="CF41">
        <f>0.962*(0.93*(0.9442 - 0.0007*$B41 - dis_BMI*($C41-21.75)))*BB41</f>
        <v>1.7472810141290183E-2</v>
      </c>
      <c r="CG41">
        <f>0.962*(0.93*0.943*(0.9442 - 0.0007*$B41 - dis_BMI*($C41-21.75)))*BC41</f>
        <v>1.2129868360195753E-4</v>
      </c>
      <c r="CH41">
        <f>0.962*(0.93*0.943*(0.9442 - 0.0007*$B41 - dis_BMI*($C41-21.75))-0.19*0.5)*BD41</f>
        <v>2.7748573349196124E-4</v>
      </c>
      <c r="CI41">
        <f>0.962*(0.93*0.943*(0.9442 - 0.0007*$B41 - dis_BMI*($C41-21.75)))*BE41</f>
        <v>6.370570029356603E-4</v>
      </c>
      <c r="CJ41">
        <f t="shared" si="18"/>
        <v>0</v>
      </c>
      <c r="CK41">
        <f t="shared" si="19"/>
        <v>0.29536673816191761</v>
      </c>
      <c r="CL41">
        <f>CK41/(1+r_)^A41</f>
        <v>9.6060987792525102E-2</v>
      </c>
      <c r="CM41">
        <f>AD41*c_PT_2</f>
        <v>86.190768903222633</v>
      </c>
      <c r="CN41">
        <f>AE41*(c_Other+c_PT_2)</f>
        <v>268.85839762834087</v>
      </c>
      <c r="CO41">
        <f>AF41*(c_Stroke1+c_Stroke2+c_PT_2)</f>
        <v>26.989888487427869</v>
      </c>
      <c r="CP41">
        <f>AG41*(c_Stroke2 + c_PT_2)</f>
        <v>29.643774720841645</v>
      </c>
      <c r="CQ41">
        <f>AH41*(c_MI1+c_MI2 + c_PT_2)</f>
        <v>14.164991662313669</v>
      </c>
      <c r="CR41">
        <f>AI41*(c_MI2+c_PT_2)</f>
        <v>9.6333773712031618</v>
      </c>
      <c r="CS41">
        <f>AJ41*(c_Stroke1+c_Stroke2+c_MI2+c_PT_2)</f>
        <v>0.90753302723367657</v>
      </c>
      <c r="CT41">
        <f>AK41*(c_Stroke2+c_MI1+c_MI2+c_PT_2)</f>
        <v>1.0348037823333089</v>
      </c>
      <c r="CU41">
        <f>AL41*(c_Stroke2+c_MI2+c_PT_2)</f>
        <v>0.7138177548380169</v>
      </c>
      <c r="CV41">
        <f>AM41*(c_HF1+c_PT_2)</f>
        <v>11.77897190809345</v>
      </c>
      <c r="CW41">
        <f>AN41*(c_HF2+c_PT_2)</f>
        <v>85.272905151174385</v>
      </c>
      <c r="CX41">
        <f>AO41*(c_Stroke2+c_HF1+c_PT_2)</f>
        <v>0.79568707655832049</v>
      </c>
      <c r="CY41">
        <f>AP41*(c_Stroke1+c_Stroke2+c_HF2+c_PT_2)</f>
        <v>2.4335122842399444</v>
      </c>
      <c r="CZ41">
        <f>AQ41*(c_Stroke2+c_HF2+c_PT_2)</f>
        <v>3.2509438461394646</v>
      </c>
      <c r="DA41">
        <f>AR41*(c_DM+c_PT_2)</f>
        <v>1915.61098583028</v>
      </c>
      <c r="DB41">
        <f>AS41*(c_Other+c_DM+c_PT_2)</f>
        <v>1918.9845186252203</v>
      </c>
      <c r="DC41">
        <f>AT41*(c_Stroke1+c_Stroke2+c_DM+c_PT_2)</f>
        <v>185.88958998355585</v>
      </c>
      <c r="DD41">
        <f>AU41*(c_Stroke2+c_DM+c_PT_2)</f>
        <v>317.74171852799543</v>
      </c>
      <c r="DE41">
        <f>AV41*(c_MI1+c_MI2+c_DM+c_PT_2)</f>
        <v>95.653753986619932</v>
      </c>
      <c r="DF41">
        <f>AW41*(c_MI2+c_DM+c_PT_2)</f>
        <v>161.30357521833483</v>
      </c>
      <c r="DG41">
        <f>AX41*(c_Stroke1+c_Stroke2+c_MI2+c_DM+c_PT_2)</f>
        <v>9.9161043135908695</v>
      </c>
      <c r="DH41">
        <f>AY41*(c_Stroke2+c_MI1+c_MI2+c_DM+c_PT_2)</f>
        <v>10.26948428132942</v>
      </c>
      <c r="DI41">
        <f>AZ41*(c_Stroke2+c_MI2+c_DM+c_PT_2)</f>
        <v>9.7815725725707683</v>
      </c>
      <c r="DJ41">
        <f>BA41*(c_HF1+c_DM+c_PT_2)</f>
        <v>81.027074763156335</v>
      </c>
      <c r="DK41">
        <f>BB41*(c_HF2+c_DM+c_PT_2)</f>
        <v>659.46144632613186</v>
      </c>
      <c r="DL41">
        <f>BC41*(c_Stroke2+c_HF1+c_DM+c_PT_2)</f>
        <v>7.9087440839566669</v>
      </c>
      <c r="DM41">
        <f>BD41*(c_Stroke1+c_Stroke2+c_HF2+c_DM+c_PT_2)</f>
        <v>23.390800069772947</v>
      </c>
      <c r="DN41">
        <f>BE41*(c_Stroke2+c_HF2+c_DM+c_PT_2)</f>
        <v>31.31342631696922</v>
      </c>
      <c r="DO41">
        <f t="shared" si="5"/>
        <v>0</v>
      </c>
      <c r="DP41">
        <f t="shared" si="38"/>
        <v>5969.9221685034472</v>
      </c>
      <c r="DQ41">
        <f>DP41/(1+r_)^A41</f>
        <v>1941.5748168521245</v>
      </c>
    </row>
    <row r="42" spans="1:121" x14ac:dyDescent="0.3">
      <c r="A42">
        <v>39</v>
      </c>
      <c r="B42">
        <v>84</v>
      </c>
      <c r="C42">
        <f t="shared" si="39"/>
        <v>34.542000000000002</v>
      </c>
      <c r="D42">
        <f t="shared" si="1"/>
        <v>125</v>
      </c>
      <c r="E42">
        <f t="shared" si="40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0"/>
        <v>4.0096398347168494E-2</v>
      </c>
      <c r="J42">
        <f t="shared" si="21"/>
        <v>0.35707702645984207</v>
      </c>
      <c r="K42">
        <f t="shared" si="22"/>
        <v>0.46132322152988758</v>
      </c>
      <c r="L42">
        <f t="shared" si="23"/>
        <v>0.18869777686772971</v>
      </c>
      <c r="M42">
        <f t="shared" si="24"/>
        <v>0.25387583492193466</v>
      </c>
      <c r="N42">
        <f t="shared" si="25"/>
        <v>0.70416493915287037</v>
      </c>
      <c r="O42">
        <f t="shared" si="26"/>
        <v>0.82110466927600534</v>
      </c>
      <c r="P42">
        <f t="shared" si="27"/>
        <v>0.45069371759880905</v>
      </c>
      <c r="Q42">
        <f t="shared" si="28"/>
        <v>0.57109524186601213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2.9278913820217634E-2</v>
      </c>
      <c r="U42">
        <f t="shared" si="29"/>
        <v>0.61762039574547023</v>
      </c>
      <c r="V42">
        <f t="shared" si="30"/>
        <v>0.73981188776443108</v>
      </c>
      <c r="W42">
        <f t="shared" si="31"/>
        <v>0.36561415726001756</v>
      </c>
      <c r="X42">
        <f t="shared" si="32"/>
        <v>0.47131406781824337</v>
      </c>
      <c r="Y42">
        <f t="shared" si="33"/>
        <v>0.87413349975389554</v>
      </c>
      <c r="Z42">
        <f t="shared" si="34"/>
        <v>0.94652103142594979</v>
      </c>
      <c r="AA42">
        <f t="shared" si="35"/>
        <v>0.63920979868913674</v>
      </c>
      <c r="AB42">
        <f t="shared" si="36"/>
        <v>0.76318683403246257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4.8451578167968037E-2</v>
      </c>
      <c r="AD42">
        <f t="shared" si="37"/>
        <v>5.1325112733784858E-2</v>
      </c>
      <c r="AE42">
        <f t="shared" si="6"/>
        <v>1.5116350507298712E-2</v>
      </c>
      <c r="AF42">
        <f t="shared" si="7"/>
        <v>9.4733134614846052E-4</v>
      </c>
      <c r="AG42">
        <f t="shared" si="8"/>
        <v>3.1152224297172283E-3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4.1708397563525423E-4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1.822920843110309E-3</v>
      </c>
      <c r="AJ42">
        <f t="shared" si="11"/>
        <v>2.8028233095650586E-5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2.457161041441664E-5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4.9621672359511943E-5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3.6841976280463043E-4</v>
      </c>
      <c r="AN42">
        <f t="shared" si="15"/>
        <v>4.5658739064770521E-3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1.9641448757220078E-5</v>
      </c>
      <c r="AP42">
        <f>AM41*T41*p_Stroke*p_Stroke_rec*(1-I41) + AN41*T41*p_Stroke*p_Stroke_rec*(1-I41) + AO41*(p_recur_Stroke*p_Stroke_rec)*(1-I41) + AP41*(p_recur_Stroke*p_Stroke_rec)*(1-I41) + AQ41*(p_recur_Stroke*p_Stroke_rec)*(1-I41)</f>
        <v>5.4669969556009047E-5</v>
      </c>
      <c r="AQ42">
        <f>AO41*(1-p_recur_Stroke-H41*rr_Stroke*rr_HF)*(1-I41) + AP41*(1-p_recur_Stroke-H41*rr_Stroke*rr_HF)*(1-I41) + AQ41*(1-p_recur_Stroke-H41*rr_Stroke*rr_HF)*(1-I41)</f>
        <v>1.1055679638700108E-4</v>
      </c>
      <c r="AR42">
        <f>AR41*(1-AC41-H41*rr_DM) + AD41*(1-T41-H41)*I41</f>
        <v>0.13299910494609526</v>
      </c>
      <c r="AS42">
        <f>AR41*AC41*p_Other + AD41*T41*p_Other*I41 + AE41*(1-T41*p_Stroke-T41*p_MI-H41*rr_Other)*I41 + AS41*(1-AC41*p_Stroke-AC41*p_MI-H41*rr_Other*rr_DM)</f>
        <v>6.3962878724264427E-2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4.6083043908029791E-3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1.3945572208491455E-2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2.1058993423868589E-3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8.9839924726158177E-3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2.2397625833668253E-4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1.9022510421649576E-4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3.3290350357619177E-4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1.8620283064982651E-3</v>
      </c>
      <c r="BB42">
        <f>AM41*(1-T41*p_Stroke - H41*rr_HF)*I41 + AN41*(1-T41*p_Stroke - H41*rr_HF)*I41 + BA41*(1-AC41*p_Stroke - H41*rr_HF*rr_DM) + BB41*(1-AC41*p_Stroke - H41*rr_HF*rr_DM)</f>
        <v>2.1787860326813215E-2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1.5020275794256285E-4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4.2190032664140957E-4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7.1472473868897188E-4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0.61174502135708309</v>
      </c>
      <c r="BG42">
        <f t="shared" si="17"/>
        <v>0.94200000000000017</v>
      </c>
      <c r="BH42">
        <f>(0.9442 - 0.0007*$B42 - dis_BMI*($C42-21.75))*AD42</f>
        <v>4.3276637035594222E-2</v>
      </c>
      <c r="BI42">
        <f>0.959*(0.9442 - 0.0007*$B42 - dis_BMI*($C42-21.75))*AE42</f>
        <v>1.2223319217606493E-2</v>
      </c>
      <c r="BJ42">
        <f>(0.943*(0.9442 - 0.0007*$B42 - dis_BMI*($C42-21.75)) - 0.19*0.5)*AF42</f>
        <v>6.6325014576210431E-4</v>
      </c>
      <c r="BK42">
        <f>(0.943*(0.9442 - 0.0007*$B42 - dis_BMI*($C42-21.75)))*AG42</f>
        <v>2.476990534126909E-3</v>
      </c>
      <c r="BL42">
        <f>(0.955*(0.9442 - 0.0007*$B42 - dis_BMI*($C42-21.75)) - 0.15*0.5)*AH42</f>
        <v>3.0457265862482267E-4</v>
      </c>
      <c r="BM42">
        <f>(0.955*(0.9442 - 0.0007*$B42 - dis_BMI*($C42-21.75)))*AI42</f>
        <v>1.4678942703437248E-3</v>
      </c>
      <c r="BN42">
        <f>(0.955*0.943*(0.9442 - 0.0007*$B42 - dis_BMI*($C42-21.75)) - 0.19*0.5)*AJ42</f>
        <v>1.8620392981071114E-5</v>
      </c>
      <c r="BO42">
        <f>(0.955*0.943*(0.9442 - 0.0007*$B42 - dis_BMI*($C42-21.75)) - 0.15*0.5)*AK42</f>
        <v>1.6815438096665838E-5</v>
      </c>
      <c r="BP42">
        <f>(0.955*0.943*(0.9442 - 0.0007*$B42 - dis_BMI*($C42-21.75)))*AL42</f>
        <v>3.7679927131309262E-5</v>
      </c>
      <c r="BQ42">
        <f>(0.93*(0.9442 - 0.0007*$B42 - dis_BMI*($C42-21.75)))*AM42</f>
        <v>2.8890127614392402E-4</v>
      </c>
      <c r="BR42">
        <f>(0.93*(0.9442 - 0.0007*$B42 - dis_BMI*($C42-21.75)))*AN42</f>
        <v>3.5803909873123804E-3</v>
      </c>
      <c r="BS42">
        <f>(0.93*0.943*(0.9442 - 0.0007*$B42 - dis_BMI*($C42-21.75)))*AO42</f>
        <v>1.4524184350748851E-5</v>
      </c>
      <c r="BT42">
        <f>(0.93*0.943*(0.9442 - 0.0007*$B42 - dis_BMI*($C42-21.75))-0.19*0.5)*AP42</f>
        <v>3.5232938837852808E-5</v>
      </c>
      <c r="BU42">
        <f>(0.93*0.943*(0.9442 - 0.0007*$B42 - dis_BMI*($C42-21.75)))*AQ42</f>
        <v>8.1752996522863169E-5</v>
      </c>
      <c r="BV42">
        <f>0.962*(0.9442 - 0.0007*$B42 - dis_BMI*($C42-21.75))*AR42</f>
        <v>0.10788160111561691</v>
      </c>
      <c r="BW42">
        <f>0.962*0.959*(0.9442 - 0.0007*$B42 - dis_BMI*($C42-21.75))*AS42</f>
        <v>4.9755978755657876E-2</v>
      </c>
      <c r="BX42">
        <f>0.962*(0.943*(0.9442 - 0.0007*$B42 - dis_BMI*($C42-21.75)) - 0.19*0.5)*AT42</f>
        <v>3.1037853287888724E-3</v>
      </c>
      <c r="BY42">
        <f>0.962*(0.943*(0.9442 - 0.0007*$B42 - dis_BMI*($C42-21.75)))*AU42</f>
        <v>1.0667108108554275E-2</v>
      </c>
      <c r="BZ42">
        <f>0.962*(0.955*(0.9442 - 0.0007*$B42 - dis_BMI*($C42-21.75)) - 0.15*0.5)*AV42</f>
        <v>1.4793811841607701E-3</v>
      </c>
      <c r="CA42">
        <f>0.962*(0.955*(0.9442 - 0.0007*$B42 - dis_BMI*($C42-21.75)))*AW42</f>
        <v>6.9593938664139782E-3</v>
      </c>
      <c r="CB42">
        <f>0.962*(0.955*0.943*(0.9442 - 0.0007*$B42 - dis_BMI*($C42-21.75)) - 0.19*0.5)*AX42</f>
        <v>1.4314302114293756E-4</v>
      </c>
      <c r="CC42">
        <f>0.962*(0.955*0.943*(0.9442 - 0.0007*$B42 - dis_BMI*($C42-21.75)) - 0.15*0.5)*AY42</f>
        <v>1.2523262052585105E-4</v>
      </c>
      <c r="CD42">
        <f>0.962*(0.955*0.943*(0.9442 - 0.0007*$B42 - dis_BMI*($C42-21.75)))*AZ42</f>
        <v>2.4318237479652378E-4</v>
      </c>
      <c r="CE42">
        <f>0.962*(0.93*(0.9442 - 0.0007*$B42 - dis_BMI*($C42-21.75)))*BA42</f>
        <v>1.4046492527255458E-3</v>
      </c>
      <c r="CF42">
        <f>0.962*(0.93*(0.9442 - 0.0007*$B42 - dis_BMI*($C42-21.75)))*BB42</f>
        <v>1.6436002406483966E-2</v>
      </c>
      <c r="CG42">
        <f>0.962*(0.93*0.943*(0.9442 - 0.0007*$B42 - dis_BMI*($C42-21.75)))*BC42</f>
        <v>1.0684918488082398E-4</v>
      </c>
      <c r="CH42">
        <f>0.962*(0.93*0.943*(0.9442 - 0.0007*$B42 - dis_BMI*($C42-21.75))-0.19*0.5)*BD42</f>
        <v>2.6156821671934706E-4</v>
      </c>
      <c r="CI42">
        <f>0.962*(0.93*0.943*(0.9442 - 0.0007*$B42 - dis_BMI*($C42-21.75)))*BE42</f>
        <v>5.0843111530801189E-4</v>
      </c>
      <c r="CJ42">
        <f t="shared" si="18"/>
        <v>0</v>
      </c>
      <c r="CK42">
        <f t="shared" si="19"/>
        <v>0.26356288855521082</v>
      </c>
      <c r="CL42">
        <f>CK42/(1+r_)^A42</f>
        <v>8.3220916654525481E-2</v>
      </c>
      <c r="CM42">
        <f>AD42*c_PT_2</f>
        <v>75.191290154994817</v>
      </c>
      <c r="CN42">
        <f>AE42*(c_Other+c_PT_2)</f>
        <v>237.99182238691094</v>
      </c>
      <c r="CO42">
        <f>AF42*(c_Stroke1+c_Stroke2+c_PT_2)</f>
        <v>23.949483761979231</v>
      </c>
      <c r="CP42">
        <f>AG42*(c_Stroke2 + c_PT_2)</f>
        <v>24.812746652697722</v>
      </c>
      <c r="CQ42">
        <f>AH42*(c_MI1+c_MI2 + c_PT_2)</f>
        <v>12.769442998048943</v>
      </c>
      <c r="CR42">
        <f>AI42*(c_MI2+c_PT_2)</f>
        <v>8.3526233031314359</v>
      </c>
      <c r="CS42">
        <f>AJ42*(c_Stroke1+c_Stroke2+c_MI2+c_PT_2)</f>
        <v>0.79594576345028534</v>
      </c>
      <c r="CT42">
        <f>AK42*(c_Stroke2+c_MI1+c_MI2+c_PT_2)</f>
        <v>0.91199989214148802</v>
      </c>
      <c r="CU42">
        <f>AL42*(c_Stroke2+c_MI2+c_PT_2)</f>
        <v>0.54990737308811133</v>
      </c>
      <c r="CV42">
        <f>AM42*(c_HF1+c_PT_2)</f>
        <v>10.498121141117943</v>
      </c>
      <c r="CW42">
        <f>AN42*(c_HF2+c_PT_2)</f>
        <v>77.939467583563285</v>
      </c>
      <c r="CX42">
        <f>AO42*(c_Stroke2+c_HF1+c_PT_2)</f>
        <v>0.68735249925891662</v>
      </c>
      <c r="CY42">
        <f>AP42*(c_Stroke1+c_Stroke2+c_HF2+c_PT_2)</f>
        <v>2.2352363752669859</v>
      </c>
      <c r="CZ42">
        <f>AQ42*(c_Stroke2+c_HF2+c_PT_2)</f>
        <v>2.6058236908416155</v>
      </c>
      <c r="DA42">
        <f>AR42*(c_DM+c_PT_2)</f>
        <v>1714.3584627551679</v>
      </c>
      <c r="DB42">
        <f>AS42*(c_Other+c_DM+c_PT_2)</f>
        <v>1737.8074520595403</v>
      </c>
      <c r="DC42">
        <f>AT42*(c_Stroke1+c_Stroke2+c_DM+c_PT_2)</f>
        <v>169.15242096881414</v>
      </c>
      <c r="DD42">
        <f>AU42*(c_Stroke2+c_DM+c_PT_2)</f>
        <v>270.4046451226493</v>
      </c>
      <c r="DE42">
        <f>AV42*(c_MI1+c_MI2+c_DM+c_PT_2)</f>
        <v>88.534114253285935</v>
      </c>
      <c r="DF42">
        <f>AW42*(c_MI2+c_DM+c_PT_2)</f>
        <v>143.8067675091614</v>
      </c>
      <c r="DG42">
        <f>AX42*(c_Stroke1+c_Stroke2+c_MI2+c_DM+c_PT_2)</f>
        <v>8.9194065357417092</v>
      </c>
      <c r="DH42">
        <f>AY42*(c_Stroke2+c_MI1+c_MI2+c_DM+c_PT_2)</f>
        <v>9.2337167837729215</v>
      </c>
      <c r="DI42">
        <f>AZ42*(c_Stroke2+c_MI2+c_DM+c_PT_2)</f>
        <v>7.4926591549893482</v>
      </c>
      <c r="DJ42">
        <f>BA42*(c_HF1+c_DM+c_PT_2)</f>
        <v>74.332169995410737</v>
      </c>
      <c r="DK42">
        <f>BB42*(c_HF2+c_DM+c_PT_2)</f>
        <v>620.84508001254255</v>
      </c>
      <c r="DL42">
        <f>BC42*(c_Stroke2+c_HF1+c_DM+c_PT_2)</f>
        <v>6.9724120236937672</v>
      </c>
      <c r="DM42">
        <f>BD42*(c_Stroke1+c_Stroke2+c_HF2+c_DM+c_PT_2)</f>
        <v>22.070027986938776</v>
      </c>
      <c r="DN42">
        <f>BE42*(c_Stroke2+c_HF2+c_DM+c_PT_2)</f>
        <v>25.011792230420571</v>
      </c>
      <c r="DO42">
        <f t="shared" si="5"/>
        <v>0</v>
      </c>
      <c r="DP42">
        <f t="shared" si="38"/>
        <v>5378.2323909686211</v>
      </c>
      <c r="DQ42">
        <f>DP42/(1+r_)^A42</f>
        <v>1698.1959486443786</v>
      </c>
    </row>
    <row r="43" spans="1:121" x14ac:dyDescent="0.3">
      <c r="A43">
        <v>40</v>
      </c>
      <c r="B43">
        <v>85</v>
      </c>
      <c r="C43">
        <f t="shared" si="39"/>
        <v>34.542000000000002</v>
      </c>
      <c r="D43">
        <f t="shared" si="1"/>
        <v>125</v>
      </c>
      <c r="E43">
        <f t="shared" si="40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20"/>
        <v>4.0096398347168494E-2</v>
      </c>
      <c r="J43">
        <f t="shared" si="21"/>
        <v>0.36630444724707523</v>
      </c>
      <c r="K43">
        <f t="shared" si="22"/>
        <v>0.47211956055381676</v>
      </c>
      <c r="L43">
        <f t="shared" si="23"/>
        <v>0.19423104075635489</v>
      </c>
      <c r="M43">
        <f t="shared" si="24"/>
        <v>0.26099281783423145</v>
      </c>
      <c r="N43">
        <f t="shared" si="25"/>
        <v>0.71738230146903104</v>
      </c>
      <c r="O43">
        <f t="shared" si="26"/>
        <v>0.83229316270316356</v>
      </c>
      <c r="P43">
        <f t="shared" si="27"/>
        <v>0.46290586930516897</v>
      </c>
      <c r="Q43">
        <f t="shared" si="28"/>
        <v>0.58450651835307788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3.0038379242688942E-2</v>
      </c>
      <c r="U43">
        <f t="shared" si="29"/>
        <v>0.62946329536584822</v>
      </c>
      <c r="V43">
        <f t="shared" si="30"/>
        <v>0.75102722628264795</v>
      </c>
      <c r="W43">
        <f t="shared" si="31"/>
        <v>0.3749925347881401</v>
      </c>
      <c r="X43">
        <f t="shared" si="32"/>
        <v>0.48222749210883098</v>
      </c>
      <c r="Y43">
        <f t="shared" si="33"/>
        <v>0.88355204672303778</v>
      </c>
      <c r="Z43">
        <f t="shared" si="34"/>
        <v>0.95208685672122639</v>
      </c>
      <c r="AA43">
        <f t="shared" si="35"/>
        <v>0.6527521825327729</v>
      </c>
      <c r="AB43">
        <f t="shared" si="36"/>
        <v>0.77564862409655289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4.946384183448093E-2</v>
      </c>
      <c r="AD43">
        <f t="shared" si="37"/>
        <v>4.4440904497790062E-2</v>
      </c>
      <c r="AE43">
        <f t="shared" si="6"/>
        <v>1.3218903111718713E-2</v>
      </c>
      <c r="AF43">
        <f t="shared" si="7"/>
        <v>8.256501257445344E-4</v>
      </c>
      <c r="AG43">
        <f t="shared" si="8"/>
        <v>2.5682536002862564E-3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3.7173274107653634E-4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1.571031691504307E-3</v>
      </c>
      <c r="AJ43">
        <f t="shared" si="11"/>
        <v>2.41540753448147E-5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2.1118291459787796E-5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3.7898954404821872E-5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3.2481321602388717E-4</v>
      </c>
      <c r="AN43">
        <f t="shared" si="15"/>
        <v>4.1124886680083779E-3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1.6530348810434613E-5</v>
      </c>
      <c r="AP43">
        <f>AM42*T42*p_Stroke*p_Stroke_rec*(1-I42) + AN42*T42*p_Stroke*p_Stroke_rec*(1-I42) + AO42*(p_recur_Stroke*p_Stroke_rec)*(1-I42) + AP42*(p_recur_Stroke*p_Stroke_rec)*(1-I42) + AQ42*(p_recur_Stroke*p_Stroke_rec)*(1-I42)</f>
        <v>4.8935370652632276E-5</v>
      </c>
      <c r="AQ43">
        <f>AO42*(1-p_recur_Stroke-H42*rr_Stroke*rr_HF)*(1-I42) + AP42*(1-p_recur_Stroke-H42*rr_Stroke*rr_HF)*(1-I42) + AQ42*(1-p_recur_Stroke-H42*rr_Stroke*rr_HF)*(1-I42)</f>
        <v>8.6730767587391331E-5</v>
      </c>
      <c r="AR43">
        <f>AR42*(1-AC42-H42*rr_DM) + AD42*(1-T42-H42)*I42</f>
        <v>0.11790660050240341</v>
      </c>
      <c r="AS43">
        <f>AR42*AC42*p_Other + AD42*T42*p_Other*I42 + AE42*(1-T42*p_Stroke-T42*p_MI-H42*rr_Other)*I42 + AS42*(1-AC42*p_Stroke-AC42*p_MI-H42*rr_Other*rr_DM)</f>
        <v>5.7065742094673994E-2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4.1021604052838764E-3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1.1650013114360754E-2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1.9201808940791049E-3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7.9390140494879635E-3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1.9718681981768473E-4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1.6592464736490554E-4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2.5208065731781364E-4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1.6836534444638735E-3</v>
      </c>
      <c r="BB43">
        <f>AM42*(1-T42*p_Stroke - H42*rr_HF)*I42 + AN42*(1-T42*p_Stroke - H42*rr_HF)*I42 + BA42*(1-AC42*p_Stroke - H42*rr_HF*rr_DM) + BB42*(1-AC42*p_Stroke - H42*rr_HF*rr_DM)</f>
        <v>2.0158416198636658E-2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1.2829844212527552E-4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3.8657691348493225E-4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5.5703350198158192E-4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0.65021797285410565</v>
      </c>
      <c r="BG43">
        <f t="shared" si="17"/>
        <v>0.94199999999999995</v>
      </c>
      <c r="BH43">
        <f>(0.9442 - 0.0007*$B43 - dis_BMI*($C43-21.75))*AD43</f>
        <v>3.744085764308696E-2</v>
      </c>
      <c r="BI43">
        <f>0.959*(0.9442 - 0.0007*$B43 - dis_BMI*($C43-21.75))*AE43</f>
        <v>1.0680139504664527E-2</v>
      </c>
      <c r="BJ43">
        <f>(0.943*(0.9442 - 0.0007*$B43 - dis_BMI*($C43-21.75)) - 0.19*0.5)*AF43</f>
        <v>5.7751309703274001E-4</v>
      </c>
      <c r="BK43">
        <f>(0.943*(0.9442 - 0.0007*$B43 - dis_BMI*($C43-21.75)))*AG43</f>
        <v>2.0403867623826517E-3</v>
      </c>
      <c r="BL43">
        <f>(0.955*(0.9442 - 0.0007*$B43 - dis_BMI*($C43-21.75)) - 0.15*0.5)*AH43</f>
        <v>2.712067331653364E-4</v>
      </c>
      <c r="BM43">
        <f>(0.955*(0.9442 - 0.0007*$B43 - dis_BMI*($C43-21.75)))*AI43</f>
        <v>1.2640120565286124E-3</v>
      </c>
      <c r="BN43">
        <f>(0.955*0.943*(0.9442 - 0.0007*$B43 - dis_BMI*($C43-21.75)) - 0.19*0.5)*AJ43</f>
        <v>1.603139228275629E-5</v>
      </c>
      <c r="BO43">
        <f>(0.955*0.943*(0.9442 - 0.0007*$B43 - dis_BMI*($C43-21.75)) - 0.15*0.5)*AK43</f>
        <v>1.4438866560453097E-5</v>
      </c>
      <c r="BP43">
        <f>(0.955*0.943*(0.9442 - 0.0007*$B43 - dis_BMI*($C43-21.75)))*AL43</f>
        <v>2.8754458379072332E-5</v>
      </c>
      <c r="BQ43">
        <f>(0.93*(0.9442 - 0.0007*$B43 - dis_BMI*($C43-21.75)))*AM43</f>
        <v>2.5449516684755995E-4</v>
      </c>
      <c r="BR43">
        <f>(0.93*(0.9442 - 0.0007*$B43 - dis_BMI*($C43-21.75)))*AN43</f>
        <v>3.2221856688445919E-3</v>
      </c>
      <c r="BS43">
        <f>(0.93*0.943*(0.9442 - 0.0007*$B43 - dis_BMI*($C43-21.75)))*AO43</f>
        <v>1.2213483724720918E-5</v>
      </c>
      <c r="BT43">
        <f>(0.93*0.943*(0.9442 - 0.0007*$B43 - dis_BMI*($C43-21.75))-0.19*0.5)*AP43</f>
        <v>3.1507143504741593E-5</v>
      </c>
      <c r="BU43">
        <f>(0.93*0.943*(0.9442 - 0.0007*$B43 - dis_BMI*($C43-21.75)))*AQ43</f>
        <v>6.4081213924082101E-5</v>
      </c>
      <c r="BV43">
        <f>0.962*(0.9442 - 0.0007*$B43 - dis_BMI*($C43-21.75))*AR43</f>
        <v>9.5559988512554747E-2</v>
      </c>
      <c r="BW43">
        <f>0.962*0.959*(0.9442 - 0.0007*$B43 - dis_BMI*($C43-21.75))*AS43</f>
        <v>4.4353923942542395E-2</v>
      </c>
      <c r="BX43">
        <f>0.962*(0.943*(0.9442 - 0.0007*$B43 - dis_BMI*($C43-21.75)) - 0.19*0.5)*AT43</f>
        <v>2.7602822762711802E-3</v>
      </c>
      <c r="BY43">
        <f>0.962*(0.943*(0.9442 - 0.0007*$B43 - dis_BMI*($C43-21.75)))*AU43</f>
        <v>8.9038139773472552E-3</v>
      </c>
      <c r="BZ43">
        <f>0.962*(0.955*(0.9442 - 0.0007*$B43 - dis_BMI*($C43-21.75)) - 0.15*0.5)*AV43</f>
        <v>1.3476802672770063E-3</v>
      </c>
      <c r="CA43">
        <f>0.962*(0.955*(0.9442 - 0.0007*$B43 - dis_BMI*($C43-21.75)))*AW43</f>
        <v>6.1448022771520613E-3</v>
      </c>
      <c r="CB43">
        <f>0.962*(0.955*0.943*(0.9442 - 0.0007*$B43 - dis_BMI*($C43-21.75)) - 0.19*0.5)*AX43</f>
        <v>1.2590233350426476E-4</v>
      </c>
      <c r="CC43">
        <f>0.962*(0.955*0.943*(0.9442 - 0.0007*$B43 - dis_BMI*($C43-21.75)) - 0.15*0.5)*AY43</f>
        <v>1.0913405664325296E-4</v>
      </c>
      <c r="CD43">
        <f>0.962*(0.955*0.943*(0.9442 - 0.0007*$B43 - dis_BMI*($C43-21.75)))*AZ43</f>
        <v>1.839892960979565E-4</v>
      </c>
      <c r="CE43">
        <f>0.962*(0.93*(0.9442 - 0.0007*$B43 - dis_BMI*($C43-21.75)))*BA43</f>
        <v>1.2690350659562491E-3</v>
      </c>
      <c r="CF43">
        <f>0.962*(0.93*(0.9442 - 0.0007*$B43 - dis_BMI*($C43-21.75)))*BB43</f>
        <v>1.5194182101029938E-2</v>
      </c>
      <c r="CG43">
        <f>0.962*(0.93*0.943*(0.9442 - 0.0007*$B43 - dis_BMI*($C43-21.75)))*BC43</f>
        <v>9.1191423518540511E-5</v>
      </c>
      <c r="CH43">
        <f>0.962*(0.93*0.943*(0.9442 - 0.0007*$B43 - dis_BMI*($C43-21.75))-0.19*0.5)*BD43</f>
        <v>2.3944023779833267E-4</v>
      </c>
      <c r="CI43">
        <f>0.962*(0.93*0.943*(0.9442 - 0.0007*$B43 - dis_BMI*($C43-21.75)))*BE43</f>
        <v>3.959259142337706E-4</v>
      </c>
      <c r="CJ43">
        <f t="shared" si="18"/>
        <v>0</v>
      </c>
      <c r="CK43">
        <f t="shared" si="19"/>
        <v>0.23259711487285573</v>
      </c>
      <c r="CL43">
        <f>CK43/(1+r_)^A43</f>
        <v>7.1304236708524898E-2</v>
      </c>
      <c r="CM43">
        <f>AD43*c_PT_2</f>
        <v>65.105925089262442</v>
      </c>
      <c r="CN43">
        <f>AE43*(c_Other+c_PT_2)</f>
        <v>208.11841059089943</v>
      </c>
      <c r="CO43">
        <f>AF43*(c_Stroke1+c_Stroke2+c_PT_2)</f>
        <v>20.873260828947576</v>
      </c>
      <c r="CP43">
        <f>AG43*(c_Stroke2 + c_PT_2)</f>
        <v>20.456139926280031</v>
      </c>
      <c r="CQ43">
        <f>AH43*(c_MI1+c_MI2 + c_PT_2)</f>
        <v>11.380969600799236</v>
      </c>
      <c r="CR43">
        <f>AI43*(c_MI2+c_PT_2)</f>
        <v>7.1984672104727352</v>
      </c>
      <c r="CS43">
        <f>AJ43*(c_Stroke1+c_Stroke2+c_MI2+c_PT_2)</f>
        <v>0.68592743164204784</v>
      </c>
      <c r="CT43">
        <f>AK43*(c_Stroke2+c_MI1+c_MI2+c_PT_2)</f>
        <v>0.78382650582148383</v>
      </c>
      <c r="CU43">
        <f>AL43*(c_Stroke2+c_MI2+c_PT_2)</f>
        <v>0.41999621271423598</v>
      </c>
      <c r="CV43">
        <f>AM43*(c_HF1+c_PT_2)</f>
        <v>9.255552590600665</v>
      </c>
      <c r="CW43">
        <f>AN43*(c_HF2+c_PT_2)</f>
        <v>70.200181562903012</v>
      </c>
      <c r="CX43">
        <f>AO43*(c_Stroke2+c_HF1+c_PT_2)</f>
        <v>0.57847955662115924</v>
      </c>
      <c r="CY43">
        <f>AP43*(c_Stroke1+c_Stroke2+c_HF2+c_PT_2)</f>
        <v>2.0007715645035233</v>
      </c>
      <c r="CZ43">
        <f>AQ43*(c_Stroke2+c_HF2+c_PT_2)</f>
        <v>2.0442441920348138</v>
      </c>
      <c r="DA43">
        <f>AR43*(c_DM+c_PT_2)</f>
        <v>1519.81608047598</v>
      </c>
      <c r="DB43">
        <f>AS43*(c_Other+c_DM+c_PT_2)</f>
        <v>1550.4191469701977</v>
      </c>
      <c r="DC43">
        <f>AT43*(c_Stroke1+c_Stroke2+c_DM+c_PT_2)</f>
        <v>150.57389983634997</v>
      </c>
      <c r="DD43">
        <f>AU43*(c_Stroke2+c_DM+c_PT_2)</f>
        <v>225.89375428745501</v>
      </c>
      <c r="DE43">
        <f>AV43*(c_MI1+c_MI2+c_DM+c_PT_2)</f>
        <v>80.72632496797965</v>
      </c>
      <c r="DF43">
        <f>AW43*(c_MI2+c_DM+c_PT_2)</f>
        <v>127.07979789015383</v>
      </c>
      <c r="DG43">
        <f>AX43*(c_Stroke1+c_Stroke2+c_MI2+c_DM+c_PT_2)</f>
        <v>7.8525707255996595</v>
      </c>
      <c r="DH43">
        <f>AY43*(c_Stroke2+c_MI1+c_MI2+c_DM+c_PT_2)</f>
        <v>8.0541483077398794</v>
      </c>
      <c r="DI43">
        <f>AZ43*(c_Stroke2+c_MI2+c_DM+c_PT_2)</f>
        <v>5.6735793542520314</v>
      </c>
      <c r="DJ43">
        <f>BA43*(c_HF1+c_DM+c_PT_2)</f>
        <v>67.211445502997833</v>
      </c>
      <c r="DK43">
        <f>BB43*(c_HF2+c_DM+c_PT_2)</f>
        <v>574.41406958015159</v>
      </c>
      <c r="DL43">
        <f>BC43*(c_Stroke2+c_HF1+c_DM+c_PT_2)</f>
        <v>5.9556136834552893</v>
      </c>
      <c r="DM43">
        <f>BD43*(c_Stroke1+c_Stroke2+c_HF2+c_DM+c_PT_2)</f>
        <v>20.222224921310289</v>
      </c>
      <c r="DN43">
        <f>BE43*(c_Stroke2+c_HF2+c_DM+c_PT_2)</f>
        <v>19.49338740184546</v>
      </c>
      <c r="DO43">
        <f t="shared" si="5"/>
        <v>0</v>
      </c>
      <c r="DP43">
        <f t="shared" si="38"/>
        <v>4782.4881967689698</v>
      </c>
      <c r="DQ43">
        <f>DP43/(1+r_)^A43</f>
        <v>1466.1044726395157</v>
      </c>
    </row>
    <row r="44" spans="1:121" x14ac:dyDescent="0.3">
      <c r="A44">
        <v>41</v>
      </c>
      <c r="B44">
        <v>86</v>
      </c>
      <c r="C44">
        <f t="shared" si="39"/>
        <v>34.542000000000002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20"/>
        <v>4.0096398347168494E-2</v>
      </c>
      <c r="J44">
        <f t="shared" si="21"/>
        <v>0.37558409645910218</v>
      </c>
      <c r="K44">
        <f t="shared" si="22"/>
        <v>0.48291369400949713</v>
      </c>
      <c r="L44">
        <f t="shared" si="23"/>
        <v>0.19983858178841363</v>
      </c>
      <c r="M44">
        <f t="shared" si="24"/>
        <v>0.26818539528097429</v>
      </c>
      <c r="N44">
        <f t="shared" si="25"/>
        <v>0.73031957173712025</v>
      </c>
      <c r="O44">
        <f t="shared" si="26"/>
        <v>0.84303726823802427</v>
      </c>
      <c r="P44">
        <f t="shared" si="27"/>
        <v>0.47514362135157484</v>
      </c>
      <c r="Q44">
        <f t="shared" si="28"/>
        <v>0.5978201580675695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3.0801319614618398E-2</v>
      </c>
      <c r="U44">
        <f t="shared" si="29"/>
        <v>0.64117039021700517</v>
      </c>
      <c r="V44">
        <f t="shared" si="30"/>
        <v>0.76197374729331546</v>
      </c>
      <c r="W44">
        <f t="shared" si="31"/>
        <v>0.38441982809191122</v>
      </c>
      <c r="X44">
        <f t="shared" si="32"/>
        <v>0.49313193605409655</v>
      </c>
      <c r="Y44">
        <f t="shared" si="33"/>
        <v>0.892476510277456</v>
      </c>
      <c r="Z44">
        <f t="shared" si="34"/>
        <v>0.9571919974116011</v>
      </c>
      <c r="AA44">
        <f t="shared" si="35"/>
        <v>0.66610792974787647</v>
      </c>
      <c r="AB44">
        <f t="shared" si="36"/>
        <v>0.78774364412378239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5.0469493973223839E-2</v>
      </c>
      <c r="AD44">
        <f t="shared" si="37"/>
        <v>3.8057258156900246E-2</v>
      </c>
      <c r="AE44">
        <f t="shared" si="6"/>
        <v>1.1345638626883521E-2</v>
      </c>
      <c r="AF44">
        <f t="shared" si="7"/>
        <v>7.1146105208869743E-4</v>
      </c>
      <c r="AG44">
        <f t="shared" si="8"/>
        <v>2.0516812625118799E-3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3.285752665956852E-4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1.3352695560430432E-3</v>
      </c>
      <c r="AJ44">
        <f t="shared" si="11"/>
        <v>2.0667261861407795E-5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1.7894141891135684E-5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2.72226119431504E-5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2.8424787124488727E-4</v>
      </c>
      <c r="AN44">
        <f t="shared" si="15"/>
        <v>3.6265796926171711E-3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1.3742176839990061E-5</v>
      </c>
      <c r="AP44">
        <f>AM43*T43*p_Stroke*p_Stroke_rec*(1-I43) + AN43*T43*p_Stroke*p_Stroke_rec*(1-I43) + AO43*(p_recur_Stroke*p_Stroke_rec)*(1-I43) + AP43*(p_recur_Stroke*p_Stroke_rec)*(1-I43) + AQ43*(p_recur_Stroke*p_Stroke_rec)*(1-I43)</f>
        <v>4.3201920713727314E-5</v>
      </c>
      <c r="AQ44">
        <f>AO43*(1-p_recur_Stroke-H43*rr_Stroke*rr_HF)*(1-I43) + AP43*(1-p_recur_Stroke-H43*rr_Stroke*rr_HF)*(1-I43) + AQ43*(1-p_recur_Stroke-H43*rr_Stroke*rr_HF)*(1-I43)</f>
        <v>6.3786204239606187E-5</v>
      </c>
      <c r="AR44">
        <f>AR43*(1-AC43-H43*rr_DM) + AD43*(1-T43-H43)*I43</f>
        <v>0.1031104736058976</v>
      </c>
      <c r="AS44">
        <f>AR43*AC43*p_Other + AD43*T43*p_Other*I43 + AE43*(1-T43*p_Stroke-T43*p_MI-H43*rr_Other)*I43 + AS43*(1-AC43*p_Stroke-AC43*p_MI-H43*rr_Other*rr_DM)</f>
        <v>4.9772099300749328E-2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3.600115178159858E-3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9.363014379335944E-3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1.7314993911891426E-3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6.8891734619048054E-3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1.7197225475441879E-4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1.4223250481108557E-4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1.7538518447728172E-4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1.506688032660341E-3</v>
      </c>
      <c r="BB44">
        <f>AM43*(1-T43*p_Stroke - H43*rr_HF)*I43 + AN43*(1-T43*p_Stroke - H43*rr_HF)*I43 + BA43*(1-AC43*p_Stroke - H43*rr_HF*rr_DM) + BB43*(1-AC43*p_Stroke - H43*rr_HF*rr_DM)</f>
        <v>1.8186849716138227E-2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1.0794582721586876E-4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3.487544279346196E-4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3.9938053724498435E-4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0.68856719039515246</v>
      </c>
      <c r="BG44">
        <f t="shared" si="17"/>
        <v>0.94200000000000017</v>
      </c>
      <c r="BH44">
        <f>(0.9442 - 0.0007*$B44 - dis_BMI*($C44-21.75))*AD44</f>
        <v>3.2036082337767696E-2</v>
      </c>
      <c r="BI44">
        <f>0.959*(0.9442 - 0.0007*$B44 - dis_BMI*($C44-21.75))*AE44</f>
        <v>9.159029519312788E-3</v>
      </c>
      <c r="BJ44">
        <f>(0.943*(0.9442 - 0.0007*$B44 - dis_BMI*($C44-21.75)) - 0.19*0.5)*AF44</f>
        <v>4.9717223827618734E-4</v>
      </c>
      <c r="BK44">
        <f>(0.943*(0.9442 - 0.0007*$B44 - dis_BMI*($C44-21.75)))*AG44</f>
        <v>1.6286339730340427E-3</v>
      </c>
      <c r="BL44">
        <f>(0.955*(0.9442 - 0.0007*$B44 - dis_BMI*($C44-21.75)) - 0.15*0.5)*AH44</f>
        <v>2.3950048721609773E-4</v>
      </c>
      <c r="BM44">
        <f>(0.955*(0.9442 - 0.0007*$B44 - dis_BMI*($C44-21.75)))*AI44</f>
        <v>1.0734312237435735E-3</v>
      </c>
      <c r="BN44">
        <f>(0.955*0.943*(0.9442 - 0.0007*$B44 - dis_BMI*($C44-21.75)) - 0.19*0.5)*AJ44</f>
        <v>1.3704117629598346E-5</v>
      </c>
      <c r="BO44">
        <f>(0.955*0.943*(0.9442 - 0.0007*$B44 - dis_BMI*($C44-21.75)) - 0.15*0.5)*AK44</f>
        <v>1.2223190734015543E-5</v>
      </c>
      <c r="BP44">
        <f>(0.955*0.943*(0.9442 - 0.0007*$B44 - dis_BMI*($C44-21.75)))*AL44</f>
        <v>2.0637009383445436E-5</v>
      </c>
      <c r="BQ44">
        <f>(0.93*(0.9442 - 0.0007*$B44 - dis_BMI*($C44-21.75)))*AM44</f>
        <v>2.225266727858944E-4</v>
      </c>
      <c r="BR44">
        <f>(0.93*(0.9442 - 0.0007*$B44 - dis_BMI*($C44-21.75)))*AN44</f>
        <v>2.8391090812980233E-3</v>
      </c>
      <c r="BS44">
        <f>(0.93*0.943*(0.9442 - 0.0007*$B44 - dis_BMI*($C44-21.75)))*AO44</f>
        <v>1.0145000649376178E-5</v>
      </c>
      <c r="BT44">
        <f>(0.93*0.943*(0.9442 - 0.0007*$B44 - dis_BMI*($C44-21.75))-0.19*0.5)*AP44</f>
        <v>2.7789128089781391E-5</v>
      </c>
      <c r="BU44">
        <f>(0.93*0.943*(0.9442 - 0.0007*$B44 - dis_BMI*($C44-21.75)))*AQ44</f>
        <v>4.7089416106838157E-5</v>
      </c>
      <c r="BV44">
        <f>0.962*(0.9442 - 0.0007*$B44 - dis_BMI*($C44-21.75))*AR44</f>
        <v>8.3498708592601431E-2</v>
      </c>
      <c r="BW44">
        <f>0.962*0.959*(0.9442 - 0.0007*$B44 - dis_BMI*($C44-21.75))*AS44</f>
        <v>3.8652851931906589E-2</v>
      </c>
      <c r="BX44">
        <f>0.962*(0.943*(0.9442 - 0.0007*$B44 - dis_BMI*($C44-21.75)) - 0.19*0.5)*AT44</f>
        <v>2.4201774333507593E-3</v>
      </c>
      <c r="BY44">
        <f>0.962*(0.943*(0.9442 - 0.0007*$B44 - dis_BMI*($C44-21.75)))*AU44</f>
        <v>7.1499723132050106E-3</v>
      </c>
      <c r="BZ44">
        <f>0.962*(0.955*(0.9442 - 0.0007*$B44 - dis_BMI*($C44-21.75)) - 0.15*0.5)*AV44</f>
        <v>1.2141405040036459E-3</v>
      </c>
      <c r="CA44">
        <f>0.962*(0.955*(0.9442 - 0.0007*$B44 - dis_BMI*($C44-21.75)))*AW44</f>
        <v>5.3277945411141529E-3</v>
      </c>
      <c r="CB44">
        <f>0.962*(0.955*0.943*(0.9442 - 0.0007*$B44 - dis_BMI*($C44-21.75)) - 0.19*0.5)*AX44</f>
        <v>1.0969872831119517E-4</v>
      </c>
      <c r="CC44">
        <f>0.962*(0.955*0.943*(0.9442 - 0.0007*$B44 - dis_BMI*($C44-21.75)) - 0.15*0.5)*AY44</f>
        <v>9.3464705585331303E-5</v>
      </c>
      <c r="CD44">
        <f>0.962*(0.955*0.943*(0.9442 - 0.0007*$B44 - dis_BMI*($C44-21.75)))*AZ44</f>
        <v>1.2790424109673337E-4</v>
      </c>
      <c r="CE44">
        <f>0.962*(0.93*(0.9442 - 0.0007*$B44 - dis_BMI*($C44-21.75)))*BA44</f>
        <v>1.1347057727396485E-3</v>
      </c>
      <c r="CF44">
        <f>0.962*(0.93*(0.9442 - 0.0007*$B44 - dis_BMI*($C44-21.75)))*BB44</f>
        <v>1.3696746050615712E-2</v>
      </c>
      <c r="CG44">
        <f>0.962*(0.93*0.943*(0.9442 - 0.0007*$B44 - dis_BMI*($C44-21.75)))*BC44</f>
        <v>7.6661529025230215E-5</v>
      </c>
      <c r="CH44">
        <f>0.962*(0.93*0.943*(0.9442 - 0.0007*$B44 - dis_BMI*($C44-21.75))-0.19*0.5)*BD44</f>
        <v>2.1580756642008471E-4</v>
      </c>
      <c r="CI44">
        <f>0.962*(0.93*0.943*(0.9442 - 0.0007*$B44 - dis_BMI*($C44-21.75)))*BE44</f>
        <v>2.836341472180361E-4</v>
      </c>
      <c r="CJ44">
        <f t="shared" si="18"/>
        <v>0</v>
      </c>
      <c r="CK44">
        <f t="shared" si="19"/>
        <v>0.20182934145322096</v>
      </c>
      <c r="CL44">
        <f>CK44/(1+r_)^A44</f>
        <v>6.0070063389667326E-2</v>
      </c>
      <c r="CM44">
        <f>AD44*c_PT_2</f>
        <v>55.753883199858862</v>
      </c>
      <c r="CN44">
        <f>AE44*(c_Other+c_PT_2)</f>
        <v>178.62573454165414</v>
      </c>
      <c r="CO44">
        <f>AF44*(c_Stroke1+c_Stroke2+c_PT_2)</f>
        <v>17.986446857854361</v>
      </c>
      <c r="CP44">
        <f>AG44*(c_Stroke2 + c_PT_2)</f>
        <v>16.341641255907124</v>
      </c>
      <c r="CQ44">
        <f>AH44*(c_MI1+c_MI2 + c_PT_2)</f>
        <v>10.059660362093497</v>
      </c>
      <c r="CR44">
        <f>AI44*(c_MI2+c_PT_2)</f>
        <v>6.1182051057892242</v>
      </c>
      <c r="CS44">
        <f>AJ44*(c_Stroke1+c_Stroke2+c_MI2+c_PT_2)</f>
        <v>0.58690890234025861</v>
      </c>
      <c r="CT44">
        <f>AK44*(c_Stroke2+c_MI1+c_MI2+c_PT_2)</f>
        <v>0.66415897043139205</v>
      </c>
      <c r="CU44">
        <f>AL44*(c_Stroke2+c_MI2+c_PT_2)</f>
        <v>0.30168098555399275</v>
      </c>
      <c r="CV44">
        <f>AM44*(c_HF1+c_PT_2)</f>
        <v>8.0996430911230632</v>
      </c>
      <c r="CW44">
        <f>AN44*(c_HF2+c_PT_2)</f>
        <v>61.905715352975108</v>
      </c>
      <c r="CX44">
        <f>AO44*(c_Stroke2+c_HF1+c_PT_2)</f>
        <v>0.48090747851545218</v>
      </c>
      <c r="CY44">
        <f>AP44*(c_Stroke1+c_Stroke2+c_HF2+c_PT_2)</f>
        <v>1.7663537303014549</v>
      </c>
      <c r="CZ44">
        <f>AQ44*(c_Stroke2+c_HF2+c_PT_2)</f>
        <v>1.5034408339275178</v>
      </c>
      <c r="DA44">
        <f>AR44*(c_DM+c_PT_2)</f>
        <v>1329.0940047800202</v>
      </c>
      <c r="DB44">
        <f>AS44*(c_Other+c_DM+c_PT_2)</f>
        <v>1352.2581659020584</v>
      </c>
      <c r="DC44">
        <f>AT44*(c_Stroke1+c_Stroke2+c_DM+c_PT_2)</f>
        <v>132.14582772953574</v>
      </c>
      <c r="DD44">
        <f>AU44*(c_Stroke2+c_DM+c_PT_2)</f>
        <v>181.54884881532396</v>
      </c>
      <c r="DE44">
        <f>AV44*(c_MI1+c_MI2+c_DM+c_PT_2)</f>
        <v>72.793965904982741</v>
      </c>
      <c r="DF44">
        <f>AW44*(c_MI2+c_DM+c_PT_2)</f>
        <v>110.27499960471022</v>
      </c>
      <c r="DG44">
        <f>AX44*(c_Stroke1+c_Stroke2+c_MI2+c_DM+c_PT_2)</f>
        <v>6.8484511010852192</v>
      </c>
      <c r="DH44">
        <f>AY44*(c_Stroke2+c_MI1+c_MI2+c_DM+c_PT_2)</f>
        <v>6.9041080160349049</v>
      </c>
      <c r="DI44">
        <f>AZ44*(c_Stroke2+c_MI2+c_DM+c_PT_2)</f>
        <v>3.9473943470301798</v>
      </c>
      <c r="DJ44">
        <f>BA44*(c_HF1+c_DM+c_PT_2)</f>
        <v>60.146986263800812</v>
      </c>
      <c r="DK44">
        <f>BB44*(c_HF2+c_DM+c_PT_2)</f>
        <v>518.23428266135875</v>
      </c>
      <c r="DL44">
        <f>BC44*(c_Stroke2+c_HF1+c_DM+c_PT_2)</f>
        <v>5.0108452993606276</v>
      </c>
      <c r="DM44">
        <f>BD44*(c_Stroke1+c_Stroke2+c_HF2+c_DM+c_PT_2)</f>
        <v>18.243692879687885</v>
      </c>
      <c r="DN44">
        <f>BE44*(c_Stroke2+c_HF2+c_DM+c_PT_2)</f>
        <v>13.976321900888227</v>
      </c>
      <c r="DO44">
        <f t="shared" si="5"/>
        <v>0</v>
      </c>
      <c r="DP44">
        <f t="shared" si="38"/>
        <v>4171.6222758742033</v>
      </c>
      <c r="DQ44">
        <f>DP44/(1+r_)^A44</f>
        <v>1241.5915978578969</v>
      </c>
    </row>
    <row r="45" spans="1:121" x14ac:dyDescent="0.3">
      <c r="A45">
        <v>42</v>
      </c>
      <c r="B45">
        <v>87</v>
      </c>
      <c r="C45">
        <f t="shared" si="39"/>
        <v>34.542000000000002</v>
      </c>
      <c r="D45">
        <f t="shared" si="1"/>
        <v>125</v>
      </c>
      <c r="E45">
        <f t="shared" ref="E45:E67" si="41">E$4</f>
        <v>5.7</v>
      </c>
      <c r="F45">
        <v>9.1389999999999999E-2</v>
      </c>
      <c r="G45">
        <v>0.11588</v>
      </c>
      <c r="H45">
        <f t="shared" ref="H45:H67" si="42">(PREV_FEMALE*F45 + (1-PREV_FEMALE)*G45)</f>
        <v>9.6287999999999985E-2</v>
      </c>
      <c r="I45">
        <f t="shared" ref="I45:I67" si="43">0.00000146 * EXP(1.87 * E45) * 0.0197 * EXP(0.101*C45)</f>
        <v>4.0096398347168494E-2</v>
      </c>
      <c r="J45">
        <f t="shared" si="21"/>
        <v>0.38491130279330987</v>
      </c>
      <c r="K45">
        <f t="shared" si="22"/>
        <v>0.49369859593594867</v>
      </c>
      <c r="L45">
        <f t="shared" si="23"/>
        <v>0.20551926062408998</v>
      </c>
      <c r="M45">
        <f t="shared" si="24"/>
        <v>0.27545122843011516</v>
      </c>
      <c r="N45">
        <f t="shared" si="25"/>
        <v>0.74296437666771786</v>
      </c>
      <c r="O45">
        <f t="shared" si="26"/>
        <v>0.85333479487394448</v>
      </c>
      <c r="P45">
        <f t="shared" si="27"/>
        <v>0.48739650230273235</v>
      </c>
      <c r="Q45">
        <f t="shared" si="28"/>
        <v>0.61102242300052856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3.1567348237184253E-2</v>
      </c>
      <c r="U45">
        <f t="shared" si="29"/>
        <v>0.65273303902138169</v>
      </c>
      <c r="V45">
        <f t="shared" si="30"/>
        <v>0.77264571667914239</v>
      </c>
      <c r="W45">
        <f t="shared" si="31"/>
        <v>0.39389116348217812</v>
      </c>
      <c r="X45">
        <f t="shared" si="32"/>
        <v>0.50402017620201123</v>
      </c>
      <c r="Y45">
        <f t="shared" si="33"/>
        <v>0.90091372750499055</v>
      </c>
      <c r="Z45">
        <f t="shared" si="34"/>
        <v>0.96186021986745862</v>
      </c>
      <c r="AA45">
        <f t="shared" si="35"/>
        <v>0.67926305018159816</v>
      </c>
      <c r="AB45">
        <f t="shared" si="36"/>
        <v>0.79946323695069421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5.1467936189884045E-2</v>
      </c>
      <c r="AD45">
        <f t="shared" ref="AD45:AD67" si="44">AD44*(1-T44-H44)*(1-I44)</f>
        <v>3.2256212212084259E-2</v>
      </c>
      <c r="AE45">
        <f t="shared" ref="AE45:AE67" si="45">AD44*T44*p_Other*(1-I44) + AE44*(1-T44*(1-p_Other)-H44*rr_Other)*(1-I44)</f>
        <v>9.5744556281391596E-3</v>
      </c>
      <c r="AF45">
        <f t="shared" ref="AF45:AF67" si="46">AD44*T44*p_Stroke*p_Stroke_rec*(1-I44)+AE44*T44*p_Stroke*p_Stroke_rec*(1-I44) + AF44*p_recur_Stroke*p_Stroke_rec*(1-I44) + AG44*p_recur_Stroke*p_Stroke_rec*(1-I44)</f>
        <v>6.0189528342575777E-4</v>
      </c>
      <c r="AG45">
        <f t="shared" ref="AG45:AG67" si="47">AF44*(1-p_recur_Stroke-T44*p_MI-H44*rr_Stroke)*(1-I44) + AG44*(1-p_recur_Stroke-T44*p_MI-H44*rr_Stroke)*(1-I44)</f>
        <v>1.6002758744170498E-3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2.8667966995206645E-4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1.1221148808196967E-3</v>
      </c>
      <c r="AJ45">
        <f t="shared" ref="AJ45:AJ67" si="48">AH44*T44*p_Stroke*p_Stroke_rec*(1-I44) + AI44*T44*p_Stroke*p_Stroke_rec*(1-I44) + AJ44*p_recur_Stroke*p_Stroke_rec*(1-I44) + AK44*p_recur_Stroke*p_Stroke_rec*(1-I44) + AL44*p_recur_Stroke*p_Stroke_rec*(1-I44)</f>
        <v>1.7380746552071101E-5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1.4769258663983336E-5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1.8911552457068193E-5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2.4560810677455499E-4</v>
      </c>
      <c r="AN45">
        <f t="shared" ref="AN45:AN67" si="49">AM44*(1-T44*p_Stroke - H44*rr_HF)*(1-I44) + AN44*(1-T44*p_Stroke-H44*rr_HF)*(1-I44)</f>
        <v>3.13831361358835E-3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1.1122504661337801E-5</v>
      </c>
      <c r="AP45">
        <f>AM44*T44*p_Stroke*p_Stroke_rec*(1-I44) + AN44*T44*p_Stroke*p_Stroke_rec*(1-I44) + AO44*(p_recur_Stroke*p_Stroke_rec)*(1-I44) + AP44*(p_recur_Stroke*p_Stroke_rec)*(1-I44) + AQ44*(p_recur_Stroke*p_Stroke_rec)*(1-I44)</f>
        <v>3.7261226621552071E-5</v>
      </c>
      <c r="AQ45">
        <f>AO44*(1-p_recur_Stroke-H44*rr_Stroke*rr_HF)*(1-I44) + AP44*(1-p_recur_Stroke-H44*rr_Stroke*rr_HF)*(1-I44) + AQ44*(1-p_recur_Stroke-H44*rr_Stroke*rr_HF)*(1-I44)</f>
        <v>4.505971488784333E-5</v>
      </c>
      <c r="AR45">
        <f>AR44*(1-AC44-H44*rr_DM) + AD44*(1-T44-H44)*I44</f>
        <v>8.9029736227393047E-2</v>
      </c>
      <c r="AS45">
        <f>AR44*AC44*p_Other + AD44*T44*p_Other*I44 + AE44*(1-T44*p_Stroke-T44*p_MI-H44*rr_Other)*I44 + AS44*(1-AC44*p_Stroke-AC44*p_MI-H44*rr_Other*rr_DM)</f>
        <v>4.2526776579009856E-2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3.0889571662488626E-3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7.3071866941068399E-3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1.5352368371493335E-3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5.8884384434976528E-3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1.4683988466637044E-4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1.1811514464264384E-4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1.1610112326762215E-4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1.326039233515923E-3</v>
      </c>
      <c r="BB45">
        <f>AM44*(1-T44*p_Stroke - H44*rr_HF)*I44 + AN44*(1-T44*p_Stroke - H44*rr_HF)*I44 + BA44*(1-AC44*p_Stroke - H44*rr_HF*rr_DM) + BB44*(1-AC44*p_Stroke - H44*rr_HF*rr_DM)</f>
        <v>1.604199648126764E-2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8.7928608568930915E-5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3.0638185087214389E-4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2.7166648896918496E-4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0.72523853896377932</v>
      </c>
      <c r="BG45">
        <f t="shared" ref="BG45:BG67" si="50">SUM(AD45:BF45)</f>
        <v>0.94200000000000017</v>
      </c>
      <c r="BH45">
        <f>(0.9442 - 0.0007*$B45 - dis_BMI*($C45-21.75))*AD45</f>
        <v>2.713026140709799E-2</v>
      </c>
      <c r="BI45">
        <f>0.959*(0.9442 - 0.0007*$B45 - dis_BMI*($C45-21.75))*AE45</f>
        <v>7.7227736951658221E-3</v>
      </c>
      <c r="BJ45">
        <f>(0.943*(0.9442 - 0.0007*$B45 - dis_BMI*($C45-21.75)) - 0.19*0.5)*AF45</f>
        <v>4.2020986677263099E-4</v>
      </c>
      <c r="BK45">
        <f>(0.943*(0.9442 - 0.0007*$B45 - dis_BMI*($C45-21.75)))*AG45</f>
        <v>1.2692499685897321E-3</v>
      </c>
      <c r="BL45">
        <f>(0.955*(0.9442 - 0.0007*$B45 - dis_BMI*($C45-21.75)) - 0.15*0.5)*AH45</f>
        <v>2.0877088958687405E-4</v>
      </c>
      <c r="BM45">
        <f>(0.955*(0.9442 - 0.0007*$B45 - dis_BMI*($C45-21.75)))*AI45</f>
        <v>9.0132476504778977E-4</v>
      </c>
      <c r="BN45">
        <f>(0.955*0.943*(0.9442 - 0.0007*$B45 - dis_BMI*($C45-21.75)) - 0.19*0.5)*AJ45</f>
        <v>1.1513927240561691E-5</v>
      </c>
      <c r="BO45">
        <f>(0.955*0.943*(0.9442 - 0.0007*$B45 - dis_BMI*($C45-21.75)) - 0.15*0.5)*AK45</f>
        <v>1.0079324496293152E-5</v>
      </c>
      <c r="BP45">
        <f>(0.955*0.943*(0.9442 - 0.0007*$B45 - dis_BMI*($C45-21.75)))*AL45</f>
        <v>1.4324611648083585E-5</v>
      </c>
      <c r="BQ45">
        <f>(0.93*(0.9442 - 0.0007*$B45 - dis_BMI*($C45-21.75)))*AM45</f>
        <v>1.9211720365417827E-4</v>
      </c>
      <c r="BR45">
        <f>(0.93*(0.9442 - 0.0007*$B45 - dis_BMI*($C45-21.75)))*AN45</f>
        <v>2.4548213963713358E-3</v>
      </c>
      <c r="BS45">
        <f>(0.93*0.943*(0.9442 - 0.0007*$B45 - dis_BMI*($C45-21.75)))*AO45</f>
        <v>8.2042304039494829E-6</v>
      </c>
      <c r="BT45">
        <f>(0.93*0.943*(0.9442 - 0.0007*$B45 - dis_BMI*($C45-21.75))-0.19*0.5)*AP45</f>
        <v>2.3944971982627604E-5</v>
      </c>
      <c r="BU45">
        <f>(0.93*0.943*(0.9442 - 0.0007*$B45 - dis_BMI*($C45-21.75)))*AQ45</f>
        <v>3.3237143443163523E-5</v>
      </c>
      <c r="BV45">
        <f>0.962*(0.9442 - 0.0007*$B45 - dis_BMI*($C45-21.75))*AR45</f>
        <v>7.2036195723662599E-2</v>
      </c>
      <c r="BW45">
        <f>0.962*0.959*(0.9442 - 0.0007*$B45 - dis_BMI*($C45-21.75))*AS45</f>
        <v>3.299869426088748E-2</v>
      </c>
      <c r="BX45">
        <f>0.962*(0.943*(0.9442 - 0.0007*$B45 - dis_BMI*($C45-21.75)) - 0.19*0.5)*AT45</f>
        <v>2.0745899213157398E-3</v>
      </c>
      <c r="BY45">
        <f>0.962*(0.943*(0.9442 - 0.0007*$B45 - dis_BMI*($C45-21.75)))*AU45</f>
        <v>5.5754198749697328E-3</v>
      </c>
      <c r="BZ45">
        <f>0.962*(0.955*(0.9442 - 0.0007*$B45 - dis_BMI*($C45-21.75)) - 0.15*0.5)*AV45</f>
        <v>1.0755324065409575E-3</v>
      </c>
      <c r="CA45">
        <f>0.962*(0.955*(0.9442 - 0.0007*$B45 - dis_BMI*($C45-21.75)))*AW45</f>
        <v>4.5500816884132397E-3</v>
      </c>
      <c r="CB45">
        <f>0.962*(0.955*0.943*(0.9442 - 0.0007*$B45 - dis_BMI*($C45-21.75)) - 0.19*0.5)*AX45</f>
        <v>9.3578086577698208E-5</v>
      </c>
      <c r="CC45">
        <f>0.962*(0.955*0.943*(0.9442 - 0.0007*$B45 - dis_BMI*($C45-21.75)) - 0.15*0.5)*AY45</f>
        <v>7.7544926508944261E-5</v>
      </c>
      <c r="CD45">
        <f>0.962*(0.955*0.943*(0.9442 - 0.0007*$B45 - dis_BMI*($C45-21.75)))*AZ45</f>
        <v>8.4599377721305725E-5</v>
      </c>
      <c r="CE45">
        <f>0.962*(0.93*(0.9442 - 0.0007*$B45 - dis_BMI*($C45-21.75)))*BA45</f>
        <v>9.9782643422095699E-4</v>
      </c>
      <c r="CF45">
        <f>0.962*(0.93*(0.9442 - 0.0007*$B45 - dis_BMI*($C45-21.75)))*BB45</f>
        <v>1.2071383517248109E-2</v>
      </c>
      <c r="CG45">
        <f>0.962*(0.93*0.943*(0.9442 - 0.0007*$B45 - dis_BMI*($C45-21.75)))*BC45</f>
        <v>6.2393669007498011E-5</v>
      </c>
      <c r="CH45">
        <f>0.962*(0.93*0.943*(0.9442 - 0.0007*$B45 - dis_BMI*($C45-21.75))-0.19*0.5)*BD45</f>
        <v>1.8940668065131391E-4</v>
      </c>
      <c r="CI45">
        <f>0.962*(0.93*0.943*(0.9442 - 0.0007*$B45 - dis_BMI*($C45-21.75)))*BE45</f>
        <v>1.9277308340304752E-4</v>
      </c>
      <c r="CJ45">
        <f t="shared" ref="CJ45:CJ67" si="51">0*BF45</f>
        <v>0</v>
      </c>
      <c r="CK45">
        <f t="shared" ref="CK45:CK67" si="52">SUM(BH45:CJ45)</f>
        <v>0.17248085305262961</v>
      </c>
      <c r="CL45">
        <f>CK45/(1+r_)^A45</f>
        <v>4.9839933458182058E-2</v>
      </c>
      <c r="CM45">
        <f>AD45*c_PT_2</f>
        <v>47.25535089070344</v>
      </c>
      <c r="CN45">
        <f>AE45*(c_Other+c_PT_2)</f>
        <v>150.74022940942294</v>
      </c>
      <c r="CO45">
        <f>AF45*(c_Stroke1+c_Stroke2+c_PT_2)</f>
        <v>15.216514660286583</v>
      </c>
      <c r="CP45">
        <f>AG45*(c_Stroke2 + c_PT_2)</f>
        <v>12.746197339731802</v>
      </c>
      <c r="CQ45">
        <f>AH45*(c_MI1+c_MI2 + c_PT_2)</f>
        <v>8.7769847752524672</v>
      </c>
      <c r="CR45">
        <f>AI45*(c_MI2+c_PT_2)</f>
        <v>5.1415303839158506</v>
      </c>
      <c r="CS45">
        <f>AJ45*(c_Stroke1+c_Stroke2+c_MI2+c_PT_2)</f>
        <v>0.49357844058571515</v>
      </c>
      <c r="CT45">
        <f>AK45*(c_Stroke2+c_MI1+c_MI2+c_PT_2)</f>
        <v>0.54817580457240556</v>
      </c>
      <c r="CU45">
        <f>AL45*(c_Stroke2+c_MI2+c_PT_2)</f>
        <v>0.20957782432922972</v>
      </c>
      <c r="CV45">
        <f>AM45*(c_HF1+c_PT_2)</f>
        <v>6.9986030025409445</v>
      </c>
      <c r="CW45">
        <f>AN45*(c_HF2+c_PT_2)</f>
        <v>53.571013383953137</v>
      </c>
      <c r="CX45">
        <f>AO45*(c_Stroke2+c_HF1+c_PT_2)</f>
        <v>0.38923205062351635</v>
      </c>
      <c r="CY45">
        <f>AP45*(c_Stroke1+c_Stroke2+c_HF2+c_PT_2)</f>
        <v>1.5234625116487779</v>
      </c>
      <c r="CZ45">
        <f>AQ45*(c_Stroke2+c_HF2+c_PT_2)</f>
        <v>1.0620574799064673</v>
      </c>
      <c r="DA45">
        <f>AR45*(c_DM+c_PT_2)</f>
        <v>1147.5932999710965</v>
      </c>
      <c r="DB45">
        <f>AS45*(c_Other+c_DM+c_PT_2)</f>
        <v>1155.4099928751189</v>
      </c>
      <c r="DC45">
        <f>AT45*(c_Stroke1+c_Stroke2+c_DM+c_PT_2)</f>
        <v>113.38326174433075</v>
      </c>
      <c r="DD45">
        <f>AU45*(c_Stroke2+c_DM+c_PT_2)</f>
        <v>141.68634999873163</v>
      </c>
      <c r="DE45">
        <f>AV45*(c_MI1+c_MI2+c_DM+c_PT_2)</f>
        <v>64.542891870595128</v>
      </c>
      <c r="DF45">
        <f>AW45*(c_MI2+c_DM+c_PT_2)</f>
        <v>94.256234165066928</v>
      </c>
      <c r="DG45">
        <f>AX45*(c_Stroke1+c_Stroke2+c_MI2+c_DM+c_PT_2)</f>
        <v>5.8476047270688705</v>
      </c>
      <c r="DH45">
        <f>AY45*(c_Stroke2+c_MI1+c_MI2+c_DM+c_PT_2)</f>
        <v>5.7334272360985743</v>
      </c>
      <c r="DI45">
        <f>AZ45*(c_Stroke2+c_MI2+c_DM+c_PT_2)</f>
        <v>2.6130879813843717</v>
      </c>
      <c r="DJ45">
        <f>BA45*(c_HF1+c_DM+c_PT_2)</f>
        <v>52.935486201955648</v>
      </c>
      <c r="DK45">
        <f>BB45*(c_HF2+c_DM+c_PT_2)</f>
        <v>457.11668973372139</v>
      </c>
      <c r="DL45">
        <f>BC45*(c_Stroke2+c_HF1+c_DM+c_PT_2)</f>
        <v>4.0816460097697727</v>
      </c>
      <c r="DM45">
        <f>BD45*(c_Stroke1+c_Stroke2+c_HF2+c_DM+c_PT_2)</f>
        <v>16.027141000972719</v>
      </c>
      <c r="DN45">
        <f>BE45*(c_Stroke2+c_HF2+c_DM+c_PT_2)</f>
        <v>9.5069687814766279</v>
      </c>
      <c r="DO45">
        <f t="shared" ref="DO45:DO67" si="53">BF45*0</f>
        <v>0</v>
      </c>
      <c r="DP45">
        <f t="shared" ref="DP45:DP67" si="54">SUM(CM45:DO45)</f>
        <v>3575.4065902548614</v>
      </c>
      <c r="DQ45">
        <f>DP45/(1+r_)^A45</f>
        <v>1033.146713913073</v>
      </c>
    </row>
    <row r="46" spans="1:121" x14ac:dyDescent="0.3">
      <c r="A46">
        <v>43</v>
      </c>
      <c r="B46">
        <v>88</v>
      </c>
      <c r="C46">
        <f t="shared" si="39"/>
        <v>34.542000000000002</v>
      </c>
      <c r="D46">
        <f t="shared" si="1"/>
        <v>125</v>
      </c>
      <c r="E46">
        <f t="shared" si="41"/>
        <v>5.7</v>
      </c>
      <c r="F46">
        <v>0.1036</v>
      </c>
      <c r="G46">
        <v>0.13149</v>
      </c>
      <c r="H46">
        <f t="shared" si="42"/>
        <v>0.109178</v>
      </c>
      <c r="I46">
        <f t="shared" si="43"/>
        <v>4.0096398347168494E-2</v>
      </c>
      <c r="J46">
        <f t="shared" si="21"/>
        <v>0.3942813475436503</v>
      </c>
      <c r="K46">
        <f t="shared" si="22"/>
        <v>0.50446727897838128</v>
      </c>
      <c r="L46">
        <f t="shared" si="23"/>
        <v>0.21127189204089269</v>
      </c>
      <c r="M46">
        <f t="shared" si="24"/>
        <v>0.28278791853036955</v>
      </c>
      <c r="N46">
        <f t="shared" si="25"/>
        <v>0.75530535474833005</v>
      </c>
      <c r="O46">
        <f t="shared" si="26"/>
        <v>0.86318518020292356</v>
      </c>
      <c r="P46">
        <f t="shared" si="27"/>
        <v>0.49965399230918894</v>
      </c>
      <c r="Q46">
        <f t="shared" si="28"/>
        <v>0.6240998823871764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3.2336080804115735E-2</v>
      </c>
      <c r="U46">
        <f t="shared" si="29"/>
        <v>0.6641429598162184</v>
      </c>
      <c r="V46">
        <f t="shared" si="30"/>
        <v>0.78303813920667631</v>
      </c>
      <c r="W46">
        <f t="shared" si="31"/>
        <v>0.4034016236959389</v>
      </c>
      <c r="X46">
        <f t="shared" si="32"/>
        <v>0.51488504094026433</v>
      </c>
      <c r="Y46">
        <f t="shared" si="33"/>
        <v>0.90887214985454767</v>
      </c>
      <c r="Z46">
        <f t="shared" si="34"/>
        <v>0.96611569641010508</v>
      </c>
      <c r="AA46">
        <f t="shared" si="35"/>
        <v>0.69220418723273602</v>
      </c>
      <c r="AB46">
        <f t="shared" si="36"/>
        <v>0.81080011215026915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5.2458594604749234E-2</v>
      </c>
      <c r="AD46">
        <f t="shared" si="44"/>
        <v>2.7004087761919468E-2</v>
      </c>
      <c r="AE46">
        <f t="shared" si="45"/>
        <v>7.916191957062807E-3</v>
      </c>
      <c r="AF46">
        <f t="shared" si="46"/>
        <v>5.0158222382393441E-4</v>
      </c>
      <c r="AG46">
        <f t="shared" si="47"/>
        <v>1.2084451340714951E-3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2.4714973183939112E-4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9.2836477497234226E-4</v>
      </c>
      <c r="AJ46">
        <f t="shared" si="48"/>
        <v>1.4444103118772479E-5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1.1939687270564002E-5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1.2239688187920034E-5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2.0977371064013047E-4</v>
      </c>
      <c r="AN46">
        <f t="shared" si="49"/>
        <v>2.6554199893772737E-3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8.8288580648226382E-6</v>
      </c>
      <c r="AP46">
        <f>AM45*T45*p_Stroke*p_Stroke_rec*(1-I45) + AN45*T45*p_Stroke*p_Stroke_rec*(1-I45) + AO45*(p_recur_Stroke*p_Stroke_rec)*(1-I45) + AP45*(p_recur_Stroke*p_Stroke_rec)*(1-I45) + AQ45*(p_recur_Stroke*p_Stroke_rec)*(1-I45)</f>
        <v>3.1599615898695373E-5</v>
      </c>
      <c r="AQ46">
        <f>AO45*(1-p_recur_Stroke-H45*rr_Stroke*rr_HF)*(1-I45) + AP45*(1-p_recur_Stroke-H45*rr_Stroke*rr_HF)*(1-I45) + AQ45*(1-p_recur_Stroke-H45*rr_Stroke*rr_HF)*(1-I45)</f>
        <v>2.9733180666902284E-5</v>
      </c>
      <c r="AR46">
        <f>AR45*(1-AC45-H45*rr_DM) + AD45*(1-T45-H45)*I45</f>
        <v>7.5717185121072922E-2</v>
      </c>
      <c r="AS46">
        <f>AR45*AC45*p_Other + AD45*T45*p_Other*I45 + AE45*(1-T45*p_Stroke-T45*p_MI-H45*rr_Other)*I45 + AS45*(1-AC45*p_Stroke-AC45*p_MI-H45*rr_Other*rr_DM)</f>
        <v>3.5445520903744747E-2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2.6014173826193693E-3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5.4781843891412354E-3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1.3402092183467523E-3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4.9317759085798045E-3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1.2352033944060899E-4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9.5658941876207993E-5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6.8449739694047138E-5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1.1492965731891461E-3</v>
      </c>
      <c r="BB46">
        <f>AM45*(1-T45*p_Stroke - H45*rr_HF)*I45 + AN45*(1-T45*p_Stroke - H45*rr_HF)*I45 + BA45*(1-AC45*p_Stroke - H45*rr_HF*rr_DM) + BB45*(1-AC45*p_Stroke - H45*rr_HF*rr_DM)</f>
        <v>1.3773165842706887E-2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6.9968216134506077E-5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2.6399240683176891E-4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1.6720920653194742E-4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0.75999464539317563</v>
      </c>
      <c r="BG46">
        <f t="shared" si="50"/>
        <v>0.94200000000000017</v>
      </c>
      <c r="BH46">
        <f>(0.9442 - 0.0007*$B46 - dis_BMI*($C46-21.75))*AD46</f>
        <v>2.2693868099523562E-2</v>
      </c>
      <c r="BI46">
        <f>0.959*(0.9442 - 0.0007*$B46 - dis_BMI*($C46-21.75))*AE46</f>
        <v>6.3799009980242639E-3</v>
      </c>
      <c r="BJ46">
        <f>(0.943*(0.9442 - 0.0007*$B46 - dis_BMI*($C46-21.75)) - 0.19*0.5)*AF46</f>
        <v>3.4984576399526348E-4</v>
      </c>
      <c r="BK46">
        <f>(0.943*(0.9442 - 0.0007*$B46 - dis_BMI*($C46-21.75)))*AG46</f>
        <v>9.5767388703812907E-4</v>
      </c>
      <c r="BL46">
        <f>(0.955*(0.9442 - 0.0007*$B46 - dis_BMI*($C46-21.75)) - 0.15*0.5)*AH46</f>
        <v>1.7981848621045077E-4</v>
      </c>
      <c r="BM46">
        <f>(0.955*(0.9442 - 0.0007*$B46 - dis_BMI*($C46-21.75)))*AI46</f>
        <v>7.4507680022515514E-4</v>
      </c>
      <c r="BN46">
        <f>(0.955*0.943*(0.9442 - 0.0007*$B46 - dis_BMI*($C46-21.75)) - 0.19*0.5)*AJ46</f>
        <v>9.5594335675281807E-6</v>
      </c>
      <c r="BO46">
        <f>(0.955*0.943*(0.9442 - 0.0007*$B46 - dis_BMI*($C46-21.75)) - 0.15*0.5)*AK46</f>
        <v>8.1407483591026735E-6</v>
      </c>
      <c r="BP46">
        <f>(0.955*0.943*(0.9442 - 0.0007*$B46 - dis_BMI*($C46-21.75)))*AL46</f>
        <v>9.2632723721655315E-6</v>
      </c>
      <c r="BQ46">
        <f>(0.93*(0.9442 - 0.0007*$B46 - dis_BMI*($C46-21.75)))*AM46</f>
        <v>1.6395060535453589E-4</v>
      </c>
      <c r="BR46">
        <f>(0.93*(0.9442 - 0.0007*$B46 - dis_BMI*($C46-21.75)))*AN46</f>
        <v>2.0753683261855492E-3</v>
      </c>
      <c r="BS46">
        <f>(0.93*0.943*(0.9442 - 0.0007*$B46 - dis_BMI*($C46-21.75)))*AO46</f>
        <v>6.5069608225243186E-6</v>
      </c>
      <c r="BT46">
        <f>(0.93*0.943*(0.9442 - 0.0007*$B46 - dis_BMI*($C46-21.75))-0.19*0.5)*AP46</f>
        <v>2.0287284221318902E-5</v>
      </c>
      <c r="BU46">
        <f>(0.93*0.943*(0.9442 - 0.0007*$B46 - dis_BMI*($C46-21.75)))*AQ46</f>
        <v>2.1913665426272466E-5</v>
      </c>
      <c r="BV46">
        <f>0.962*(0.9442 - 0.0007*$B46 - dis_BMI*($C46-21.75))*AR46</f>
        <v>6.1213688302394827E-2</v>
      </c>
      <c r="BW46">
        <f>0.962*0.959*(0.9442 - 0.0007*$B46 - dis_BMI*($C46-21.75))*AS46</f>
        <v>2.7481096546175116E-2</v>
      </c>
      <c r="BX46">
        <f>0.962*(0.943*(0.9442 - 0.0007*$B46 - dis_BMI*($C46-21.75)) - 0.19*0.5)*AT46</f>
        <v>1.7454989545961641E-3</v>
      </c>
      <c r="BY46">
        <f>0.962*(0.943*(0.9442 - 0.0007*$B46 - dis_BMI*($C46-21.75)))*AU46</f>
        <v>4.1764032626103445E-3</v>
      </c>
      <c r="BZ46">
        <f>0.962*(0.955*(0.9442 - 0.0007*$B46 - dis_BMI*($C46-21.75)) - 0.15*0.5)*AV46</f>
        <v>9.3804109838493705E-4</v>
      </c>
      <c r="CA46">
        <f>0.962*(0.955*(0.9442 - 0.0007*$B46 - dis_BMI*($C46-21.75)))*AW46</f>
        <v>3.8076830786568329E-3</v>
      </c>
      <c r="CB46">
        <f>0.962*(0.955*0.943*(0.9442 - 0.0007*$B46 - dis_BMI*($C46-21.75)) - 0.19*0.5)*AX46</f>
        <v>7.8642104641175414E-5</v>
      </c>
      <c r="CC46">
        <f>0.962*(0.955*0.943*(0.9442 - 0.0007*$B46 - dis_BMI*($C46-21.75)) - 0.15*0.5)*AY46</f>
        <v>6.2743974186233898E-5</v>
      </c>
      <c r="CD46">
        <f>0.962*(0.955*0.943*(0.9442 - 0.0007*$B46 - dis_BMI*($C46-21.75)))*AZ46</f>
        <v>4.9835744758056115E-5</v>
      </c>
      <c r="CE46">
        <f>0.962*(0.93*(0.9442 - 0.0007*$B46 - dis_BMI*($C46-21.75)))*BA46</f>
        <v>8.6411023256762354E-4</v>
      </c>
      <c r="CF46">
        <f>0.962*(0.93*(0.9442 - 0.0007*$B46 - dis_BMI*($C46-21.75)))*BB46</f>
        <v>1.0355493801315977E-2</v>
      </c>
      <c r="CG46">
        <f>0.962*(0.93*0.943*(0.9442 - 0.0007*$B46 - dis_BMI*($C46-21.75)))*BC46</f>
        <v>4.9607750088119236E-5</v>
      </c>
      <c r="CH46">
        <f>0.962*(0.93*0.943*(0.9442 - 0.0007*$B46 - dis_BMI*($C46-21.75))-0.19*0.5)*BD46</f>
        <v>1.630454251271942E-4</v>
      </c>
      <c r="CI46">
        <f>0.962*(0.93*0.943*(0.9442 - 0.0007*$B46 - dis_BMI*($C46-21.75)))*BE46</f>
        <v>1.1855200815929903E-4</v>
      </c>
      <c r="CJ46">
        <f t="shared" si="51"/>
        <v>0</v>
      </c>
      <c r="CK46">
        <f t="shared" si="52"/>
        <v>0.14472561661498773</v>
      </c>
      <c r="CL46">
        <f>CK46/(1+r_)^A46</f>
        <v>4.0601749392603831E-2</v>
      </c>
      <c r="CM46">
        <f>AD46*c_PT_2</f>
        <v>39.560988571212022</v>
      </c>
      <c r="CN46">
        <f>AE46*(c_Other+c_PT_2)</f>
        <v>124.63252617199683</v>
      </c>
      <c r="CO46">
        <f>AF46*(c_Stroke1+c_Stroke2+c_PT_2)</f>
        <v>12.680500200492887</v>
      </c>
      <c r="CP46">
        <f>AG46*(c_Stroke2 + c_PT_2)</f>
        <v>9.6252654928794588</v>
      </c>
      <c r="CQ46">
        <f>AH46*(c_MI1+c_MI2 + c_PT_2)</f>
        <v>7.5667361899947982</v>
      </c>
      <c r="CR46">
        <f>AI46*(c_MI2+c_PT_2)</f>
        <v>4.253767398923272</v>
      </c>
      <c r="CS46">
        <f>AJ46*(c_Stroke1+c_Stroke2+c_MI2+c_PT_2)</f>
        <v>0.41018364036690086</v>
      </c>
      <c r="CT46">
        <f>AK46*(c_Stroke2+c_MI1+c_MI2+c_PT_2)</f>
        <v>0.44315343273425351</v>
      </c>
      <c r="CU46">
        <f>AL46*(c_Stroke2+c_MI2+c_PT_2)</f>
        <v>0.1356402244985298</v>
      </c>
      <c r="CV46">
        <f>AM46*(c_HF1+c_PT_2)</f>
        <v>5.9775018846905175</v>
      </c>
      <c r="CW46">
        <f>AN46*(c_HF2+c_PT_2)</f>
        <v>45.328019218670065</v>
      </c>
      <c r="CX46">
        <f>AO46*(c_Stroke2+c_HF1+c_PT_2)</f>
        <v>0.30896588797846825</v>
      </c>
      <c r="CY46">
        <f>AP46*(c_Stroke1+c_Stroke2+c_HF2+c_PT_2)</f>
        <v>1.291981895634059</v>
      </c>
      <c r="CZ46">
        <f>AQ46*(c_Stroke2+c_HF2+c_PT_2)</f>
        <v>0.70081106831888684</v>
      </c>
      <c r="DA46">
        <f>AR46*(c_DM+c_PT_2)</f>
        <v>975.99451621062997</v>
      </c>
      <c r="DB46">
        <f>AS46*(c_Other+c_DM+c_PT_2)</f>
        <v>963.01935743384104</v>
      </c>
      <c r="DC46">
        <f>AT46*(c_Stroke1+c_Stroke2+c_DM+c_PT_2)</f>
        <v>95.487626446426574</v>
      </c>
      <c r="DD46">
        <f>AU46*(c_Stroke2+c_DM+c_PT_2)</f>
        <v>106.22199530544856</v>
      </c>
      <c r="DE46">
        <f>AV46*(c_MI1+c_MI2+c_DM+c_PT_2)</f>
        <v>56.343735748515812</v>
      </c>
      <c r="DF46">
        <f>AW46*(c_MI2+c_DM+c_PT_2)</f>
        <v>78.942936968636928</v>
      </c>
      <c r="DG46">
        <f>AX46*(c_Stroke1+c_Stroke2+c_MI2+c_DM+c_PT_2)</f>
        <v>4.9189504775433717</v>
      </c>
      <c r="DH46">
        <f>AY46*(c_Stroke2+c_MI1+c_MI2+c_DM+c_PT_2)</f>
        <v>4.6433806976130123</v>
      </c>
      <c r="DI46">
        <f>AZ46*(c_Stroke2+c_MI2+c_DM+c_PT_2)</f>
        <v>1.5405982912939189</v>
      </c>
      <c r="DJ46">
        <f>BA46*(c_HF1+c_DM+c_PT_2)</f>
        <v>45.879919201710713</v>
      </c>
      <c r="DK46">
        <f>BB46*(c_HF2+c_DM+c_PT_2)</f>
        <v>392.46636068793276</v>
      </c>
      <c r="DL46">
        <f>BC46*(c_Stroke2+c_HF1+c_DM+c_PT_2)</f>
        <v>3.2479245929637721</v>
      </c>
      <c r="DM46">
        <f>BD46*(c_Stroke1+c_Stroke2+c_HF2+c_DM+c_PT_2)</f>
        <v>13.809706793776662</v>
      </c>
      <c r="DN46">
        <f>BE46*(c_Stroke2+c_HF2+c_DM+c_PT_2)</f>
        <v>5.8514861825855</v>
      </c>
      <c r="DO46">
        <f t="shared" si="53"/>
        <v>0</v>
      </c>
      <c r="DP46">
        <f t="shared" si="54"/>
        <v>3001.2845363173092</v>
      </c>
      <c r="DQ46">
        <f>DP46/(1+r_)^A46</f>
        <v>841.98917544520634</v>
      </c>
    </row>
    <row r="47" spans="1:121" x14ac:dyDescent="0.3">
      <c r="A47">
        <v>44</v>
      </c>
      <c r="B47">
        <v>89</v>
      </c>
      <c r="C47">
        <f t="shared" si="39"/>
        <v>34.542000000000002</v>
      </c>
      <c r="D47">
        <f t="shared" si="1"/>
        <v>125</v>
      </c>
      <c r="E47">
        <f t="shared" si="41"/>
        <v>5.7</v>
      </c>
      <c r="F47">
        <v>0.11525000000000001</v>
      </c>
      <c r="G47">
        <v>0.14443</v>
      </c>
      <c r="H47">
        <f t="shared" si="42"/>
        <v>0.121086</v>
      </c>
      <c r="I47">
        <f t="shared" si="43"/>
        <v>4.0096398347168494E-2</v>
      </c>
      <c r="J47">
        <f t="shared" si="21"/>
        <v>0.40368947061680249</v>
      </c>
      <c r="K47">
        <f t="shared" si="22"/>
        <v>0.51521280600743813</v>
      </c>
      <c r="L47">
        <f t="shared" si="23"/>
        <v>0.21709524554762483</v>
      </c>
      <c r="M47">
        <f t="shared" si="24"/>
        <v>0.29019300890104038</v>
      </c>
      <c r="N47">
        <f t="shared" si="25"/>
        <v>0.76733218612317955</v>
      </c>
      <c r="O47">
        <f t="shared" si="26"/>
        <v>0.87258944123815652</v>
      </c>
      <c r="P47">
        <f t="shared" si="27"/>
        <v>0.51190554727088922</v>
      </c>
      <c r="Q47">
        <f t="shared" si="28"/>
        <v>0.63703945221520109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3.3107136036100042E-2</v>
      </c>
      <c r="U47">
        <f t="shared" si="29"/>
        <v>0.6753922452530563</v>
      </c>
      <c r="V47">
        <f t="shared" si="30"/>
        <v>0.79314675666985468</v>
      </c>
      <c r="W47">
        <f t="shared" si="31"/>
        <v>0.41294625433625665</v>
      </c>
      <c r="X47">
        <f t="shared" si="32"/>
        <v>0.52571942264778393</v>
      </c>
      <c r="Y47">
        <f t="shared" si="33"/>
        <v>0.91636172200493182</v>
      </c>
      <c r="Z47">
        <f t="shared" si="34"/>
        <v>0.96998279028376588</v>
      </c>
      <c r="AA47">
        <f t="shared" si="35"/>
        <v>0.70491865875803283</v>
      </c>
      <c r="AB47">
        <f t="shared" si="36"/>
        <v>0.82174834817817688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5.3440920373127955E-2</v>
      </c>
      <c r="AD47">
        <f t="shared" si="44"/>
        <v>2.2253089173035576E-2</v>
      </c>
      <c r="AE47">
        <f t="shared" si="45"/>
        <v>6.3729386853186671E-3</v>
      </c>
      <c r="AF47">
        <f t="shared" si="46"/>
        <v>4.1057242920836503E-4</v>
      </c>
      <c r="AG47">
        <f t="shared" si="47"/>
        <v>8.7187687859513236E-4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2.0999154707635796E-4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7.5145799932461988E-4</v>
      </c>
      <c r="AJ47">
        <f t="shared" si="48"/>
        <v>1.1813794933165143E-5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9.4047728808096788E-6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6.8948450470270535E-6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1.7658599260098089E-4</v>
      </c>
      <c r="AN47">
        <f t="shared" si="49"/>
        <v>2.1833574382875451E-3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6.8317508355382751E-6</v>
      </c>
      <c r="AP47">
        <f>AM46*T46*p_Stroke*p_Stroke_rec*(1-I46) + AN46*T46*p_Stroke*p_Stroke_rec*(1-I46) + AO46*(p_recur_Stroke*p_Stroke_rec)*(1-I46) + AP46*(p_recur_Stroke*p_Stroke_rec)*(1-I46) + AQ46*(p_recur_Stroke*p_Stroke_rec)*(1-I46)</f>
        <v>2.6253750958656663E-5</v>
      </c>
      <c r="AQ47">
        <f>AO46*(1-p_recur_Stroke-H46*rr_Stroke*rr_HF)*(1-I46) + AP46*(1-p_recur_Stroke-H46*rr_Stroke*rr_HF)*(1-I46) + AQ46*(1-p_recur_Stroke-H46*rr_Stroke*rr_HF)*(1-I46)</f>
        <v>1.7379705915302471E-5</v>
      </c>
      <c r="AR47">
        <f>AR46*(1-AC46-H46*rr_DM) + AD46*(1-T46-H46)*I46</f>
        <v>6.3168059470775223E-2</v>
      </c>
      <c r="AS47">
        <f>AR46*AC46*p_Other + AD46*T46*p_Other*I46 + AE46*(1-T46*p_Stroke-T46*p_MI-H46*rr_Other)*I46 + AS46*(1-AC46*p_Stroke-AC46*p_MI-H46*rr_Other*rr_DM)</f>
        <v>2.8603927792617646E-2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2.1430707322290239E-3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3.8780510804120819E-3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1.1482529442901398E-3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4.0169730942263403E-3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1.0186825272893158E-4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7.5085390595524854E-5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3.0483814985415281E-5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9.7751079356774712E-4</v>
      </c>
      <c r="BB47">
        <f>AM46*(1-T46*p_Stroke - H46*rr_HF)*I46 + AN46*(1-T46*p_Stroke - H46*rr_HF)*I46 + BA46*(1-AC46*p_Stroke - H46*rr_HF*rr_DM) + BB46*(1-AC46*p_Stroke - H46*rr_HF*rr_DM)</f>
        <v>1.1423692187509056E-2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5.3997534732213293E-5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2.2206869544585237E-4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8.3301267553393483E-5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0.79276520818431373</v>
      </c>
      <c r="BG47">
        <f t="shared" si="50"/>
        <v>0.94200000000000006</v>
      </c>
      <c r="BH47">
        <f>(0.9442 - 0.0007*$B47 - dis_BMI*($C47-21.75))*AD47</f>
        <v>1.868561633658522E-2</v>
      </c>
      <c r="BI47">
        <f>0.959*(0.9442 - 0.0007*$B47 - dis_BMI*($C47-21.75))*AE47</f>
        <v>5.1318678744700303E-3</v>
      </c>
      <c r="BJ47">
        <f>(0.943*(0.9442 - 0.0007*$B47 - dis_BMI*($C47-21.75)) - 0.19*0.5)*AF47</f>
        <v>2.8609683540022226E-4</v>
      </c>
      <c r="BK47">
        <f>(0.943*(0.9442 - 0.0007*$B47 - dis_BMI*($C47-21.75)))*AG47</f>
        <v>6.9037327745722905E-4</v>
      </c>
      <c r="BL47">
        <f>(0.955*(0.9442 - 0.0007*$B47 - dis_BMI*($C47-21.75)) - 0.15*0.5)*AH47</f>
        <v>1.5264296308547672E-4</v>
      </c>
      <c r="BM47">
        <f>(0.955*(0.9442 - 0.0007*$B47 - dis_BMI*($C47-21.75)))*AI47</f>
        <v>6.0259455440490829E-4</v>
      </c>
      <c r="BN47">
        <f>(0.955*0.943*(0.9442 - 0.0007*$B47 - dis_BMI*($C47-21.75)) - 0.19*0.5)*AJ47</f>
        <v>7.8111888592000618E-6</v>
      </c>
      <c r="BO47">
        <f>(0.955*0.943*(0.9442 - 0.0007*$B47 - dis_BMI*($C47-21.75)) - 0.15*0.5)*AK47</f>
        <v>6.4064577675674657E-6</v>
      </c>
      <c r="BP47">
        <f>(0.955*0.943*(0.9442 - 0.0007*$B47 - dis_BMI*($C47-21.75)))*AL47</f>
        <v>5.2138279262894733E-6</v>
      </c>
      <c r="BQ47">
        <f>(0.93*(0.9442 - 0.0007*$B47 - dis_BMI*($C47-21.75)))*AM47</f>
        <v>1.3789747646831619E-4</v>
      </c>
      <c r="BR47">
        <f>(0.93*(0.9442 - 0.0007*$B47 - dis_BMI*($C47-21.75)))*AN47</f>
        <v>1.7050020589600688E-3</v>
      </c>
      <c r="BS47">
        <f>(0.93*0.943*(0.9442 - 0.0007*$B47 - dis_BMI*($C47-21.75)))*AO47</f>
        <v>5.0308779229382928E-6</v>
      </c>
      <c r="BT47">
        <f>(0.93*0.943*(0.9442 - 0.0007*$B47 - dis_BMI*($C47-21.75))-0.19*0.5)*AP47</f>
        <v>1.6839065970358864E-5</v>
      </c>
      <c r="BU47">
        <f>(0.93*0.943*(0.9442 - 0.0007*$B47 - dis_BMI*($C47-21.75)))*AQ47</f>
        <v>1.2798355926803386E-5</v>
      </c>
      <c r="BV47">
        <f>0.962*(0.9442 - 0.0007*$B47 - dis_BMI*($C47-21.75))*AR47</f>
        <v>5.1025788754825108E-2</v>
      </c>
      <c r="BW47">
        <f>0.962*0.959*(0.9442 - 0.0007*$B47 - dis_BMI*($C47-21.75))*AS47</f>
        <v>2.2158301707695654E-2</v>
      </c>
      <c r="BX47">
        <f>0.962*(0.943*(0.9442 - 0.0007*$B47 - dis_BMI*($C47-21.75)) - 0.19*0.5)*AT47</f>
        <v>1.4365966487196857E-3</v>
      </c>
      <c r="BY47">
        <f>0.962*(0.943*(0.9442 - 0.0007*$B47 - dis_BMI*($C47-21.75)))*AU47</f>
        <v>2.9540470564703106E-3</v>
      </c>
      <c r="BZ47">
        <f>0.962*(0.955*(0.9442 - 0.0007*$B47 - dis_BMI*($C47-21.75)) - 0.15*0.5)*AV47</f>
        <v>8.0294835829182963E-4</v>
      </c>
      <c r="CA47">
        <f>0.962*(0.955*(0.9442 - 0.0007*$B47 - dis_BMI*($C47-21.75)))*AW47</f>
        <v>3.0988066952742145E-3</v>
      </c>
      <c r="CB47">
        <f>0.962*(0.955*0.943*(0.9442 - 0.0007*$B47 - dis_BMI*($C47-21.75)) - 0.19*0.5)*AX47</f>
        <v>6.479502167099744E-5</v>
      </c>
      <c r="CC47">
        <f>0.962*(0.955*0.943*(0.9442 - 0.0007*$B47 - dis_BMI*($C47-21.75)) - 0.15*0.5)*AY47</f>
        <v>4.9203973034897952E-5</v>
      </c>
      <c r="CD47">
        <f>0.962*(0.955*0.943*(0.9442 - 0.0007*$B47 - dis_BMI*($C47-21.75)))*AZ47</f>
        <v>2.217566093579382E-5</v>
      </c>
      <c r="CE47">
        <f>0.962*(0.93*(0.9442 - 0.0007*$B47 - dis_BMI*($C47-21.75)))*BA47</f>
        <v>7.34339181838248E-4</v>
      </c>
      <c r="CF47">
        <f>0.962*(0.93*(0.9442 - 0.0007*$B47 - dis_BMI*($C47-21.75)))*BB47</f>
        <v>8.58186408758666E-3</v>
      </c>
      <c r="CG47">
        <f>0.962*(0.93*0.943*(0.9442 - 0.0007*$B47 - dis_BMI*($C47-21.75)))*BC47</f>
        <v>3.8252582897727196E-5</v>
      </c>
      <c r="CH47">
        <f>0.962*(0.93*0.943*(0.9442 - 0.0007*$B47 - dis_BMI*($C47-21.75))-0.19*0.5)*BD47</f>
        <v>1.3702160504804547E-4</v>
      </c>
      <c r="CI47">
        <f>0.962*(0.93*0.943*(0.9442 - 0.0007*$B47 - dis_BMI*($C47-21.75)))*BE47</f>
        <v>5.9011743005944573E-5</v>
      </c>
      <c r="CJ47">
        <f t="shared" si="51"/>
        <v>0</v>
      </c>
      <c r="CK47">
        <f t="shared" si="52"/>
        <v>0.11860934422849974</v>
      </c>
      <c r="CL47">
        <f>CK47/(1+r_)^A47</f>
        <v>3.2305838506001425E-2</v>
      </c>
      <c r="CM47">
        <f>AD47*c_PT_2</f>
        <v>32.600775638497119</v>
      </c>
      <c r="CN47">
        <f>AE47*(c_Other+c_PT_2)</f>
        <v>100.33554666165709</v>
      </c>
      <c r="CO47">
        <f>AF47*(c_Stroke1+c_Stroke2+c_PT_2)</f>
        <v>10.379681582816676</v>
      </c>
      <c r="CP47">
        <f>AG47*(c_Stroke2 + c_PT_2)</f>
        <v>6.9444993380102291</v>
      </c>
      <c r="CQ47">
        <f>AH47*(c_MI1+c_MI2 + c_PT_2)</f>
        <v>6.4291012052897756</v>
      </c>
      <c r="CR47">
        <f>AI47*(c_MI2+c_PT_2)</f>
        <v>3.4431805529054085</v>
      </c>
      <c r="CS47">
        <f>AJ47*(c_Stroke1+c_Stroke2+c_MI2+c_PT_2)</f>
        <v>0.33548814851202374</v>
      </c>
      <c r="CT47">
        <f>AK47*(c_Stroke2+c_MI1+c_MI2+c_PT_2)</f>
        <v>0.34906755024413205</v>
      </c>
      <c r="CU47">
        <f>AL47*(c_Stroke2+c_MI2+c_PT_2)</f>
        <v>7.6408672811153808E-2</v>
      </c>
      <c r="CV47">
        <f>AM47*(c_HF1+c_PT_2)</f>
        <v>5.0318178591649509</v>
      </c>
      <c r="CW47">
        <f>AN47*(c_HF2+c_PT_2)</f>
        <v>37.269911471568392</v>
      </c>
      <c r="CX47">
        <f>AO47*(c_Stroke2+c_HF1+c_PT_2)</f>
        <v>0.23907712048966193</v>
      </c>
      <c r="CY47">
        <f>AP47*(c_Stroke1+c_Stroke2+c_HF2+c_PT_2)</f>
        <v>1.0734108616956364</v>
      </c>
      <c r="CZ47">
        <f>AQ47*(c_Stroke2+c_HF2+c_PT_2)</f>
        <v>0.40963966842367922</v>
      </c>
      <c r="DA47">
        <f>AR47*(c_DM+c_PT_2)</f>
        <v>814.23628657829261</v>
      </c>
      <c r="DB47">
        <f>AS47*(c_Other+c_DM+c_PT_2)</f>
        <v>777.1401141976288</v>
      </c>
      <c r="DC47">
        <f>AT47*(c_Stroke1+c_Stroke2+c_DM+c_PT_2)</f>
        <v>78.663554297198544</v>
      </c>
      <c r="DD47">
        <f>AU47*(c_Stroke2+c_DM+c_PT_2)</f>
        <v>75.195410449190263</v>
      </c>
      <c r="DE47">
        <f>AV47*(c_MI1+c_MI2+c_DM+c_PT_2)</f>
        <v>48.273702030901767</v>
      </c>
      <c r="DF47">
        <f>AW47*(c_MI2+c_DM+c_PT_2)</f>
        <v>64.299688319281032</v>
      </c>
      <c r="DG47">
        <f>AX47*(c_Stroke1+c_Stroke2+c_MI2+c_DM+c_PT_2)</f>
        <v>4.0566994284242419</v>
      </c>
      <c r="DH47">
        <f>AY47*(c_Stroke2+c_MI1+c_MI2+c_DM+c_PT_2)</f>
        <v>3.6447199448973717</v>
      </c>
      <c r="DI47">
        <f>AZ47*(c_Stroke2+c_MI2+c_DM+c_PT_2)</f>
        <v>0.68609922387674172</v>
      </c>
      <c r="DJ47">
        <f>BA47*(c_HF1+c_DM+c_PT_2)</f>
        <v>39.022230879224466</v>
      </c>
      <c r="DK47">
        <f>BB47*(c_HF2+c_DM+c_PT_2)</f>
        <v>325.51810888307057</v>
      </c>
      <c r="DL47">
        <f>BC47*(c_Stroke2+c_HF1+c_DM+c_PT_2)</f>
        <v>2.506565562269341</v>
      </c>
      <c r="DM47">
        <f>BD47*(c_Stroke1+c_Stroke2+c_HF2+c_DM+c_PT_2)</f>
        <v>11.616635527467983</v>
      </c>
      <c r="DN47">
        <f>BE47*(c_Stroke2+c_HF2+c_DM+c_PT_2)</f>
        <v>2.9151278580310049</v>
      </c>
      <c r="DO47">
        <f t="shared" si="53"/>
        <v>0</v>
      </c>
      <c r="DP47">
        <f t="shared" si="54"/>
        <v>2452.6925495118408</v>
      </c>
      <c r="DQ47">
        <f>DP47/(1+r_)^A47</f>
        <v>668.04424157977382</v>
      </c>
    </row>
    <row r="48" spans="1:121" x14ac:dyDescent="0.3">
      <c r="A48">
        <v>45</v>
      </c>
      <c r="B48">
        <v>90</v>
      </c>
      <c r="C48">
        <f t="shared" si="39"/>
        <v>34.542000000000002</v>
      </c>
      <c r="D48">
        <f t="shared" si="1"/>
        <v>125</v>
      </c>
      <c r="E48">
        <f t="shared" si="41"/>
        <v>5.7</v>
      </c>
      <c r="F48">
        <v>0.12912000000000001</v>
      </c>
      <c r="G48">
        <v>0.16005</v>
      </c>
      <c r="H48">
        <f t="shared" si="42"/>
        <v>0.13530600000000001</v>
      </c>
      <c r="I48">
        <f t="shared" si="43"/>
        <v>4.0096398347168494E-2</v>
      </c>
      <c r="J48">
        <f t="shared" si="21"/>
        <v>0.41313087663254922</v>
      </c>
      <c r="K48">
        <f t="shared" si="22"/>
        <v>0.52592830161666893</v>
      </c>
      <c r="L48">
        <f t="shared" si="23"/>
        <v>0.22298804604022027</v>
      </c>
      <c r="M48">
        <f t="shared" si="24"/>
        <v>0.29766398699866892</v>
      </c>
      <c r="N48">
        <f t="shared" si="25"/>
        <v>0.77903561672607635</v>
      </c>
      <c r="O48">
        <f t="shared" si="26"/>
        <v>0.8815501158734993</v>
      </c>
      <c r="P48">
        <f t="shared" si="27"/>
        <v>0.52414062327836897</v>
      </c>
      <c r="Q48">
        <f t="shared" si="28"/>
        <v>0.64982843341607732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3.3880136290520446E-2</v>
      </c>
      <c r="U48">
        <f t="shared" si="29"/>
        <v>0.68647337658308816</v>
      </c>
      <c r="V48">
        <f t="shared" si="30"/>
        <v>0.80296804307603353</v>
      </c>
      <c r="W48">
        <f t="shared" si="31"/>
        <v>0.42252007039043771</v>
      </c>
      <c r="X48">
        <f t="shared" si="32"/>
        <v>0.53651628968522425</v>
      </c>
      <c r="Y48">
        <f t="shared" si="33"/>
        <v>0.92339375387914824</v>
      </c>
      <c r="Z48">
        <f t="shared" si="34"/>
        <v>0.97348585368522356</v>
      </c>
      <c r="AA48">
        <f t="shared" si="35"/>
        <v>0.71739449474124606</v>
      </c>
      <c r="AB48">
        <f t="shared" si="36"/>
        <v>0.83230338636722778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5.4414390103238522E-2</v>
      </c>
      <c r="AD48">
        <f t="shared" si="44"/>
        <v>1.8067128552364701E-2</v>
      </c>
      <c r="AE48">
        <f t="shared" si="45"/>
        <v>5.0078345452301849E-3</v>
      </c>
      <c r="AF48">
        <f t="shared" si="46"/>
        <v>3.2840335532169482E-4</v>
      </c>
      <c r="AG48">
        <f t="shared" si="47"/>
        <v>6.077796154957373E-4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1.7507921071390888E-4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5.9708740884849927E-4</v>
      </c>
      <c r="AJ48">
        <f t="shared" si="48"/>
        <v>9.4446131751552224E-6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7.1498002640495241E-6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3.4294369716014621E-6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1.4579698493434934E-4</v>
      </c>
      <c r="AN48">
        <f t="shared" si="49"/>
        <v>1.7488456721277406E-3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5.0977682559637603E-6</v>
      </c>
      <c r="AP48">
        <f>AM47*T47*p_Stroke*p_Stroke_rec*(1-I47) + AN47*T47*p_Stroke*p_Stroke_rec*(1-I47) + AO47*(p_recur_Stroke*p_Stroke_rec)*(1-I47) + AP47*(p_recur_Stroke*p_Stroke_rec)*(1-I47) + AQ47*(p_recur_Stroke*p_Stroke_rec)*(1-I47)</f>
        <v>2.1217586154248467E-5</v>
      </c>
      <c r="AQ48">
        <f>AO47*(1-p_recur_Stroke-H47*rr_Stroke*rr_HF)*(1-I47) + AP47*(1-p_recur_Stroke-H47*rr_Stroke*rr_HF)*(1-I47) + AQ47*(1-p_recur_Stroke-H47*rr_Stroke*rr_HF)*(1-I47)</f>
        <v>9.2146590573811556E-6</v>
      </c>
      <c r="AR48">
        <f>AR47*(1-AC47-H47*rr_DM) + AD47*(1-T47-H47)*I47</f>
        <v>5.1750904452622017E-2</v>
      </c>
      <c r="AS48">
        <f>AR47*AC47*p_Other + AD47*T47*p_Other*I47 + AE47*(1-T47*p_Stroke-T47*p_MI-H47*rr_Other)*I47 + AS47*(1-AC47*p_Stroke-AC47*p_MI-H47*rr_Other*rr_DM)</f>
        <v>2.2414075495987441E-2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1.7162163698794268E-3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2.6288843170160603E-3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9.6034607098055742E-4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3.194299659584161E-3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8.1704495056285343E-5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5.6475928042213055E-5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7.8720584121299407E-6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8.110456132303925E-4</v>
      </c>
      <c r="BB48">
        <f>AM47*(1-T47*p_Stroke - H47*rr_HF)*I47 + AN47*(1-T47*p_Stroke - H47*rr_HF)*I47 + BA47*(1-AC47*p_Stroke - H47*rr_HF*rr_DM) + BB47*(1-AC47*p_Stroke - H47*rr_HF*rr_DM)</f>
        <v>9.1789521549139538E-3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3.9899208164820198E-5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1.807944853390242E-4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3.1561733366154349E-5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0.82221345874849017</v>
      </c>
      <c r="BG48">
        <f t="shared" si="50"/>
        <v>0.94200000000000006</v>
      </c>
      <c r="BH48">
        <f>(0.9442 - 0.0007*$B48 - dis_BMI*($C48-21.75))*AD48</f>
        <v>1.5158075142485673E-2</v>
      </c>
      <c r="BI48">
        <f>0.959*(0.9442 - 0.0007*$B48 - dis_BMI*($C48-21.75))*AE48</f>
        <v>4.0292433687454795E-3</v>
      </c>
      <c r="BJ48">
        <f>(0.943*(0.9442 - 0.0007*$B48 - dis_BMI*($C48-21.75)) - 0.19*0.5)*AF48</f>
        <v>2.2862265099044018E-4</v>
      </c>
      <c r="BK48">
        <f>(0.943*(0.9442 - 0.0007*$B48 - dis_BMI*($C48-21.75)))*AG48</f>
        <v>4.8085345819705809E-4</v>
      </c>
      <c r="BL48">
        <f>(0.955*(0.9442 - 0.0007*$B48 - dis_BMI*($C48-21.75)) - 0.15*0.5)*AH48</f>
        <v>1.27148127456134E-4</v>
      </c>
      <c r="BM48">
        <f>(0.955*(0.9442 - 0.0007*$B48 - dis_BMI*($C48-21.75)))*AI48</f>
        <v>4.7840554593154964E-4</v>
      </c>
      <c r="BN48">
        <f>(0.955*0.943*(0.9442 - 0.0007*$B48 - dis_BMI*($C48-21.75)) - 0.19*0.5)*AJ48</f>
        <v>6.2387505594887755E-6</v>
      </c>
      <c r="BO48">
        <f>(0.955*0.943*(0.9442 - 0.0007*$B48 - dis_BMI*($C48-21.75)) - 0.15*0.5)*AK48</f>
        <v>4.8658808466539531E-6</v>
      </c>
      <c r="BP48">
        <f>(0.955*0.943*(0.9442 - 0.0007*$B48 - dis_BMI*($C48-21.75)))*AL48</f>
        <v>2.5911515277507709E-6</v>
      </c>
      <c r="BQ48">
        <f>(0.93*(0.9442 - 0.0007*$B48 - dis_BMI*($C48-21.75)))*AM48</f>
        <v>1.1375916939445931E-4</v>
      </c>
      <c r="BR48">
        <f>(0.93*(0.9442 - 0.0007*$B48 - dis_BMI*($C48-21.75)))*AN48</f>
        <v>1.3645496931910511E-3</v>
      </c>
      <c r="BS48">
        <f>(0.93*0.943*(0.9442 - 0.0007*$B48 - dis_BMI*($C48-21.75)))*AO48</f>
        <v>3.7508496043589892E-6</v>
      </c>
      <c r="BT48">
        <f>(0.93*0.943*(0.9442 - 0.0007*$B48 - dis_BMI*($C48-21.75))-0.19*0.5)*AP48</f>
        <v>1.3595861781345061E-5</v>
      </c>
      <c r="BU48">
        <f>(0.93*0.943*(0.9442 - 0.0007*$B48 - dis_BMI*($C48-21.75)))*AQ48</f>
        <v>6.77998656358042E-6</v>
      </c>
      <c r="BV48">
        <f>0.962*(0.9442 - 0.0007*$B48 - dis_BMI*($C48-21.75))*AR48</f>
        <v>4.1768409432558239E-2</v>
      </c>
      <c r="BW48">
        <f>0.962*0.959*(0.9442 - 0.0007*$B48 - dis_BMI*($C48-21.75))*AS48</f>
        <v>1.7348799606266008E-2</v>
      </c>
      <c r="BX48">
        <f>0.962*(0.943*(0.9442 - 0.0007*$B48 - dis_BMI*($C48-21.75)) - 0.19*0.5)*AT48</f>
        <v>1.149367156164979E-3</v>
      </c>
      <c r="BY48">
        <f>0.962*(0.943*(0.9442 - 0.0007*$B48 - dis_BMI*($C48-21.75)))*AU48</f>
        <v>2.0008436868582339E-3</v>
      </c>
      <c r="BZ48">
        <f>0.962*(0.955*(0.9442 - 0.0007*$B48 - dis_BMI*($C48-21.75)) - 0.15*0.5)*AV48</f>
        <v>6.7093156508941378E-4</v>
      </c>
      <c r="CA48">
        <f>0.962*(0.955*(0.9442 - 0.0007*$B48 - dis_BMI*($C48-21.75)))*AW48</f>
        <v>2.4621188877387099E-3</v>
      </c>
      <c r="CB48">
        <f>0.962*(0.955*0.943*(0.9442 - 0.0007*$B48 - dis_BMI*($C48-21.75)) - 0.19*0.5)*AX48</f>
        <v>5.1919974329258152E-5</v>
      </c>
      <c r="CC48">
        <f>0.962*(0.955*0.943*(0.9442 - 0.0007*$B48 - dis_BMI*($C48-21.75)) - 0.15*0.5)*AY48</f>
        <v>3.6974814904646267E-5</v>
      </c>
      <c r="CD48">
        <f>0.962*(0.955*0.943*(0.9442 - 0.0007*$B48 - dis_BMI*($C48-21.75)))*AZ48</f>
        <v>5.7218091158233068E-6</v>
      </c>
      <c r="CE48">
        <f>0.962*(0.93*(0.9442 - 0.0007*$B48 - dis_BMI*($C48-21.75)))*BA48</f>
        <v>6.0877697903420852E-4</v>
      </c>
      <c r="CF48">
        <f>0.962*(0.93*(0.9442 - 0.0007*$B48 - dis_BMI*($C48-21.75)))*BB48</f>
        <v>6.8897909962317974E-3</v>
      </c>
      <c r="CG48">
        <f>0.962*(0.93*0.943*(0.9442 - 0.0007*$B48 - dis_BMI*($C48-21.75)))*BC48</f>
        <v>2.8241574866173093E-5</v>
      </c>
      <c r="CH48">
        <f>0.962*(0.93*0.943*(0.9442 - 0.0007*$B48 - dis_BMI*($C48-21.75))-0.19*0.5)*BD48</f>
        <v>1.1144767631130147E-4</v>
      </c>
      <c r="CI48">
        <f>0.962*(0.93*0.943*(0.9442 - 0.0007*$B48 - dis_BMI*($C48-21.75)))*BE48</f>
        <v>2.2340118933797848E-5</v>
      </c>
      <c r="CJ48">
        <f t="shared" si="51"/>
        <v>0</v>
      </c>
      <c r="CK48">
        <f t="shared" si="52"/>
        <v>9.5174163915677637E-2</v>
      </c>
      <c r="CL48">
        <f>CK48/(1+r_)^A48</f>
        <v>2.5167724923802849E-2</v>
      </c>
      <c r="CM48">
        <f>AD48*c_PT_2</f>
        <v>26.468343329214285</v>
      </c>
      <c r="CN48">
        <f>AE48*(c_Other+c_PT_2)</f>
        <v>78.843347080104024</v>
      </c>
      <c r="CO48">
        <f>AF48*(c_Stroke1+c_Stroke2+c_PT_2)</f>
        <v>8.3023652258877672</v>
      </c>
      <c r="CP48">
        <f>AG48*(c_Stroke2 + c_PT_2)</f>
        <v>4.8409646374235473</v>
      </c>
      <c r="CQ48">
        <f>AH48*(c_MI1+c_MI2 + c_PT_2)</f>
        <v>5.3602251152170339</v>
      </c>
      <c r="CR48">
        <f>AI48*(c_MI2+c_PT_2)</f>
        <v>2.7358545073438236</v>
      </c>
      <c r="CS48">
        <f>AJ48*(c_Stroke1+c_Stroke2+c_MI2+c_PT_2)</f>
        <v>0.26820812494805801</v>
      </c>
      <c r="CT48">
        <f>AK48*(c_Stroke2+c_MI1+c_MI2+c_PT_2)</f>
        <v>0.26537198660046213</v>
      </c>
      <c r="CU48">
        <f>AL48*(c_Stroke2+c_MI2+c_PT_2)</f>
        <v>3.8005020519287405E-2</v>
      </c>
      <c r="CV48">
        <f>AM48*(c_HF1+c_PT_2)</f>
        <v>4.1544850857042848</v>
      </c>
      <c r="CW48">
        <f>AN48*(c_HF2+c_PT_2)</f>
        <v>29.85279562322053</v>
      </c>
      <c r="CX48">
        <f>AO48*(c_Stroke2+c_HF1+c_PT_2)</f>
        <v>0.17839640011745178</v>
      </c>
      <c r="CY48">
        <f>AP48*(c_Stroke1+c_Stroke2+c_HF2+c_PT_2)</f>
        <v>0.86750222750260286</v>
      </c>
      <c r="CZ48">
        <f>AQ48*(c_Stroke2+c_HF2+c_PT_2)</f>
        <v>0.21718951398247383</v>
      </c>
      <c r="DA48">
        <f>AR48*(c_DM+c_PT_2)</f>
        <v>667.0691583942978</v>
      </c>
      <c r="DB48">
        <f>AS48*(c_Other+c_DM+c_PT_2)</f>
        <v>608.96801715048275</v>
      </c>
      <c r="DC48">
        <f>AT48*(c_Stroke1+c_Stroke2+c_DM+c_PT_2)</f>
        <v>62.995438072794236</v>
      </c>
      <c r="DD48">
        <f>AU48*(c_Stroke2+c_DM+c_PT_2)</f>
        <v>50.97406690694141</v>
      </c>
      <c r="DE48">
        <f>AV48*(c_MI1+c_MI2+c_DM+c_PT_2)</f>
        <v>40.373909170093611</v>
      </c>
      <c r="DF48">
        <f>AW48*(c_MI2+c_DM+c_PT_2)</f>
        <v>51.131154650963666</v>
      </c>
      <c r="DG48">
        <f>AX48*(c_Stroke1+c_Stroke2+c_MI2+c_DM+c_PT_2)</f>
        <v>3.2537181066264513</v>
      </c>
      <c r="DH48">
        <f>AY48*(c_Stroke2+c_MI1+c_MI2+c_DM+c_PT_2)</f>
        <v>2.741398023097064</v>
      </c>
      <c r="DI48">
        <f>AZ48*(c_Stroke2+c_MI2+c_DM+c_PT_2)</f>
        <v>0.17717641868180858</v>
      </c>
      <c r="DJ48">
        <f>BA48*(c_HF1+c_DM+c_PT_2)</f>
        <v>32.376940880157271</v>
      </c>
      <c r="DK48">
        <f>BB48*(c_HF2+c_DM+c_PT_2)</f>
        <v>261.55424165427314</v>
      </c>
      <c r="DL48">
        <f>BC48*(c_Stroke2+c_HF1+c_DM+c_PT_2)</f>
        <v>1.8521212430109537</v>
      </c>
      <c r="DM48">
        <f>BD48*(c_Stroke1+c_Stroke2+c_HF2+c_DM+c_PT_2)</f>
        <v>9.4575403225696952</v>
      </c>
      <c r="DN48">
        <f>BE48*(c_Stroke2+c_HF2+c_DM+c_PT_2)</f>
        <v>1.1045028591485715</v>
      </c>
      <c r="DO48">
        <f t="shared" si="53"/>
        <v>0</v>
      </c>
      <c r="DP48">
        <f t="shared" si="54"/>
        <v>1956.4224377309242</v>
      </c>
      <c r="DQ48">
        <f>DP48/(1+r_)^A48</f>
        <v>517.35365693563847</v>
      </c>
    </row>
    <row r="49" spans="1:121" x14ac:dyDescent="0.3">
      <c r="A49">
        <v>46</v>
      </c>
      <c r="B49">
        <v>91</v>
      </c>
      <c r="C49">
        <f t="shared" si="39"/>
        <v>34.542000000000002</v>
      </c>
      <c r="D49">
        <f t="shared" si="1"/>
        <v>125</v>
      </c>
      <c r="E49">
        <f t="shared" si="41"/>
        <v>5.7</v>
      </c>
      <c r="F49">
        <v>0.14421999999999999</v>
      </c>
      <c r="G49">
        <v>0.17713000000000001</v>
      </c>
      <c r="H49">
        <f t="shared" si="42"/>
        <v>0.15080199999999999</v>
      </c>
      <c r="I49">
        <f t="shared" si="43"/>
        <v>4.0096398347168494E-2</v>
      </c>
      <c r="J49">
        <f t="shared" si="21"/>
        <v>0.422600741096953</v>
      </c>
      <c r="K49">
        <f t="shared" si="22"/>
        <v>0.53660696346795156</v>
      </c>
      <c r="L49">
        <f t="shared" si="23"/>
        <v>0.22894897449931217</v>
      </c>
      <c r="M49">
        <f t="shared" si="24"/>
        <v>0.30519828655845693</v>
      </c>
      <c r="N49">
        <f t="shared" si="25"/>
        <v>0.79040747654463228</v>
      </c>
      <c r="O49">
        <f t="shared" si="26"/>
        <v>0.89007119569614856</v>
      </c>
      <c r="P49">
        <f t="shared" si="27"/>
        <v>0.5363487012434407</v>
      </c>
      <c r="Q49">
        <f t="shared" si="28"/>
        <v>0.66245454854416363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3.465470814497644E-2</v>
      </c>
      <c r="U49">
        <f t="shared" si="29"/>
        <v>0.69737923628531595</v>
      </c>
      <c r="V49">
        <f t="shared" si="30"/>
        <v>0.81249919695415918</v>
      </c>
      <c r="W49">
        <f t="shared" si="31"/>
        <v>0.43211806281384002</v>
      </c>
      <c r="X49">
        <f t="shared" si="32"/>
        <v>0.54726869819204049</v>
      </c>
      <c r="Y49">
        <f t="shared" si="33"/>
        <v>0.92998078730472633</v>
      </c>
      <c r="Z49">
        <f t="shared" si="34"/>
        <v>0.9766490405806344</v>
      </c>
      <c r="AA49">
        <f t="shared" si="35"/>
        <v>0.72962047151013987</v>
      </c>
      <c r="AB49">
        <f t="shared" si="36"/>
        <v>0.84246201692594369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5.5378506174180005E-2</v>
      </c>
      <c r="AD49">
        <f t="shared" si="44"/>
        <v>1.440855706381392E-2</v>
      </c>
      <c r="AE49">
        <f t="shared" si="45"/>
        <v>3.8211150527449854E-3</v>
      </c>
      <c r="AF49">
        <f t="shared" si="46"/>
        <v>2.5800275613146822E-4</v>
      </c>
      <c r="AG49">
        <f t="shared" si="47"/>
        <v>4.0352646580732476E-4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1.4345258135320743E-4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4.6275246027553094E-4</v>
      </c>
      <c r="AJ49">
        <f t="shared" si="48"/>
        <v>7.4357243329904513E-6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5.2958334419695637E-6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1.090937975299013E-6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1.1826161301199556E-4</v>
      </c>
      <c r="AN49">
        <f t="shared" si="49"/>
        <v>1.3566412815011642E-3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3.7144922633427461E-6</v>
      </c>
      <c r="AP49">
        <f>AM48*T48*p_Stroke*p_Stroke_rec*(1-I48) + AN48*T48*p_Stroke*p_Stroke_rec*(1-I48) + AO48*(p_recur_Stroke*p_Stroke_rec)*(1-I48) + AP48*(p_recur_Stroke*p_Stroke_rec)*(1-I48) + AQ48*(p_recur_Stroke*p_Stroke_rec)*(1-I48)</f>
        <v>1.6803377952773877E-5</v>
      </c>
      <c r="AQ49">
        <f>AO48*(1-p_recur_Stroke-H48*rr_Stroke*rr_HF)*(1-I48) + AP48*(1-p_recur_Stroke-H48*rr_Stroke*rr_HF)*(1-I48) + AQ48*(1-p_recur_Stroke-H48*rr_Stroke*rr_HF)*(1-I48)</f>
        <v>3.7248486010457626E-6</v>
      </c>
      <c r="AR49">
        <f>AR48*(1-AC48-H48*rr_DM) + AD48*(1-T48-H48)*I48</f>
        <v>4.1484235304907219E-2</v>
      </c>
      <c r="AS49">
        <f>AR48*AC48*p_Other + AD48*T48*p_Other*I48 + AE48*(1-T48*p_Stroke-T48*p_MI-H48*rr_Other)*I48 + AS48*(1-AC48*p_Stroke-AC48*p_MI-H48*rr_Other*rr_DM)</f>
        <v>1.6947065088477618E-2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1.3444180993221725E-3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1.6723169613833057E-3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7.855889376171915E-4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2.4603240903310624E-3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6.4271737514297715E-5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4.1191856857618705E-5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-6.3243099321312247E-6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6.5775933678355325E-4</v>
      </c>
      <c r="BB49">
        <f>AM48*(1-T48*p_Stroke - H48*rr_HF)*I48 + AN48*(1-T48*p_Stroke - H48*rr_HF)*I48 + BA48*(1-AC48*p_Stroke - H48*rr_HF*rr_DM) + BB48*(1-AC48*p_Stroke - H48*rr_HF*rr_DM)</f>
        <v>7.092516496068171E-3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2.8680051407380695E-5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1.4357658057707439E-4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-1.4592929603712605E-6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0.84827546457243885</v>
      </c>
      <c r="BG49">
        <f t="shared" si="50"/>
        <v>0.94200000000000006</v>
      </c>
      <c r="BH49">
        <f>(0.9442 - 0.0007*$B49 - dis_BMI*($C49-21.75))*AD49</f>
        <v>1.2078497430219142E-2</v>
      </c>
      <c r="BI49">
        <f>0.959*(0.9442 - 0.0007*$B49 - dis_BMI*($C49-21.75))*AE49</f>
        <v>3.0718580415077966E-3</v>
      </c>
      <c r="BJ49">
        <f>(0.943*(0.9442 - 0.0007*$B49 - dis_BMI*($C49-21.75)) - 0.19*0.5)*AF49</f>
        <v>1.7944196830226798E-4</v>
      </c>
      <c r="BK49">
        <f>(0.943*(0.9442 - 0.0007*$B49 - dis_BMI*($C49-21.75)))*AG49</f>
        <v>3.1898931567174373E-4</v>
      </c>
      <c r="BL49">
        <f>(0.955*(0.9442 - 0.0007*$B49 - dis_BMI*($C49-21.75)) - 0.15*0.5)*AH49</f>
        <v>1.0408395873209892E-4</v>
      </c>
      <c r="BM49">
        <f>(0.955*(0.9442 - 0.0007*$B49 - dis_BMI*($C49-21.75)))*AI49</f>
        <v>3.7046273478481958E-4</v>
      </c>
      <c r="BN49">
        <f>(0.955*0.943*(0.9442 - 0.0007*$B49 - dis_BMI*($C49-21.75)) - 0.19*0.5)*AJ49</f>
        <v>4.907067908230487E-6</v>
      </c>
      <c r="BO49">
        <f>(0.955*0.943*(0.9442 - 0.0007*$B49 - dis_BMI*($C49-21.75)) - 0.15*0.5)*AK49</f>
        <v>3.6008034030240838E-6</v>
      </c>
      <c r="BP49">
        <f>(0.955*0.943*(0.9442 - 0.0007*$B49 - dis_BMI*($C49-21.75)))*AL49</f>
        <v>8.2358332407741289E-7</v>
      </c>
      <c r="BQ49">
        <f>(0.93*(0.9442 - 0.0007*$B49 - dis_BMI*($C49-21.75)))*AM49</f>
        <v>9.2197504701917613E-5</v>
      </c>
      <c r="BR49">
        <f>(0.93*(0.9442 - 0.0007*$B49 - dis_BMI*($C49-21.75)))*AN49</f>
        <v>1.0576461604437279E-3</v>
      </c>
      <c r="BS49">
        <f>(0.93*0.943*(0.9442 - 0.0007*$B49 - dis_BMI*($C49-21.75)))*AO49</f>
        <v>2.7307787824683208E-6</v>
      </c>
      <c r="BT49">
        <f>(0.93*0.943*(0.9442 - 0.0007*$B49 - dis_BMI*($C49-21.75))-0.19*0.5)*AP49</f>
        <v>1.0756998130864515E-5</v>
      </c>
      <c r="BU49">
        <f>(0.93*0.943*(0.9442 - 0.0007*$B49 - dis_BMI*($C49-21.75)))*AQ49</f>
        <v>2.7383924387256161E-6</v>
      </c>
      <c r="BV49">
        <f>0.962*(0.9442 - 0.0007*$B49 - dis_BMI*($C49-21.75))*AR49</f>
        <v>3.3454194800224442E-2</v>
      </c>
      <c r="BW49">
        <f>0.962*0.959*(0.9442 - 0.0007*$B49 - dis_BMI*($C49-21.75))*AS49</f>
        <v>1.310631486102035E-2</v>
      </c>
      <c r="BX49">
        <f>0.962*(0.943*(0.9442 - 0.0007*$B49 - dis_BMI*($C49-21.75)) - 0.19*0.5)*AT49</f>
        <v>8.995164327108635E-4</v>
      </c>
      <c r="BY49">
        <f>0.962*(0.943*(0.9442 - 0.0007*$B49 - dis_BMI*($C49-21.75)))*AU49</f>
        <v>1.2717383848256001E-3</v>
      </c>
      <c r="BZ49">
        <f>0.962*(0.955*(0.9442 - 0.0007*$B49 - dis_BMI*($C49-21.75)) - 0.15*0.5)*AV49</f>
        <v>5.4833487116037511E-4</v>
      </c>
      <c r="CA49">
        <f>0.962*(0.955*(0.9442 - 0.0007*$B49 - dis_BMI*($C49-21.75)))*AW49</f>
        <v>1.8947991580259224E-3</v>
      </c>
      <c r="CB49">
        <f>0.962*(0.955*0.943*(0.9442 - 0.0007*$B49 - dis_BMI*($C49-21.75)) - 0.19*0.5)*AX49</f>
        <v>4.0803169578937876E-5</v>
      </c>
      <c r="CC49">
        <f>0.962*(0.955*0.943*(0.9442 - 0.0007*$B49 - dis_BMI*($C49-21.75)) - 0.15*0.5)*AY49</f>
        <v>2.694334637522806E-5</v>
      </c>
      <c r="CD49">
        <f>0.962*(0.955*0.943*(0.9442 - 0.0007*$B49 - dis_BMI*($C49-21.75)))*AZ49</f>
        <v>-4.5929921355646735E-6</v>
      </c>
      <c r="CE49">
        <f>0.962*(0.93*(0.9442 - 0.0007*$B49 - dis_BMI*($C49-21.75)))*BA49</f>
        <v>4.9330720947610238E-4</v>
      </c>
      <c r="CF49">
        <f>0.962*(0.93*(0.9442 - 0.0007*$B49 - dis_BMI*($C49-21.75)))*BB49</f>
        <v>5.3192548173435477E-3</v>
      </c>
      <c r="CG49">
        <f>0.962*(0.93*0.943*(0.9442 - 0.0007*$B49 - dis_BMI*($C49-21.75)))*BC49</f>
        <v>2.0283460898304618E-5</v>
      </c>
      <c r="CH49">
        <f>0.962*(0.93*0.943*(0.9442 - 0.0007*$B49 - dis_BMI*($C49-21.75))-0.19*0.5)*BD49</f>
        <v>8.84205425088297E-5</v>
      </c>
      <c r="CI49">
        <f>0.962*(0.93*0.943*(0.9442 - 0.0007*$B49 - dis_BMI*($C49-21.75)))*BE49</f>
        <v>-1.0320592275244087E-6</v>
      </c>
      <c r="CJ49">
        <f t="shared" si="51"/>
        <v>0</v>
      </c>
      <c r="CK49">
        <f t="shared" si="52"/>
        <v>7.4457020741136318E-2</v>
      </c>
      <c r="CL49">
        <f>CK49/(1+r_)^A49</f>
        <v>1.9115836984848679E-2</v>
      </c>
      <c r="CM49">
        <f>AD49*c_PT_2</f>
        <v>21.108536098487392</v>
      </c>
      <c r="CN49">
        <f>AE49*(c_Other+c_PT_2)</f>
        <v>60.159635390417051</v>
      </c>
      <c r="CO49">
        <f>AF49*(c_Stroke1+c_Stroke2+c_PT_2)</f>
        <v>6.522567677759648</v>
      </c>
      <c r="CP49">
        <f>AG49*(c_Stroke2 + c_PT_2)</f>
        <v>3.2140883001553417</v>
      </c>
      <c r="CQ49">
        <f>AH49*(c_MI1+c_MI2 + c_PT_2)</f>
        <v>4.3919442307097984</v>
      </c>
      <c r="CR49">
        <f>AI49*(c_MI2+c_PT_2)</f>
        <v>2.1203317729824827</v>
      </c>
      <c r="CS49">
        <f>AJ49*(c_Stroke1+c_Stroke2+c_MI2+c_PT_2)</f>
        <v>0.21115969960826284</v>
      </c>
      <c r="CT49">
        <f>AK49*(c_Stroke2+c_MI1+c_MI2+c_PT_2)</f>
        <v>0.19656015403214233</v>
      </c>
      <c r="CU49">
        <f>AL49*(c_Stroke2+c_MI2+c_PT_2)</f>
        <v>1.2089774642263662E-2</v>
      </c>
      <c r="CV49">
        <f>AM49*(c_HF1+c_PT_2)</f>
        <v>3.3698646627768136</v>
      </c>
      <c r="CW49">
        <f>AN49*(c_HF2+c_PT_2)</f>
        <v>23.157866675224874</v>
      </c>
      <c r="CX49">
        <f>AO49*(c_Stroke2+c_HF1+c_PT_2)</f>
        <v>0.12998865675567939</v>
      </c>
      <c r="CY49">
        <f>AP49*(c_Stroke1+c_Stroke2+c_HF2+c_PT_2)</f>
        <v>0.68702291097711277</v>
      </c>
      <c r="CZ49">
        <f>AQ49*(c_Stroke2+c_HF2+c_PT_2)</f>
        <v>8.7794681526648627E-2</v>
      </c>
      <c r="DA49">
        <f>AR49*(c_DM+c_PT_2)</f>
        <v>534.73179308025408</v>
      </c>
      <c r="DB49">
        <f>AS49*(c_Other+c_DM+c_PT_2)</f>
        <v>460.4348113888484</v>
      </c>
      <c r="DC49">
        <f>AT49*(c_Stroke1+c_Stroke2+c_DM+c_PT_2)</f>
        <v>49.348210753719663</v>
      </c>
      <c r="DD49">
        <f>AU49*(c_Stroke2+c_DM+c_PT_2)</f>
        <v>32.426225881222301</v>
      </c>
      <c r="DE49">
        <f>AV49*(c_MI1+c_MI2+c_DM+c_PT_2)</f>
        <v>33.026944526364346</v>
      </c>
      <c r="DF49">
        <f>AW49*(c_MI2+c_DM+c_PT_2)</f>
        <v>39.382407713929318</v>
      </c>
      <c r="DG49">
        <f>AX49*(c_Stroke1+c_Stroke2+c_MI2+c_DM+c_PT_2)</f>
        <v>2.5594934030318779</v>
      </c>
      <c r="DH49">
        <f>AY49*(c_Stroke2+c_MI1+c_MI2+c_DM+c_PT_2)</f>
        <v>1.9994939237256695</v>
      </c>
      <c r="DI49">
        <f>AZ49*(c_Stroke2+c_MI2+c_DM+c_PT_2)</f>
        <v>-0.14234124364247747</v>
      </c>
      <c r="DJ49">
        <f>BA49*(c_HF1+c_DM+c_PT_2)</f>
        <v>26.257752724399445</v>
      </c>
      <c r="DK49">
        <f>BB49*(c_HF2+c_DM+c_PT_2)</f>
        <v>202.10125755546252</v>
      </c>
      <c r="DL49">
        <f>BC49*(c_Stroke2+c_HF1+c_DM+c_PT_2)</f>
        <v>1.3313279863306118</v>
      </c>
      <c r="DM49">
        <f>BD49*(c_Stroke1+c_Stroke2+c_HF2+c_DM+c_PT_2)</f>
        <v>7.5106345065673388</v>
      </c>
      <c r="DN49">
        <f>BE49*(c_Stroke2+c_HF2+c_DM+c_PT_2)</f>
        <v>-5.1067957148192261E-2</v>
      </c>
      <c r="DO49">
        <f t="shared" si="53"/>
        <v>0</v>
      </c>
      <c r="DP49">
        <f t="shared" si="54"/>
        <v>1516.2863949291204</v>
      </c>
      <c r="DQ49">
        <f>DP49/(1+r_)^A49</f>
        <v>389.28610437665759</v>
      </c>
    </row>
    <row r="50" spans="1:121" x14ac:dyDescent="0.3">
      <c r="A50">
        <v>47</v>
      </c>
      <c r="B50">
        <v>92</v>
      </c>
      <c r="C50">
        <f t="shared" si="39"/>
        <v>34.542000000000002</v>
      </c>
      <c r="D50">
        <f t="shared" si="1"/>
        <v>125</v>
      </c>
      <c r="E50">
        <f t="shared" si="41"/>
        <v>5.7</v>
      </c>
      <c r="F50">
        <v>0.15822</v>
      </c>
      <c r="G50">
        <v>0.19409999999999999</v>
      </c>
      <c r="H50">
        <f t="shared" si="42"/>
        <v>0.16539599999999999</v>
      </c>
      <c r="I50">
        <f t="shared" si="43"/>
        <v>4.0096398347168494E-2</v>
      </c>
      <c r="J50">
        <f t="shared" si="21"/>
        <v>0.43209421663664183</v>
      </c>
      <c r="K50">
        <f t="shared" si="22"/>
        <v>0.54724207345491327</v>
      </c>
      <c r="L50">
        <f t="shared" si="23"/>
        <v>0.23497666872934853</v>
      </c>
      <c r="M50">
        <f t="shared" si="24"/>
        <v>0.31279328980827314</v>
      </c>
      <c r="N50">
        <f t="shared" si="25"/>
        <v>0.80144069194058609</v>
      </c>
      <c r="O50">
        <f t="shared" si="26"/>
        <v>0.89815805094457124</v>
      </c>
      <c r="P50">
        <f t="shared" si="27"/>
        <v>0.54851931162879386</v>
      </c>
      <c r="Q50">
        <f t="shared" si="28"/>
        <v>0.67490597675529551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3.543048295320967E-2</v>
      </c>
      <c r="U50">
        <f t="shared" si="29"/>
        <v>0.70810311930084424</v>
      </c>
      <c r="V50">
        <f t="shared" si="30"/>
        <v>0.82173813088078651</v>
      </c>
      <c r="W50">
        <f t="shared" si="31"/>
        <v>0.44173520516641607</v>
      </c>
      <c r="X50">
        <f t="shared" si="32"/>
        <v>0.55796980365828264</v>
      </c>
      <c r="Y50">
        <f t="shared" si="33"/>
        <v>0.93613645883784491</v>
      </c>
      <c r="Z50">
        <f t="shared" si="34"/>
        <v>0.97949613570430849</v>
      </c>
      <c r="AA50">
        <f t="shared" si="35"/>
        <v>0.74158614230922582</v>
      </c>
      <c r="AB50">
        <f t="shared" si="36"/>
        <v>0.8522223571676002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5.6332796956998013E-2</v>
      </c>
      <c r="AD50">
        <f t="shared" si="44"/>
        <v>1.1265806392639069E-2</v>
      </c>
      <c r="AE50">
        <f t="shared" si="45"/>
        <v>2.8233780964590288E-3</v>
      </c>
      <c r="AF50">
        <f t="shared" si="46"/>
        <v>1.9842152900553692E-4</v>
      </c>
      <c r="AG50">
        <f t="shared" si="47"/>
        <v>2.5423393683341903E-4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1.1509729896177245E-4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3.4894250964116215E-4</v>
      </c>
      <c r="AJ50">
        <f t="shared" si="48"/>
        <v>5.7318401732873727E-6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3.7975568534282526E-6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-2.6372280137166835E-7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9.3861804926040698E-5</v>
      </c>
      <c r="AN50">
        <f t="shared" si="49"/>
        <v>1.0159098888671023E-3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2.622420028383024E-6</v>
      </c>
      <c r="AP50">
        <f>AM49*T49*p_Stroke*p_Stroke_rec*(1-I49) + AN49*T49*p_Stroke*p_Stroke_rec*(1-I49) + AO49*(p_recur_Stroke*p_Stroke_rec)*(1-I49) + AP49*(p_recur_Stroke*p_Stroke_rec)*(1-I49) + AQ49*(p_recur_Stroke*p_Stroke_rec)*(1-I49)</f>
        <v>1.2950793862420425E-5</v>
      </c>
      <c r="AQ50">
        <f>AO49*(1-p_recur_Stroke-H49*rr_Stroke*rr_HF)*(1-I49) + AP49*(1-p_recur_Stroke-H49*rr_Stroke*rr_HF)*(1-I49) + AQ49*(1-p_recur_Stroke-H49*rr_Stroke*rr_HF)*(1-I49)</f>
        <v>4.8731877037816356E-7</v>
      </c>
      <c r="AR50">
        <f>AR49*(1-AC49-H49*rr_DM) + AD49*(1-T49-H49)*I49</f>
        <v>3.2463195932625942E-2</v>
      </c>
      <c r="AS50">
        <f>AR49*AC49*p_Other + AD49*T49*p_Other*I49 + AE49*(1-T49*p_Stroke-T49*p_MI-H49*rr_Other)*I49 + AS49*(1-AC49*p_Stroke-AC49*p_MI-H49*rr_Other*rr_DM)</f>
        <v>1.2322110905846621E-2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1.0260392193920586E-3</v>
      </c>
      <c r="AU50">
        <f>AF49*(1-p_recur_Stroke-T49*p_MI-H49*rr_Stroke)*I49 + AG49*(1-p_recur_Stroke-T49*p_MI-H49*rr_Stroke)*I49 + AT49*(1-p_recur_Stroke-AC49*p_MI-H49*rr_Stroke*rr_DM) + AU49*(1-p_recur_Stroke-AC49*p_MI-H49*rr_Stroke*rr_DM)</f>
        <v>9.9107344211452021E-4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6.257768276618313E-4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1.8295465762806584E-3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4.9220310462293487E-5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2.8911778485916984E-5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-1.3071887337667862E-5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5.1883872336270424E-4</v>
      </c>
      <c r="BB50">
        <f>AM49*(1-T49*p_Stroke - H49*rr_HF)*I49 + AN49*(1-T49*p_Stroke - H49*rr_HF)*I49 + BA49*(1-AC49*p_Stroke - H49*rr_HF*rr_DM) + BB49*(1-AC49*p_Stroke - H49*rr_HF*rr_DM)</f>
        <v>5.2477873824968565E-3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1.9859463906674083E-5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1.10215441923783E-4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-1.8411661497251707E-5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0.87065792988005541</v>
      </c>
      <c r="BG50">
        <f t="shared" si="50"/>
        <v>0.94200000000000006</v>
      </c>
      <c r="BH50">
        <f>(0.9442 - 0.0007*$B50 - dis_BMI*($C50-21.75))*AD50</f>
        <v>9.4360862195075439E-3</v>
      </c>
      <c r="BI50">
        <f>0.959*(0.9442 - 0.0007*$B50 - dis_BMI*($C50-21.75))*AE50</f>
        <v>2.26786534873024E-3</v>
      </c>
      <c r="BJ50">
        <f>(0.943*(0.9442 - 0.0007*$B50 - dis_BMI*($C50-21.75)) - 0.19*0.5)*AF50</f>
        <v>1.3787200397946938E-4</v>
      </c>
      <c r="BK50">
        <f>(0.943*(0.9442 - 0.0007*$B50 - dis_BMI*($C50-21.75)))*AG50</f>
        <v>2.008051432992534E-4</v>
      </c>
      <c r="BL50">
        <f>(0.955*(0.9442 - 0.0007*$B50 - dis_BMI*($C50-21.75)) - 0.15*0.5)*AH50</f>
        <v>8.3433457912061634E-5</v>
      </c>
      <c r="BM50">
        <f>(0.955*(0.9442 - 0.0007*$B50 - dis_BMI*($C50-21.75)))*AI50</f>
        <v>2.7911737293672751E-4</v>
      </c>
      <c r="BN50">
        <f>(0.955*0.943*(0.9442 - 0.0007*$B50 - dis_BMI*($C50-21.75)) - 0.19*0.5)*AJ50</f>
        <v>3.7790079369724393E-6</v>
      </c>
      <c r="BO50">
        <f>(0.955*0.943*(0.9442 - 0.0007*$B50 - dis_BMI*($C50-21.75)) - 0.15*0.5)*AK50</f>
        <v>2.5796841541004661E-6</v>
      </c>
      <c r="BP50">
        <f>(0.955*0.943*(0.9442 - 0.0007*$B50 - dis_BMI*($C50-21.75)))*AL50</f>
        <v>-1.9892637182589599E-7</v>
      </c>
      <c r="BQ50">
        <f>(0.93*(0.9442 - 0.0007*$B50 - dis_BMI*($C50-21.75)))*AM50</f>
        <v>7.3114155295519369E-5</v>
      </c>
      <c r="BR50">
        <f>(0.93*(0.9442 - 0.0007*$B50 - dis_BMI*($C50-21.75)))*AN50</f>
        <v>7.913484450827546E-4</v>
      </c>
      <c r="BS50">
        <f>(0.93*0.943*(0.9442 - 0.0007*$B50 - dis_BMI*($C50-21.75)))*AO50</f>
        <v>1.9263114736717946E-6</v>
      </c>
      <c r="BT50">
        <f>(0.93*0.943*(0.9442 - 0.0007*$B50 - dis_BMI*($C50-21.75))-0.19*0.5)*AP50</f>
        <v>8.2827436339196767E-6</v>
      </c>
      <c r="BU50">
        <f>(0.93*0.943*(0.9442 - 0.0007*$B50 - dis_BMI*($C50-21.75)))*AQ50</f>
        <v>3.5796238915011022E-7</v>
      </c>
      <c r="BV50">
        <f>0.962*(0.9442 - 0.0007*$B50 - dis_BMI*($C50-21.75))*AR50</f>
        <v>2.6157483619982099E-2</v>
      </c>
      <c r="BW50">
        <f>0.962*0.959*(0.9442 - 0.0007*$B50 - dis_BMI*($C50-21.75))*AS50</f>
        <v>9.5215666024773913E-3</v>
      </c>
      <c r="BX50">
        <f>0.962*(0.943*(0.9442 - 0.0007*$B50 - dis_BMI*($C50-21.75)) - 0.19*0.5)*AT50</f>
        <v>6.8584555745677066E-4</v>
      </c>
      <c r="BY50">
        <f>0.962*(0.943*(0.9442 - 0.0007*$B50 - dis_BMI*($C50-21.75)))*AU50</f>
        <v>7.5304723851995429E-4</v>
      </c>
      <c r="BZ50">
        <f>0.962*(0.955*(0.9442 - 0.0007*$B50 - dis_BMI*($C50-21.75)) - 0.15*0.5)*AV50</f>
        <v>4.3638484595934983E-4</v>
      </c>
      <c r="CA50">
        <f>0.962*(0.955*(0.9442 - 0.0007*$B50 - dis_BMI*($C50-21.75)))*AW50</f>
        <v>1.4078342637262103E-3</v>
      </c>
      <c r="CB50">
        <f>0.962*(0.955*0.943*(0.9442 - 0.0007*$B50 - dis_BMI*($C50-21.75)) - 0.19*0.5)*AX50</f>
        <v>3.121786173715556E-5</v>
      </c>
      <c r="CC50">
        <f>0.962*(0.955*0.943*(0.9442 - 0.0007*$B50 - dis_BMI*($C50-21.75)) - 0.15*0.5)*AY50</f>
        <v>1.8893487533382368E-5</v>
      </c>
      <c r="CD50">
        <f>0.962*(0.955*0.943*(0.9442 - 0.0007*$B50 - dis_BMI*($C50-21.75)))*AZ50</f>
        <v>-9.4854524121171038E-6</v>
      </c>
      <c r="CE50">
        <f>0.962*(0.93*(0.9442 - 0.0007*$B50 - dis_BMI*($C50-21.75)))*BA50</f>
        <v>3.8879441677347335E-4</v>
      </c>
      <c r="CF50">
        <f>0.962*(0.93*(0.9442 - 0.0007*$B50 - dis_BMI*($C50-21.75)))*BB50</f>
        <v>3.9324559691793458E-3</v>
      </c>
      <c r="CG50">
        <f>0.962*(0.93*0.943*(0.9442 - 0.0007*$B50 - dis_BMI*($C50-21.75)))*BC50</f>
        <v>1.4033527537570689E-5</v>
      </c>
      <c r="CH50">
        <f>0.962*(0.93*0.943*(0.9442 - 0.0007*$B50 - dis_BMI*($C50-21.75))-0.19*0.5)*BD50</f>
        <v>6.7810250227508544E-5</v>
      </c>
      <c r="CI50">
        <f>0.962*(0.93*0.943*(0.9442 - 0.0007*$B50 - dis_BMI*($C50-21.75)))*BE50</f>
        <v>-1.3010449821219946E-5</v>
      </c>
      <c r="CJ50">
        <f t="shared" si="51"/>
        <v>0</v>
      </c>
      <c r="CK50">
        <f t="shared" si="52"/>
        <v>5.6679240668836423E-2</v>
      </c>
      <c r="CL50">
        <f>CK50/(1+r_)^A50</f>
        <v>1.4127797528972036E-2</v>
      </c>
      <c r="CM50">
        <f>AD50*c_PT_2</f>
        <v>16.504406365216237</v>
      </c>
      <c r="CN50">
        <f>AE50*(c_Other+c_PT_2)</f>
        <v>44.45126475065095</v>
      </c>
      <c r="CO50">
        <f>AF50*(c_Stroke1+c_Stroke2+c_PT_2)</f>
        <v>5.0162946747889787</v>
      </c>
      <c r="CP50">
        <f>AG50*(c_Stroke2 + c_PT_2)</f>
        <v>2.0249733068781826</v>
      </c>
      <c r="CQ50">
        <f>AH50*(c_MI1+c_MI2 + c_PT_2)</f>
        <v>3.5238189050136253</v>
      </c>
      <c r="CR50">
        <f>AI50*(c_MI2+c_PT_2)</f>
        <v>1.5988545791758049</v>
      </c>
      <c r="CS50">
        <f>AJ50*(c_Stroke1+c_Stroke2+c_MI2+c_PT_2)</f>
        <v>0.16277279724101482</v>
      </c>
      <c r="CT50">
        <f>AK50*(c_Stroke2+c_MI1+c_MI2+c_PT_2)</f>
        <v>0.14095012017184302</v>
      </c>
      <c r="CU50">
        <f>AL50*(c_Stroke2+c_MI2+c_PT_2)</f>
        <v>-2.9225760848008288E-3</v>
      </c>
      <c r="CV50">
        <f>AM50*(c_HF1+c_PT_2)</f>
        <v>2.6745921313675298</v>
      </c>
      <c r="CW50">
        <f>AN50*(c_HF2+c_PT_2)</f>
        <v>17.341581802961436</v>
      </c>
      <c r="CX50">
        <f>AO50*(c_Stroke2+c_HF1+c_PT_2)</f>
        <v>9.1771588893263922E-2</v>
      </c>
      <c r="CY50">
        <f>AP50*(c_Stroke1+c_Stroke2+c_HF2+c_PT_2)</f>
        <v>0.52950615785892152</v>
      </c>
      <c r="CZ50">
        <f>AQ50*(c_Stroke2+c_HF2+c_PT_2)</f>
        <v>1.1486103417813314E-2</v>
      </c>
      <c r="DA50">
        <f>AR50*(c_DM+c_PT_2)</f>
        <v>418.45059557154838</v>
      </c>
      <c r="DB50">
        <f>AS50*(c_Other+c_DM+c_PT_2)</f>
        <v>334.77943120094682</v>
      </c>
      <c r="DC50">
        <f>AT50*(c_Stroke1+c_Stroke2+c_DM+c_PT_2)</f>
        <v>37.661795587004903</v>
      </c>
      <c r="DD50">
        <f>AU50*(c_Stroke2+c_DM+c_PT_2)</f>
        <v>19.216914042600546</v>
      </c>
      <c r="DE50">
        <f>AV50*(c_MI1+c_MI2+c_DM+c_PT_2)</f>
        <v>26.308283611731049</v>
      </c>
      <c r="DF50">
        <f>AW50*(c_MI2+c_DM+c_PT_2)</f>
        <v>29.285552046524501</v>
      </c>
      <c r="DG50">
        <f>AX50*(c_Stroke1+c_Stroke2+c_MI2+c_DM+c_PT_2)</f>
        <v>1.9601004235399135</v>
      </c>
      <c r="DH50">
        <f>AY50*(c_Stroke2+c_MI1+c_MI2+c_DM+c_PT_2)</f>
        <v>1.4034066394848963</v>
      </c>
      <c r="DI50">
        <f>AZ50*(c_Stroke2+c_MI2+c_DM+c_PT_2)</f>
        <v>-0.29420896830889059</v>
      </c>
      <c r="DJ50">
        <f>BA50*(c_HF1+c_DM+c_PT_2)</f>
        <v>20.712041836639152</v>
      </c>
      <c r="DK50">
        <f>BB50*(c_HF2+c_DM+c_PT_2)</f>
        <v>149.53570146424792</v>
      </c>
      <c r="DL50">
        <f>BC50*(c_Stroke2+c_HF1+c_DM+c_PT_2)</f>
        <v>0.92187631454781094</v>
      </c>
      <c r="DM50">
        <f>BD50*(c_Stroke1+c_Stroke2+c_HF2+c_DM+c_PT_2)</f>
        <v>5.7654799824750125</v>
      </c>
      <c r="DN50">
        <f>BE50*(c_Stroke2+c_HF2+c_DM+c_PT_2)</f>
        <v>-0.64431609409632351</v>
      </c>
      <c r="DO50">
        <f t="shared" si="53"/>
        <v>0</v>
      </c>
      <c r="DP50">
        <f t="shared" si="54"/>
        <v>1139.1320043664364</v>
      </c>
      <c r="DQ50">
        <f>DP50/(1+r_)^A50</f>
        <v>283.93863655462917</v>
      </c>
    </row>
    <row r="51" spans="1:121" x14ac:dyDescent="0.3">
      <c r="A51">
        <v>48</v>
      </c>
      <c r="B51">
        <v>93</v>
      </c>
      <c r="C51">
        <f t="shared" si="39"/>
        <v>34.542000000000002</v>
      </c>
      <c r="D51">
        <f t="shared" si="1"/>
        <v>125</v>
      </c>
      <c r="E51">
        <f t="shared" si="41"/>
        <v>5.7</v>
      </c>
      <c r="F51">
        <v>0.17560000000000001</v>
      </c>
      <c r="G51">
        <v>0.21640000000000001</v>
      </c>
      <c r="H51">
        <f t="shared" si="42"/>
        <v>0.18376000000000001</v>
      </c>
      <c r="I51">
        <f t="shared" si="43"/>
        <v>4.0096398347168494E-2</v>
      </c>
      <c r="J51">
        <f t="shared" si="21"/>
        <v>0.4416064392822231</v>
      </c>
      <c r="K51">
        <f t="shared" si="22"/>
        <v>0.55782700865481416</v>
      </c>
      <c r="L51">
        <f t="shared" si="23"/>
        <v>0.24106972413898542</v>
      </c>
      <c r="M51">
        <f t="shared" si="24"/>
        <v>0.32044632975286513</v>
      </c>
      <c r="N51">
        <f t="shared" si="25"/>
        <v>0.8121292919983164</v>
      </c>
      <c r="O51">
        <f t="shared" si="26"/>
        <v>0.90581734846873385</v>
      </c>
      <c r="P51">
        <f t="shared" si="27"/>
        <v>0.56064205918389765</v>
      </c>
      <c r="Q51">
        <f t="shared" si="28"/>
        <v>0.68717138690494206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3.620709737222931E-2</v>
      </c>
      <c r="U51">
        <f t="shared" si="29"/>
        <v>0.71863874284314422</v>
      </c>
      <c r="V51">
        <f t="shared" si="30"/>
        <v>0.83068345833477009</v>
      </c>
      <c r="W51">
        <f t="shared" si="31"/>
        <v>0.45136646028880612</v>
      </c>
      <c r="X51">
        <f t="shared" si="32"/>
        <v>0.5686128722397904</v>
      </c>
      <c r="Y51">
        <f t="shared" si="33"/>
        <v>0.9418753602644816</v>
      </c>
      <c r="Z51">
        <f t="shared" si="34"/>
        <v>0.98205040079301831</v>
      </c>
      <c r="AA51">
        <f t="shared" si="35"/>
        <v>0.75328186406048558</v>
      </c>
      <c r="AB51">
        <f t="shared" si="36"/>
        <v>0.86158382226376928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5.7276816942218915E-2</v>
      </c>
      <c r="AD51">
        <f t="shared" si="44"/>
        <v>8.6423328459587345E-3</v>
      </c>
      <c r="AE51">
        <f t="shared" si="45"/>
        <v>2.0260145278304465E-3</v>
      </c>
      <c r="AF51">
        <f t="shared" si="46"/>
        <v>1.4936200859220827E-4</v>
      </c>
      <c r="AG51">
        <f t="shared" si="47"/>
        <v>1.5403911060542783E-4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9.0252608900938001E-5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2.5675913338100661E-4</v>
      </c>
      <c r="AJ51">
        <f t="shared" si="48"/>
        <v>4.3213696096940647E-6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2.6379270771149894E-6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-8.1870135267661937E-7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7.2732376824255184E-5</v>
      </c>
      <c r="AN51">
        <f t="shared" si="49"/>
        <v>7.3592341742657495E-4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1.7958336387581193E-6</v>
      </c>
      <c r="AP51">
        <f>AM50*T50*p_Stroke*p_Stroke_rec*(1-I50) + AN50*T50*p_Stroke*p_Stroke_rec*(1-I50) + AO50*(p_recur_Stroke*p_Stroke_rec)*(1-I50) + AP50*(p_recur_Stroke*p_Stroke_rec)*(1-I50) + AQ50*(p_recur_Stroke*p_Stroke_rec)*(1-I50)</f>
        <v>9.6884426740427242E-6</v>
      </c>
      <c r="AQ51">
        <f>AO50*(1-p_recur_Stroke-H50*rr_Stroke*rr_HF)*(1-I50) + AP50*(1-p_recur_Stroke-H50*rr_Stroke*rr_HF)*(1-I50) + AQ50*(1-p_recur_Stroke-H50*rr_Stroke*rr_HF)*(1-I50)</f>
        <v>-9.5883088787634215E-7</v>
      </c>
      <c r="AR51">
        <f>AR50*(1-AC50-H50*rr_DM) + AD50*(1-T50-H50)*I50</f>
        <v>2.4820779411149439E-2</v>
      </c>
      <c r="AS51">
        <f>AR50*AC50*p_Other + AD50*T50*p_Other*I50 + AE50*(1-T50*p_Stroke-T50*p_MI-H50*rr_Other)*I50 + AS50*(1-AC50*p_Stroke-AC50*p_MI-H50*rr_Other*rr_DM)</f>
        <v>8.6470951604948297E-3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7.6277002540635602E-4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5.5562133521849853E-4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4.8427663356532234E-4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1.3179858031620063E-3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3.663065905981665E-5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1.9552485649772234E-5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-1.4005342036940611E-5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3.9697287186796432E-4</v>
      </c>
      <c r="BB51">
        <f>AM50*(1-T50*p_Stroke - H50*rr_HF)*I50 + AN50*(1-T50*p_Stroke - H50*rr_HF)*I50 + BA50*(1-AC50*p_Stroke - H50*rr_HF*rr_DM) + BB50*(1-AC50*p_Stroke - H50*rr_HF*rr_DM)</f>
        <v>3.7263959915505036E-3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1.3271449021373198E-5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8.1470618357253833E-5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-2.2766210845582403E-5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0.88902986703810072</v>
      </c>
      <c r="BG51">
        <f t="shared" si="50"/>
        <v>0.94199999999999995</v>
      </c>
      <c r="BH51">
        <f>(0.9442 - 0.0007*$B51 - dis_BMI*($C51-21.75))*AD51</f>
        <v>7.2326508230561599E-3</v>
      </c>
      <c r="BI51">
        <f>0.959*(0.9442 - 0.0007*$B51 - dis_BMI*($C51-21.75))*AE51</f>
        <v>1.6260267003574296E-3</v>
      </c>
      <c r="BJ51">
        <f>(0.943*(0.9442 - 0.0007*$B51 - dis_BMI*($C51-21.75)) - 0.19*0.5)*AF51</f>
        <v>1.0368469793219483E-4</v>
      </c>
      <c r="BK51">
        <f>(0.943*(0.9442 - 0.0007*$B51 - dis_BMI*($C51-21.75)))*AG51</f>
        <v>1.2156518223995295E-4</v>
      </c>
      <c r="BL51">
        <f>(0.955*(0.9442 - 0.0007*$B51 - dis_BMI*($C51-21.75)) - 0.15*0.5)*AH51</f>
        <v>6.5363332143226487E-5</v>
      </c>
      <c r="BM51">
        <f>(0.955*(0.9442 - 0.0007*$B51 - dis_BMI*($C51-21.75)))*AI51</f>
        <v>2.0520870659624467E-4</v>
      </c>
      <c r="BN51">
        <f>(0.955*0.943*(0.9442 - 0.0007*$B51 - dis_BMI*($C51-21.75)) - 0.19*0.5)*AJ51</f>
        <v>2.8463591171651932E-6</v>
      </c>
      <c r="BO51">
        <f>(0.955*0.943*(0.9442 - 0.0007*$B51 - dis_BMI*($C51-21.75)) - 0.15*0.5)*AK51</f>
        <v>1.7902835543344248E-6</v>
      </c>
      <c r="BP51">
        <f>(0.955*0.943*(0.9442 - 0.0007*$B51 - dis_BMI*($C51-21.75)))*AL51</f>
        <v>-6.1703114036065961E-7</v>
      </c>
      <c r="BQ51">
        <f>(0.93*(0.9442 - 0.0007*$B51 - dis_BMI*($C51-21.75)))*AM51</f>
        <v>5.6607925413621752E-5</v>
      </c>
      <c r="BR51">
        <f>(0.93*(0.9442 - 0.0007*$B51 - dis_BMI*($C51-21.75)))*AN51</f>
        <v>5.7277239852181595E-4</v>
      </c>
      <c r="BS51">
        <f>(0.93*0.943*(0.9442 - 0.0007*$B51 - dis_BMI*($C51-21.75)))*AO51</f>
        <v>1.3180359437321742E-6</v>
      </c>
      <c r="BT51">
        <f>(0.93*0.943*(0.9442 - 0.0007*$B51 - dis_BMI*($C51-21.75))-0.19*0.5)*AP51</f>
        <v>6.190343288729243E-6</v>
      </c>
      <c r="BU51">
        <f>(0.93*0.943*(0.9442 - 0.0007*$B51 - dis_BMI*($C51-21.75)))*AQ51</f>
        <v>-7.0372530445280881E-7</v>
      </c>
      <c r="BV51">
        <f>0.962*(0.9442 - 0.0007*$B51 - dis_BMI*($C51-21.75))*AR51</f>
        <v>1.9982830162980518E-2</v>
      </c>
      <c r="BW51">
        <f>0.962*0.959*(0.9442 - 0.0007*$B51 - dis_BMI*($C51-21.75))*AS51</f>
        <v>6.6762167479340155E-3</v>
      </c>
      <c r="BX51">
        <f>0.962*(0.943*(0.9442 - 0.0007*$B51 - dis_BMI*($C51-21.75)) - 0.19*0.5)*AT51</f>
        <v>5.0938155134231322E-4</v>
      </c>
      <c r="BY51">
        <f>0.962*(0.943*(0.9442 - 0.0007*$B51 - dis_BMI*($C51-21.75)))*AU51</f>
        <v>4.2182487732961467E-4</v>
      </c>
      <c r="BZ51">
        <f>0.962*(0.955*(0.9442 - 0.0007*$B51 - dis_BMI*($C51-21.75)) - 0.15*0.5)*AV51</f>
        <v>3.3739839003765109E-4</v>
      </c>
      <c r="CA51">
        <f>0.962*(0.955*(0.9442 - 0.0007*$B51 - dis_BMI*($C51-21.75)))*AW51</f>
        <v>1.0133411668662746E-3</v>
      </c>
      <c r="CB51">
        <f>0.962*(0.955*0.943*(0.9442 - 0.0007*$B51 - dis_BMI*($C51-21.75)) - 0.19*0.5)*AX51</f>
        <v>2.3210691759189298E-5</v>
      </c>
      <c r="CC51">
        <f>0.962*(0.955*0.943*(0.9442 - 0.0007*$B51 - dis_BMI*($C51-21.75)) - 0.15*0.5)*AY51</f>
        <v>1.2765448690408809E-5</v>
      </c>
      <c r="CD51">
        <f>0.962*(0.955*0.943*(0.9442 - 0.0007*$B51 - dis_BMI*($C51-21.75)))*AZ51</f>
        <v>-1.0154308794805255E-5</v>
      </c>
      <c r="CE51">
        <f>0.962*(0.93*(0.9442 - 0.0007*$B51 - dis_BMI*($C51-21.75)))*BA51</f>
        <v>2.9722501667634555E-4</v>
      </c>
      <c r="CF51">
        <f>0.962*(0.93*(0.9442 - 0.0007*$B51 - dis_BMI*($C51-21.75)))*BB51</f>
        <v>2.7900599492341458E-3</v>
      </c>
      <c r="CG51">
        <f>0.962*(0.93*0.943*(0.9442 - 0.0007*$B51 - dis_BMI*($C51-21.75)))*BC51</f>
        <v>9.3703231149316698E-6</v>
      </c>
      <c r="CH51">
        <f>0.962*(0.93*0.943*(0.9442 - 0.0007*$B51 - dis_BMI*($C51-21.75))-0.19*0.5)*BD51</f>
        <v>5.0076831774460594E-5</v>
      </c>
      <c r="CI51">
        <f>0.962*(0.93*0.943*(0.9442 - 0.0007*$B51 - dis_BMI*($C51-21.75)))*BE51</f>
        <v>-1.6074111529360033E-5</v>
      </c>
      <c r="CJ51">
        <f t="shared" si="51"/>
        <v>0</v>
      </c>
      <c r="CK51">
        <f t="shared" si="52"/>
        <v>4.2092176769135493E-2</v>
      </c>
      <c r="CL51">
        <f>CK51/(1+r_)^A51</f>
        <v>1.0186256307462036E-2</v>
      </c>
      <c r="CM51">
        <f>AD51*c_PT_2</f>
        <v>12.661017619329545</v>
      </c>
      <c r="CN51">
        <f>AE51*(c_Other+c_PT_2)</f>
        <v>31.897572726162551</v>
      </c>
      <c r="CO51">
        <f>AF51*(c_Stroke1+c_Stroke2+c_PT_2)</f>
        <v>3.7760209392196171</v>
      </c>
      <c r="CP51">
        <f>AG51*(c_Stroke2 + c_PT_2)</f>
        <v>1.2269215159722326</v>
      </c>
      <c r="CQ51">
        <f>AH51*(c_MI1+c_MI2 + c_PT_2)</f>
        <v>2.7631738741111178</v>
      </c>
      <c r="CR51">
        <f>AI51*(c_MI2+c_PT_2)</f>
        <v>1.1764703491517723</v>
      </c>
      <c r="CS51">
        <f>AJ51*(c_Stroke1+c_Stroke2+c_MI2+c_PT_2)</f>
        <v>0.12271825417609206</v>
      </c>
      <c r="CT51">
        <f>AK51*(c_Stroke2+c_MI1+c_MI2+c_PT_2)</f>
        <v>9.7909301394199955E-2</v>
      </c>
      <c r="CU51">
        <f>AL51*(c_Stroke2+c_MI2+c_PT_2)</f>
        <v>-9.072848390362296E-3</v>
      </c>
      <c r="CV51">
        <f>AM51*(c_HF1+c_PT_2)</f>
        <v>2.0725090776071515</v>
      </c>
      <c r="CW51">
        <f>AN51*(c_HF2+c_PT_2)</f>
        <v>12.562212735471634</v>
      </c>
      <c r="CX51">
        <f>AO51*(c_Stroke2+c_HF1+c_PT_2)</f>
        <v>6.284519818834039E-2</v>
      </c>
      <c r="CY51">
        <f>AP51*(c_Stroke1+c_Stroke2+c_HF2+c_PT_2)</f>
        <v>0.3961216671709108</v>
      </c>
      <c r="CZ51">
        <f>AQ51*(c_Stroke2+c_HF2+c_PT_2)</f>
        <v>-2.2599644027245385E-2</v>
      </c>
      <c r="DA51">
        <f>AR51*(c_DM+c_PT_2)</f>
        <v>319.93984660971626</v>
      </c>
      <c r="DB51">
        <f>AS51*(c_Other+c_DM+c_PT_2)</f>
        <v>234.93292841548404</v>
      </c>
      <c r="DC51">
        <f>AT51*(c_Stroke1+c_Stroke2+c_DM+c_PT_2)</f>
        <v>27.998236552565704</v>
      </c>
      <c r="DD51">
        <f>AU51*(c_Stroke2+c_DM+c_PT_2)</f>
        <v>10.773497689886687</v>
      </c>
      <c r="DE51">
        <f>AV51*(c_MI1+c_MI2+c_DM+c_PT_2)</f>
        <v>20.359473951719718</v>
      </c>
      <c r="DF51">
        <f>AW51*(c_MI2+c_DM+c_PT_2)</f>
        <v>21.096998751214237</v>
      </c>
      <c r="DG51">
        <f>AX51*(c_Stroke1+c_Stroke2+c_MI2+c_DM+c_PT_2)</f>
        <v>1.4587427357390785</v>
      </c>
      <c r="DH51">
        <f>AY51*(c_Stroke2+c_MI1+c_MI2+c_DM+c_PT_2)</f>
        <v>0.94909720592559399</v>
      </c>
      <c r="DI51">
        <f>AZ51*(c_Stroke2+c_MI2+c_DM+c_PT_2)</f>
        <v>-0.31521823322542231</v>
      </c>
      <c r="DJ51">
        <f>BA51*(c_HF1+c_DM+c_PT_2)</f>
        <v>15.847157044969135</v>
      </c>
      <c r="DK51">
        <f>BB51*(c_HF2+c_DM+c_PT_2)</f>
        <v>106.18365377923161</v>
      </c>
      <c r="DL51">
        <f>BC51*(c_Stroke2+c_HF1+c_DM+c_PT_2)</f>
        <v>0.61606066357214384</v>
      </c>
      <c r="DM51">
        <f>BD51*(c_Stroke1+c_Stroke2+c_HF2+c_DM+c_PT_2)</f>
        <v>4.2618095168863048</v>
      </c>
      <c r="DN51">
        <f>BE51*(c_Stroke2+c_HF2+c_DM+c_PT_2)</f>
        <v>-0.79670354854115621</v>
      </c>
      <c r="DO51">
        <f t="shared" si="53"/>
        <v>0</v>
      </c>
      <c r="DP51">
        <f t="shared" si="54"/>
        <v>832.0894019006812</v>
      </c>
      <c r="DQ51">
        <f>DP51/(1+r_)^A51</f>
        <v>201.36463754229379</v>
      </c>
    </row>
    <row r="52" spans="1:121" x14ac:dyDescent="0.3">
      <c r="A52">
        <v>49</v>
      </c>
      <c r="B52">
        <v>94</v>
      </c>
      <c r="C52">
        <f t="shared" si="39"/>
        <v>34.542000000000002</v>
      </c>
      <c r="D52">
        <f t="shared" si="1"/>
        <v>125</v>
      </c>
      <c r="E52">
        <f t="shared" si="41"/>
        <v>5.7</v>
      </c>
      <c r="F52">
        <v>0.19406999999999999</v>
      </c>
      <c r="G52">
        <v>0.23441000000000001</v>
      </c>
      <c r="H52">
        <f t="shared" si="42"/>
        <v>0.20213799999999998</v>
      </c>
      <c r="I52">
        <f t="shared" si="43"/>
        <v>4.0096398347168494E-2</v>
      </c>
      <c r="J52">
        <f t="shared" si="21"/>
        <v>0.45113253478864035</v>
      </c>
      <c r="K52">
        <f t="shared" si="22"/>
        <v>0.5683552520399171</v>
      </c>
      <c r="L52">
        <f t="shared" si="23"/>
        <v>0.2472266945624475</v>
      </c>
      <c r="M52">
        <f t="shared" si="24"/>
        <v>0.32815469252575646</v>
      </c>
      <c r="N52">
        <f t="shared" si="25"/>
        <v>0.82246840892132844</v>
      </c>
      <c r="O52">
        <f t="shared" si="26"/>
        <v>0.91305696360321231</v>
      </c>
      <c r="P52">
        <f t="shared" si="27"/>
        <v>0.57270664759308709</v>
      </c>
      <c r="Q52">
        <f t="shared" si="28"/>
        <v>0.69923996859583726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3.698419385960753E-2</v>
      </c>
      <c r="U52">
        <f t="shared" si="29"/>
        <v>0.72898025476084738</v>
      </c>
      <c r="V52">
        <f t="shared" si="30"/>
        <v>0.83933447800561256</v>
      </c>
      <c r="W52">
        <f t="shared" si="31"/>
        <v>0.4610067870046124</v>
      </c>
      <c r="X52">
        <f t="shared" si="32"/>
        <v>0.57919129178622286</v>
      </c>
      <c r="Y52">
        <f t="shared" si="33"/>
        <v>0.94721289826607746</v>
      </c>
      <c r="Z52">
        <f t="shared" si="34"/>
        <v>0.98433443876930593</v>
      </c>
      <c r="AA52">
        <f t="shared" si="35"/>
        <v>0.76469882017037905</v>
      </c>
      <c r="AB52">
        <f t="shared" si="36"/>
        <v>0.87054708888059773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5.8210146777542771E-2</v>
      </c>
      <c r="AD52">
        <f t="shared" si="44"/>
        <v>6.4710019657351937E-3</v>
      </c>
      <c r="AE52">
        <f t="shared" si="45"/>
        <v>1.3992860817061722E-3</v>
      </c>
      <c r="AF52">
        <f t="shared" si="46"/>
        <v>1.1060987703145336E-4</v>
      </c>
      <c r="AG52">
        <f t="shared" si="47"/>
        <v>8.6457909777973676E-5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6.9277971755257324E-5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1.8228164287853715E-4</v>
      </c>
      <c r="AJ52">
        <f t="shared" si="48"/>
        <v>3.2027424158005711E-6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1.7973230178155133E-6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-1.0778857654671459E-6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5.5124047217613177E-5</v>
      </c>
      <c r="AN52">
        <f t="shared" si="49"/>
        <v>5.1016205451338912E-4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1.2103273121753518E-6</v>
      </c>
      <c r="AP52">
        <f>AM51*T51*p_Stroke*p_Stroke_rec*(1-I51) + AN51*T51*p_Stroke*p_Stroke_rec*(1-I51) + AO51*(p_recur_Stroke*p_Stroke_rec)*(1-I51) + AP51*(p_recur_Stroke*p_Stroke_rec)*(1-I51) + AQ51*(p_recur_Stroke*p_Stroke_rec)*(1-I51)</f>
        <v>7.0624545693251823E-6</v>
      </c>
      <c r="AQ52">
        <f>AO51*(1-p_recur_Stroke-H51*rr_Stroke*rr_HF)*(1-I51) + AP51*(1-p_recur_Stroke-H51*rr_Stroke*rr_HF)*(1-I51) + AQ51*(1-p_recur_Stroke-H51*rr_Stroke*rr_HF)*(1-I51)</f>
        <v>-1.6853221900218861E-6</v>
      </c>
      <c r="AR52">
        <f>AR51*(1-AC51-H51*rr_DM) + AD51*(1-T51-H51)*I51</f>
        <v>1.8424199793745415E-2</v>
      </c>
      <c r="AS52">
        <f>AR51*AC51*p_Other + AD51*T51*p_Other*I51 + AE51*(1-T51*p_Stroke-T51*p_MI-H51*rr_Other)*I51 + AS51*(1-AC51*p_Stroke-AC51*p_MI-H51*rr_Other*rr_DM)</f>
        <v>5.792636766411596E-3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5.5579381355310808E-4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2.7514072388715139E-4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3.6493181102090417E-4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9.0664465990826027E-4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2.6633226312527187E-5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1.2944443195486995E-5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-1.3507407828110751E-5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2.9529675487001715E-4</v>
      </c>
      <c r="BB52">
        <f>AM51*(1-T51*p_Stroke - H51*rr_HF)*I51 + AN51*(1-T51*p_Stroke - H51*rr_HF)*I51 + BA51*(1-AC51*p_Stroke - H51*rr_HF*rr_DM) + BB51*(1-AC51*p_Stroke - H51*rr_HF*rr_DM)</f>
        <v>2.504471512335365E-3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8.7146435240190577E-6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5.8215442961335578E-5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-2.3378217205448081E-5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0.90391655084333311</v>
      </c>
      <c r="BG52">
        <f t="shared" si="50"/>
        <v>0.94199999999999995</v>
      </c>
      <c r="BH52">
        <f>(0.9442 - 0.0007*$B52 - dis_BMI*($C52-21.75))*AD52</f>
        <v>5.4109638381210357E-3</v>
      </c>
      <c r="BI52">
        <f>0.959*(0.9442 - 0.0007*$B52 - dis_BMI*($C52-21.75))*AE52</f>
        <v>1.1220913675914785E-3</v>
      </c>
      <c r="BJ52">
        <f>(0.943*(0.9442 - 0.0007*$B52 - dis_BMI*($C52-21.75)) - 0.19*0.5)*AF52</f>
        <v>7.6710579493261308E-5</v>
      </c>
      <c r="BK52">
        <f>(0.943*(0.9442 - 0.0007*$B52 - dis_BMI*($C52-21.75)))*AG52</f>
        <v>6.8174117414028805E-5</v>
      </c>
      <c r="BL52">
        <f>(0.955*(0.9442 - 0.0007*$B52 - dis_BMI*($C52-21.75)) - 0.15*0.5)*AH52</f>
        <v>5.0126631518626151E-5</v>
      </c>
      <c r="BM52">
        <f>(0.955*(0.9442 - 0.0007*$B52 - dis_BMI*($C52-21.75)))*AI52</f>
        <v>1.4556246636117861E-4</v>
      </c>
      <c r="BN52">
        <f>(0.955*0.943*(0.9442 - 0.0007*$B52 - dis_BMI*($C52-21.75)) - 0.19*0.5)*AJ52</f>
        <v>2.1075332768676698E-6</v>
      </c>
      <c r="BO52">
        <f>(0.955*0.943*(0.9442 - 0.0007*$B52 - dis_BMI*($C52-21.75)) - 0.15*0.5)*AK52</f>
        <v>1.2186572680188034E-6</v>
      </c>
      <c r="BP52">
        <f>(0.955*0.943*(0.9442 - 0.0007*$B52 - dis_BMI*($C52-21.75)))*AL52</f>
        <v>-8.1169131813457337E-7</v>
      </c>
      <c r="BQ52">
        <f>(0.93*(0.9442 - 0.0007*$B52 - dis_BMI*($C52-21.75)))*AM52</f>
        <v>4.2867400094583171E-5</v>
      </c>
      <c r="BR52">
        <f>(0.93*(0.9442 - 0.0007*$B52 - dis_BMI*($C52-21.75)))*AN52</f>
        <v>3.9672923175554386E-4</v>
      </c>
      <c r="BS52">
        <f>(0.93*0.943*(0.9442 - 0.0007*$B52 - dis_BMI*($C52-21.75)))*AO52</f>
        <v>8.8756583112448506E-7</v>
      </c>
      <c r="BT52">
        <f>(0.93*0.943*(0.9442 - 0.0007*$B52 - dis_BMI*($C52-21.75))-0.19*0.5)*AP52</f>
        <v>4.5081562213540968E-6</v>
      </c>
      <c r="BU52">
        <f>(0.93*0.943*(0.9442 - 0.0007*$B52 - dis_BMI*($C52-21.75)))*AQ52</f>
        <v>-1.2358924526050823E-6</v>
      </c>
      <c r="BV52">
        <f>0.962*(0.9442 - 0.0007*$B52 - dis_BMI*($C52-21.75))*AR52</f>
        <v>1.482063481707304E-2</v>
      </c>
      <c r="BW52">
        <f>0.962*0.959*(0.9442 - 0.0007*$B52 - dis_BMI*($C52-21.75))*AS52</f>
        <v>4.4686164036837027E-3</v>
      </c>
      <c r="BX52">
        <f>0.962*(0.943*(0.9442 - 0.0007*$B52 - dis_BMI*($C52-21.75)) - 0.19*0.5)*AT52</f>
        <v>3.7080888730344652E-4</v>
      </c>
      <c r="BY52">
        <f>0.962*(0.943*(0.9442 - 0.0007*$B52 - dis_BMI*($C52-21.75)))*AU52</f>
        <v>2.0871071222294867E-4</v>
      </c>
      <c r="BZ52">
        <f>0.962*(0.955*(0.9442 - 0.0007*$B52 - dis_BMI*($C52-21.75)) - 0.15*0.5)*AV52</f>
        <v>2.54015460941327E-4</v>
      </c>
      <c r="CA52">
        <f>0.962*(0.955*(0.9442 - 0.0007*$B52 - dis_BMI*($C52-21.75)))*AW52</f>
        <v>6.9649603963289973E-4</v>
      </c>
      <c r="CB52">
        <f>0.962*(0.955*0.943*(0.9442 - 0.0007*$B52 - dis_BMI*($C52-21.75)) - 0.19*0.5)*AX52</f>
        <v>1.6859755829907816E-5</v>
      </c>
      <c r="CC52">
        <f>0.962*(0.955*0.943*(0.9442 - 0.0007*$B52 - dis_BMI*($C52-21.75)) - 0.15*0.5)*AY52</f>
        <v>8.4433325109344684E-6</v>
      </c>
      <c r="CD52">
        <f>0.962*(0.955*0.943*(0.9442 - 0.0007*$B52 - dis_BMI*($C52-21.75)))*AZ52</f>
        <v>-9.7850995599291015E-6</v>
      </c>
      <c r="CE52">
        <f>0.962*(0.93*(0.9442 - 0.0007*$B52 - dis_BMI*($C52-21.75)))*BA52</f>
        <v>2.2091224783153435E-4</v>
      </c>
      <c r="CF52">
        <f>0.962*(0.93*(0.9442 - 0.0007*$B52 - dis_BMI*($C52-21.75)))*BB52</f>
        <v>1.8736014612269743E-3</v>
      </c>
      <c r="CG52">
        <f>0.962*(0.93*0.943*(0.9442 - 0.0007*$B52 - dis_BMI*($C52-21.75)))*BC52</f>
        <v>6.1478383526903895E-6</v>
      </c>
      <c r="CH52">
        <f>0.962*(0.93*0.943*(0.9442 - 0.0007*$B52 - dis_BMI*($C52-21.75))-0.19*0.5)*BD52</f>
        <v>3.5748396687708829E-5</v>
      </c>
      <c r="CI52">
        <f>0.962*(0.93*0.943*(0.9442 - 0.0007*$B52 - dis_BMI*($C52-21.75)))*BE52</f>
        <v>-1.6492413023785522E-5</v>
      </c>
      <c r="CJ52">
        <f t="shared" si="51"/>
        <v>0</v>
      </c>
      <c r="CK52">
        <f t="shared" si="52"/>
        <v>3.0274617801889763E-2</v>
      </c>
      <c r="CL52">
        <f>CK52/(1+r_)^A52</f>
        <v>7.1130302982961736E-3</v>
      </c>
      <c r="CM52">
        <f>AD52*c_PT_2</f>
        <v>9.4800178798020589</v>
      </c>
      <c r="CN52">
        <f>AE52*(c_Other+c_PT_2)</f>
        <v>22.030360070381974</v>
      </c>
      <c r="CO52">
        <f>AF52*(c_Stroke1+c_Stroke2+c_PT_2)</f>
        <v>2.7963283012321725</v>
      </c>
      <c r="CP52">
        <f>AG52*(c_Stroke2 + c_PT_2)</f>
        <v>0.68863725138156029</v>
      </c>
      <c r="CQ52">
        <f>AH52*(c_MI1+c_MI2 + c_PT_2)</f>
        <v>2.1210143832589581</v>
      </c>
      <c r="CR52">
        <f>AI52*(c_MI2+c_PT_2)</f>
        <v>0.83521448766945716</v>
      </c>
      <c r="CS52">
        <f>AJ52*(c_Stroke1+c_Stroke2+c_MI2+c_PT_2)</f>
        <v>9.0951479123904624E-2</v>
      </c>
      <c r="CT52">
        <f>AK52*(c_Stroke2+c_MI1+c_MI2+c_PT_2)</f>
        <v>6.6709441129240585E-2</v>
      </c>
      <c r="CU52">
        <f>AL52*(c_Stroke2+c_MI2+c_PT_2)</f>
        <v>-1.1945130052906911E-2</v>
      </c>
      <c r="CV52">
        <f>AM52*(c_HF1+c_PT_2)</f>
        <v>1.5707597254658874</v>
      </c>
      <c r="CW52">
        <f>AN52*(c_HF2+c_PT_2)</f>
        <v>8.7084662705435516</v>
      </c>
      <c r="CX52">
        <f>AO52*(c_Stroke2+c_HF1+c_PT_2)</f>
        <v>4.2355404289576432E-2</v>
      </c>
      <c r="CY52">
        <f>AP52*(c_Stroke1+c_Stroke2+c_HF2+c_PT_2)</f>
        <v>0.28875551752142942</v>
      </c>
      <c r="CZ52">
        <f>AQ52*(c_Stroke2+c_HF2+c_PT_2)</f>
        <v>-3.9723044018815858E-2</v>
      </c>
      <c r="DA52">
        <f>AR52*(c_DM+c_PT_2)</f>
        <v>237.4879353413784</v>
      </c>
      <c r="DB52">
        <f>AS52*(c_Other+c_DM+c_PT_2)</f>
        <v>157.38014830663664</v>
      </c>
      <c r="DC52">
        <f>AT52*(c_Stroke1+c_Stroke2+c_DM+c_PT_2)</f>
        <v>20.400967720280384</v>
      </c>
      <c r="DD52">
        <f>AU52*(c_Stroke2+c_DM+c_PT_2)</f>
        <v>5.3349786361718659</v>
      </c>
      <c r="DE52">
        <f>AV52*(c_MI1+c_MI2+c_DM+c_PT_2)</f>
        <v>15.342098267129833</v>
      </c>
      <c r="DF52">
        <f>AW52*(c_MI2+c_DM+c_PT_2)</f>
        <v>14.512661071151522</v>
      </c>
      <c r="DG52">
        <f>AX52*(c_Stroke1+c_Stroke2+c_MI2+c_DM+c_PT_2)</f>
        <v>1.0606149714437703</v>
      </c>
      <c r="DH52">
        <f>AY52*(c_Stroke2+c_MI1+c_MI2+c_DM+c_PT_2)</f>
        <v>0.62833621715213428</v>
      </c>
      <c r="DI52">
        <f>AZ52*(c_Stroke2+c_MI2+c_DM+c_PT_2)</f>
        <v>-0.30401122798728869</v>
      </c>
      <c r="DJ52">
        <f>BA52*(c_HF1+c_DM+c_PT_2)</f>
        <v>11.788246454411084</v>
      </c>
      <c r="DK52">
        <f>BB52*(c_HF2+c_DM+c_PT_2)</f>
        <v>71.364915743996221</v>
      </c>
      <c r="DL52">
        <f>BC52*(c_Stroke2+c_HF1+c_DM+c_PT_2)</f>
        <v>0.40453375238496464</v>
      </c>
      <c r="DM52">
        <f>BD52*(c_Stroke1+c_Stroke2+c_HF2+c_DM+c_PT_2)</f>
        <v>3.0453080367504253</v>
      </c>
      <c r="DN52">
        <f>BE52*(c_Stroke2+c_HF2+c_DM+c_PT_2)</f>
        <v>-0.81812071110465556</v>
      </c>
      <c r="DO52">
        <f t="shared" si="53"/>
        <v>0</v>
      </c>
      <c r="DP52">
        <f t="shared" si="54"/>
        <v>586.29651461752326</v>
      </c>
      <c r="DQ52">
        <f>DP52/(1+r_)^A52</f>
        <v>137.75053741552347</v>
      </c>
    </row>
    <row r="53" spans="1:121" x14ac:dyDescent="0.3">
      <c r="A53">
        <v>50</v>
      </c>
      <c r="B53">
        <v>95</v>
      </c>
      <c r="C53">
        <f t="shared" si="39"/>
        <v>34.542000000000002</v>
      </c>
      <c r="D53">
        <f t="shared" si="1"/>
        <v>125</v>
      </c>
      <c r="E53">
        <f t="shared" si="41"/>
        <v>5.7</v>
      </c>
      <c r="F53">
        <v>0.21340000000000001</v>
      </c>
      <c r="G53">
        <v>0.25403999999999999</v>
      </c>
      <c r="H53">
        <f t="shared" si="42"/>
        <v>0.221528</v>
      </c>
      <c r="I53">
        <f t="shared" si="43"/>
        <v>4.0096398347168494E-2</v>
      </c>
      <c r="J53">
        <f t="shared" si="21"/>
        <v>0.46066762498007308</v>
      </c>
      <c r="K53">
        <f t="shared" si="22"/>
        <v>0.57882040292003256</v>
      </c>
      <c r="L53">
        <f t="shared" si="23"/>
        <v>0.25344609312146271</v>
      </c>
      <c r="M53">
        <f t="shared" si="24"/>
        <v>0.33591561980615858</v>
      </c>
      <c r="N53">
        <f t="shared" si="25"/>
        <v>0.8324542725439813</v>
      </c>
      <c r="O53">
        <f t="shared" si="26"/>
        <v>0.9198858869050992</v>
      </c>
      <c r="P53">
        <f t="shared" si="27"/>
        <v>0.58470290394063706</v>
      </c>
      <c r="Q53">
        <f t="shared" si="28"/>
        <v>0.71110146101608807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3.7761421140088375E-2</v>
      </c>
      <c r="U53">
        <f t="shared" si="29"/>
        <v>0.7391222404363964</v>
      </c>
      <c r="V53">
        <f t="shared" si="30"/>
        <v>0.84769115569350562</v>
      </c>
      <c r="W53">
        <f t="shared" si="31"/>
        <v>0.47065114683528697</v>
      </c>
      <c r="X53">
        <f t="shared" si="32"/>
        <v>0.58969858255218899</v>
      </c>
      <c r="Y53">
        <f t="shared" si="33"/>
        <v>0.9521651546911738</v>
      </c>
      <c r="Z53">
        <f t="shared" si="34"/>
        <v>0.98637007625540141</v>
      </c>
      <c r="AA53">
        <f t="shared" si="35"/>
        <v>0.77582903926878022</v>
      </c>
      <c r="AB53">
        <f t="shared" si="36"/>
        <v>0.87911405211584703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5.9132393219666242E-2</v>
      </c>
      <c r="AD53">
        <f t="shared" si="44"/>
        <v>4.7262214771204439E-3</v>
      </c>
      <c r="AE53">
        <f t="shared" si="45"/>
        <v>9.3131159179840107E-4</v>
      </c>
      <c r="AF53">
        <f t="shared" si="46"/>
        <v>8.0006064629183088E-5</v>
      </c>
      <c r="AG53">
        <f t="shared" si="47"/>
        <v>4.524314176837498E-5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5.1744206991737699E-5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1.2508676957148353E-4</v>
      </c>
      <c r="AJ53">
        <f t="shared" si="48"/>
        <v>2.3053791790347999E-6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1.1854235225526135E-6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-1.030657607402293E-6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4.0586929626852948E-5</v>
      </c>
      <c r="AN53">
        <f t="shared" si="49"/>
        <v>3.3837927811252697E-4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7.8845312671061539E-7</v>
      </c>
      <c r="AP53">
        <f>AM52*T52*p_Stroke*p_Stroke_rec*(1-I52) + AN52*T52*p_Stroke*p_Stroke_rec*(1-I52) + AO52*(p_recur_Stroke*p_Stroke_rec)*(1-I52) + AP52*(p_recur_Stroke*p_Stroke_rec)*(1-I52) + AQ52*(p_recur_Stroke*p_Stroke_rec)*(1-I52)</f>
        <v>4.944562181475504E-6</v>
      </c>
      <c r="AQ53">
        <f>AO52*(1-p_recur_Stroke-H52*rr_Stroke*rr_HF)*(1-I52) + AP52*(1-p_recur_Stroke-H52*rr_Stroke*rr_HF)*(1-I52) + AQ52*(1-p_recur_Stroke-H52*rr_Stroke*rr_HF)*(1-I52)</f>
        <v>-1.716778854425605E-6</v>
      </c>
      <c r="AR53">
        <f>AR52*(1-AC52-H52*rr_DM) + AD52*(1-T52-H52)*I52</f>
        <v>1.3266279188996713E-2</v>
      </c>
      <c r="AS53">
        <f>AR52*AC52*p_Other + AD52*T52*p_Other*I52 + AE52*(1-T52*p_Stroke-T52*p_MI-H52*rr_Other)*I52 + AS52*(1-AC52*p_Stroke-AC52*p_MI-H52*rr_Other*rr_DM)</f>
        <v>3.7112219461245865E-3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3.9336237156095932E-4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1.1788669382548448E-4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2.6579778510295662E-4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5.9679663940623252E-4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1.863680249686601E-5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8.2470781595571506E-6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-1.1089054474886609E-5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2.117873527417698E-4</v>
      </c>
      <c r="BB53">
        <f>AM52*(1-T52*p_Stroke - H52*rr_HF)*I52 + AN52*(1-T52*p_Stroke - H52*rr_HF)*I52 + BA52*(1-AC52*p_Stroke - H52*rr_HF*rr_DM) + BB52*(1-AC52*p_Stroke - H52*rr_HF*rr_DM)</f>
        <v>1.5919070745533468E-3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5.4881054492400413E-6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3.9500160488480481E-5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-1.941850765770174E-5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0.91545854052205944</v>
      </c>
      <c r="BG53">
        <f t="shared" si="50"/>
        <v>0.94199999999999995</v>
      </c>
      <c r="BH53">
        <f>(0.9442 - 0.0007*$B53 - dis_BMI*($C53-21.75))*AD53</f>
        <v>3.9486937675220421E-3</v>
      </c>
      <c r="BI53">
        <f>0.959*(0.9442 - 0.0007*$B53 - dis_BMI*($C53-21.75))*AE53</f>
        <v>7.4619614417640917E-4</v>
      </c>
      <c r="BJ53">
        <f>(0.943*(0.9442 - 0.0007*$B53 - dis_BMI*($C53-21.75)) - 0.19*0.5)*AF53</f>
        <v>5.5433295977264523E-5</v>
      </c>
      <c r="BK53">
        <f>(0.943*(0.9442 - 0.0007*$B53 - dis_BMI*($C53-21.75)))*AG53</f>
        <v>3.5645427951226541E-5</v>
      </c>
      <c r="BL53">
        <f>(0.955*(0.9442 - 0.0007*$B53 - dis_BMI*($C53-21.75)) - 0.15*0.5)*AH53</f>
        <v>3.740534454108426E-5</v>
      </c>
      <c r="BM53">
        <f>(0.955*(0.9442 - 0.0007*$B53 - dis_BMI*($C53-21.75)))*AI53</f>
        <v>9.9805421531047437E-5</v>
      </c>
      <c r="BN53">
        <f>(0.955*0.943*(0.9442 - 0.0007*$B53 - dis_BMI*($C53-21.75)) - 0.19*0.5)*AJ53</f>
        <v>1.5155788876430341E-6</v>
      </c>
      <c r="BO53">
        <f>(0.955*0.943*(0.9442 - 0.0007*$B53 - dis_BMI*($C53-21.75)) - 0.15*0.5)*AK53</f>
        <v>8.0301752296377877E-7</v>
      </c>
      <c r="BP53">
        <f>(0.955*0.943*(0.9442 - 0.0007*$B53 - dis_BMI*($C53-21.75)))*AL53</f>
        <v>-7.7547689437097286E-7</v>
      </c>
      <c r="BQ53">
        <f>(0.93*(0.9442 - 0.0007*$B53 - dis_BMI*($C53-21.75)))*AM53</f>
        <v>3.1536139780523227E-5</v>
      </c>
      <c r="BR53">
        <f>(0.93*(0.9442 - 0.0007*$B53 - dis_BMI*($C53-21.75)))*AN53</f>
        <v>2.6292149496149562E-4</v>
      </c>
      <c r="BS53">
        <f>(0.93*0.943*(0.9442 - 0.0007*$B53 - dis_BMI*($C53-21.75)))*AO53</f>
        <v>5.7771002766383586E-7</v>
      </c>
      <c r="BT53">
        <f>(0.93*0.943*(0.9442 - 0.0007*$B53 - dis_BMI*($C53-21.75))-0.19*0.5)*AP53</f>
        <v>3.1532126600333921E-6</v>
      </c>
      <c r="BU53">
        <f>(0.93*0.943*(0.9442 - 0.0007*$B53 - dis_BMI*($C53-21.75)))*AQ53</f>
        <v>-1.2579065589106649E-6</v>
      </c>
      <c r="BV53">
        <f>0.962*(0.9442 - 0.0007*$B53 - dis_BMI*($C53-21.75))*AR53</f>
        <v>1.0662611599051412E-2</v>
      </c>
      <c r="BW53">
        <f>0.962*0.959*(0.9442 - 0.0007*$B53 - dis_BMI*($C53-21.75))*AS53</f>
        <v>2.8605529541344318E-3</v>
      </c>
      <c r="BX53">
        <f>0.962*(0.943*(0.9442 - 0.0007*$B53 - dis_BMI*($C53-21.75)) - 0.19*0.5)*AT53</f>
        <v>2.621897315041999E-4</v>
      </c>
      <c r="BY53">
        <f>0.962*(0.943*(0.9442 - 0.0007*$B53 - dis_BMI*($C53-21.75)))*AU53</f>
        <v>8.934925538805146E-5</v>
      </c>
      <c r="BZ53">
        <f>0.962*(0.955*(0.9442 - 0.0007*$B53 - dis_BMI*($C53-21.75)) - 0.15*0.5)*AV53</f>
        <v>1.8484101877953442E-4</v>
      </c>
      <c r="CA53">
        <f>0.962*(0.955*(0.9442 - 0.0007*$B53 - dis_BMI*($C53-21.75)))*AW53</f>
        <v>4.5808302376267387E-4</v>
      </c>
      <c r="CB53">
        <f>0.962*(0.955*0.943*(0.9442 - 0.0007*$B53 - dis_BMI*($C53-21.75)) - 0.19*0.5)*AX53</f>
        <v>1.1786440147211401E-5</v>
      </c>
      <c r="CC53">
        <f>0.962*(0.955*0.943*(0.9442 - 0.0007*$B53 - dis_BMI*($C53-21.75)) - 0.15*0.5)*AY53</f>
        <v>5.3743588849943719E-6</v>
      </c>
      <c r="CD53">
        <f>0.962*(0.955*0.943*(0.9442 - 0.0007*$B53 - dis_BMI*($C53-21.75)))*AZ53</f>
        <v>-8.0264598604861256E-6</v>
      </c>
      <c r="CE53">
        <f>0.962*(0.93*(0.9442 - 0.0007*$B53 - dis_BMI*($C53-21.75)))*BA53</f>
        <v>1.5830601889844887E-4</v>
      </c>
      <c r="CF53">
        <f>0.962*(0.93*(0.9442 - 0.0007*$B53 - dis_BMI*($C53-21.75)))*BB53</f>
        <v>1.1899127505318413E-3</v>
      </c>
      <c r="CG53">
        <f>0.962*(0.93*0.943*(0.9442 - 0.0007*$B53 - dis_BMI*($C53-21.75)))*BC53</f>
        <v>3.8684015227295464E-6</v>
      </c>
      <c r="CH53">
        <f>0.962*(0.93*0.943*(0.9442 - 0.0007*$B53 - dis_BMI*($C53-21.75))-0.19*0.5)*BD53</f>
        <v>2.4232563024841634E-5</v>
      </c>
      <c r="CI53">
        <f>0.962*(0.93*0.943*(0.9442 - 0.0007*$B53 - dis_BMI*($C53-21.75)))*BE53</f>
        <v>-1.3687525738520699E-5</v>
      </c>
      <c r="CJ53">
        <f t="shared" si="51"/>
        <v>0</v>
      </c>
      <c r="CK53">
        <f t="shared" si="52"/>
        <v>2.1111047302117474E-2</v>
      </c>
      <c r="CL53">
        <f>CK53/(1+r_)^A53</f>
        <v>4.8155793513893815E-3</v>
      </c>
      <c r="CM53">
        <f>AD53*c_PT_2</f>
        <v>6.9239144639814505</v>
      </c>
      <c r="CN53">
        <f>AE53*(c_Other+c_PT_2)</f>
        <v>14.662569701274027</v>
      </c>
      <c r="CO53">
        <f>AF53*(c_Stroke1+c_Stroke2+c_PT_2)</f>
        <v>2.0226333198903776</v>
      </c>
      <c r="CP53">
        <f>AG53*(c_Stroke2 + c_PT_2)</f>
        <v>0.3603616241851067</v>
      </c>
      <c r="CQ53">
        <f>AH53*(c_MI1+c_MI2 + c_PT_2)</f>
        <v>1.5842006412590415</v>
      </c>
      <c r="CR53">
        <f>AI53*(c_MI2+c_PT_2)</f>
        <v>0.5731475781765375</v>
      </c>
      <c r="CS53">
        <f>AJ53*(c_Stroke1+c_Stroke2+c_MI2+c_PT_2)</f>
        <v>6.5468157926230244E-2</v>
      </c>
      <c r="CT53">
        <f>AK53*(c_Stroke2+c_MI1+c_MI2+c_PT_2)</f>
        <v>4.3998179463062802E-2</v>
      </c>
      <c r="CU53">
        <f>AL53*(c_Stroke2+c_MI2+c_PT_2)</f>
        <v>-1.1421747605232211E-2</v>
      </c>
      <c r="CV53">
        <f>AM53*(c_HF1+c_PT_2)</f>
        <v>1.1565245597171747</v>
      </c>
      <c r="CW53">
        <f>AN53*(c_HF2+c_PT_2)</f>
        <v>5.7761342773808355</v>
      </c>
      <c r="CX53">
        <f>AO53*(c_Stroke2+c_HF1+c_PT_2)</f>
        <v>2.7591917169237985E-2</v>
      </c>
      <c r="CY53">
        <f>AP53*(c_Stroke1+c_Stroke2+c_HF2+c_PT_2)</f>
        <v>0.20216336935180745</v>
      </c>
      <c r="CZ53">
        <f>AQ53*(c_Stroke2+c_HF2+c_PT_2)</f>
        <v>-4.0464477598811513E-2</v>
      </c>
      <c r="DA53">
        <f>AR53*(c_DM+c_PT_2)</f>
        <v>171.00233874616762</v>
      </c>
      <c r="DB53">
        <f>AS53*(c_Other+c_DM+c_PT_2)</f>
        <v>100.83018905425889</v>
      </c>
      <c r="DC53">
        <f>AT53*(c_Stroke1+c_Stroke2+c_DM+c_PT_2)</f>
        <v>14.438759210516572</v>
      </c>
      <c r="DD53">
        <f>AU53*(c_Stroke2+c_DM+c_PT_2)</f>
        <v>2.285822993276144</v>
      </c>
      <c r="DE53">
        <f>AV53*(c_MI1+c_MI2+c_DM+c_PT_2)</f>
        <v>11.1744046835134</v>
      </c>
      <c r="DF53">
        <f>AW53*(c_MI2+c_DM+c_PT_2)</f>
        <v>9.5529238069755635</v>
      </c>
      <c r="DG53">
        <f>AX53*(c_Stroke1+c_Stroke2+c_MI2+c_DM+c_PT_2)</f>
        <v>0.7421733858326951</v>
      </c>
      <c r="DH53">
        <f>AY53*(c_Stroke2+c_MI1+c_MI2+c_DM+c_PT_2)</f>
        <v>0.40032142094306367</v>
      </c>
      <c r="DI53">
        <f>AZ53*(c_Stroke2+c_MI2+c_DM+c_PT_2)</f>
        <v>-0.24958134906627291</v>
      </c>
      <c r="DJ53">
        <f>BA53*(c_HF1+c_DM+c_PT_2)</f>
        <v>8.4545511214514502</v>
      </c>
      <c r="DK53">
        <f>BB53*(c_HF2+c_DM+c_PT_2)</f>
        <v>45.361392089397619</v>
      </c>
      <c r="DL53">
        <f>BC53*(c_Stroke2+c_HF1+c_DM+c_PT_2)</f>
        <v>0.25475785495372272</v>
      </c>
      <c r="DM53">
        <f>BD53*(c_Stroke1+c_Stroke2+c_HF2+c_DM+c_PT_2)</f>
        <v>2.0662928953129023</v>
      </c>
      <c r="DN53">
        <f>BE53*(c_Stroke2+c_HF2+c_DM+c_PT_2)</f>
        <v>-0.67955067548127235</v>
      </c>
      <c r="DO53">
        <f t="shared" si="53"/>
        <v>0</v>
      </c>
      <c r="DP53">
        <f t="shared" si="54"/>
        <v>398.98161680262297</v>
      </c>
      <c r="DQ53">
        <f>DP53/(1+r_)^A53</f>
        <v>91.010531498640958</v>
      </c>
    </row>
    <row r="54" spans="1:121" x14ac:dyDescent="0.3">
      <c r="A54">
        <v>51</v>
      </c>
      <c r="B54">
        <v>96</v>
      </c>
      <c r="C54">
        <f t="shared" si="39"/>
        <v>34.542000000000002</v>
      </c>
      <c r="D54">
        <f t="shared" si="1"/>
        <v>125</v>
      </c>
      <c r="E54">
        <f t="shared" si="41"/>
        <v>5.7</v>
      </c>
      <c r="F54">
        <v>0.23330999999999999</v>
      </c>
      <c r="G54">
        <v>0.27490999999999999</v>
      </c>
      <c r="H54">
        <f t="shared" si="42"/>
        <v>0.24162999999999998</v>
      </c>
      <c r="I54">
        <f t="shared" si="43"/>
        <v>4.0096398347168494E-2</v>
      </c>
      <c r="J54">
        <f t="shared" si="21"/>
        <v>0.4702068341068153</v>
      </c>
      <c r="K54">
        <f t="shared" si="22"/>
        <v>0.58921618708867363</v>
      </c>
      <c r="L54">
        <f t="shared" si="23"/>
        <v>0.25972639312732493</v>
      </c>
      <c r="M54">
        <f t="shared" si="24"/>
        <v>0.34372631129805475</v>
      </c>
      <c r="N54">
        <f t="shared" si="25"/>
        <v>0.84208419907253507</v>
      </c>
      <c r="O54">
        <f t="shared" si="26"/>
        <v>0.92631412673742164</v>
      </c>
      <c r="P54">
        <f t="shared" si="27"/>
        <v>0.59662080289709296</v>
      </c>
      <c r="Q54">
        <f t="shared" si="28"/>
        <v>0.72274617942118402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3.8538434640824355E-2</v>
      </c>
      <c r="U54">
        <f t="shared" si="29"/>
        <v>0.74905972821073763</v>
      </c>
      <c r="V54">
        <f t="shared" si="30"/>
        <v>0.8557541039509402</v>
      </c>
      <c r="W54">
        <f t="shared" si="31"/>
        <v>0.48029451071393059</v>
      </c>
      <c r="X54">
        <f t="shared" si="32"/>
        <v>0.60012840756269781</v>
      </c>
      <c r="Y54">
        <f t="shared" si="33"/>
        <v>0.95674874880948113</v>
      </c>
      <c r="Z54">
        <f t="shared" si="34"/>
        <v>0.98817826448237711</v>
      </c>
      <c r="AA54">
        <f t="shared" si="35"/>
        <v>0.78666540979397959</v>
      </c>
      <c r="AB54">
        <f t="shared" si="36"/>
        <v>0.88728777620950061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6.0043189004446378E-2</v>
      </c>
      <c r="AD54">
        <f t="shared" si="44"/>
        <v>3.3603942885981515E-3</v>
      </c>
      <c r="AE54">
        <f t="shared" si="45"/>
        <v>5.9672597672583475E-4</v>
      </c>
      <c r="AF54">
        <f t="shared" si="46"/>
        <v>5.6665983002697749E-5</v>
      </c>
      <c r="AG54">
        <f t="shared" si="47"/>
        <v>2.1437687318046785E-5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3.7616019172981318E-5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8.2697772264184795E-5</v>
      </c>
      <c r="AJ54">
        <f t="shared" si="48"/>
        <v>1.6169917183757268E-6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7.6530194999050601E-7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-8.7291644463325885E-7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2.9041054594907525E-5</v>
      </c>
      <c r="AN54">
        <f t="shared" si="49"/>
        <v>2.1394607801543709E-4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5.0349213809375902E-7</v>
      </c>
      <c r="AP54">
        <f>AM53*T53*p_Stroke*p_Stroke_rec*(1-I53) + AN53*T53*p_Stroke*p_Stroke_rec*(1-I53) + AO53*(p_recur_Stroke*p_Stroke_rec)*(1-I53) + AP53*(p_recur_Stroke*p_Stroke_rec)*(1-I53) + AQ53*(p_recur_Stroke*p_Stroke_rec)*(1-I53)</f>
        <v>3.3322597845453923E-6</v>
      </c>
      <c r="AQ54">
        <f>AO53*(1-p_recur_Stroke-H53*rr_Stroke*rr_HF)*(1-I53) + AP53*(1-p_recur_Stroke-H53*rr_Stroke*rr_HF)*(1-I53) + AQ53*(1-p_recur_Stroke-H53*rr_Stroke*rr_HF)*(1-I53)</f>
        <v>-1.4725182695467352E-6</v>
      </c>
      <c r="AR54">
        <f>AR53*(1-AC53-H53*rr_DM) + AD53*(1-T53-H53)*I53</f>
        <v>9.2425001683638913E-3</v>
      </c>
      <c r="AS54">
        <f>AR53*AC53*p_Other + AD53*T53*p_Other*I53 + AE53*(1-T53*p_Stroke-T53*p_MI-H53*rr_Other)*I53 + AS53*(1-AC53*p_Stroke-AC53*p_MI-H53*rr_Other*rr_DM)</f>
        <v>2.2724756943600056E-3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2.7123843700733422E-4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3.6478842673039676E-5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1.8724829003225968E-4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3.7418296073605818E-4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1.2604431521060262E-5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5.1314554926124555E-6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-8.4705249962836917E-6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1.4654186532371441E-4</v>
      </c>
      <c r="BB54">
        <f>AM53*(1-T53*p_Stroke - H53*rr_HF)*I53 + AN53*(1-T53*p_Stroke - H53*rr_HF)*I53 + BA53*(1-AC53*p_Stroke - H53*rr_HF*rr_DM) + BB53*(1-AC53*p_Stroke - H53*rr_HF*rr_DM)</f>
        <v>9.5180263296113096E-4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3.3807261078559895E-6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2.5530666192331173E-5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-1.4668229945997963E-5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0.92409162511360188</v>
      </c>
      <c r="BG54">
        <f t="shared" si="50"/>
        <v>0.94199999999999995</v>
      </c>
      <c r="BH54">
        <f>(0.9442 - 0.0007*$B54 - dis_BMI*($C54-21.75))*AD54</f>
        <v>2.8052114507594122E-3</v>
      </c>
      <c r="BI54">
        <f>0.959*(0.9442 - 0.0007*$B54 - dis_BMI*($C54-21.75))*AE54</f>
        <v>4.7771504197164819E-4</v>
      </c>
      <c r="BJ54">
        <f>(0.943*(0.9442 - 0.0007*$B54 - dis_BMI*($C54-21.75)) - 0.19*0.5)*AF54</f>
        <v>3.9224396026689811E-5</v>
      </c>
      <c r="BK54">
        <f>(0.943*(0.9442 - 0.0007*$B54 - dis_BMI*($C54-21.75)))*AG54</f>
        <v>1.6875824100786127E-5</v>
      </c>
      <c r="BL54">
        <f>(0.955*(0.9442 - 0.0007*$B54 - dis_BMI*($C54-21.75)) - 0.15*0.5)*AH54</f>
        <v>2.7167079434521971E-5</v>
      </c>
      <c r="BM54">
        <f>(0.955*(0.9442 - 0.0007*$B54 - dis_BMI*($C54-21.75)))*AI54</f>
        <v>6.5928401694598926E-5</v>
      </c>
      <c r="BN54">
        <f>(0.955*0.943*(0.9442 - 0.0007*$B54 - dis_BMI*($C54-21.75)) - 0.19*0.5)*AJ54</f>
        <v>1.0620068737486323E-6</v>
      </c>
      <c r="BO54">
        <f>(0.955*0.943*(0.9442 - 0.0007*$B54 - dis_BMI*($C54-21.75)) - 0.15*0.5)*AK54</f>
        <v>5.1794060548946748E-7</v>
      </c>
      <c r="BP54">
        <f>(0.955*0.943*(0.9442 - 0.0007*$B54 - dis_BMI*($C54-21.75)))*AL54</f>
        <v>-6.5624061349319637E-7</v>
      </c>
      <c r="BQ54">
        <f>(0.93*(0.9442 - 0.0007*$B54 - dis_BMI*($C54-21.75)))*AM54</f>
        <v>2.2546061998262271E-5</v>
      </c>
      <c r="BR54">
        <f>(0.93*(0.9442 - 0.0007*$B54 - dis_BMI*($C54-21.75)))*AN54</f>
        <v>1.6609732692238208E-4</v>
      </c>
      <c r="BS54">
        <f>(0.93*0.943*(0.9442 - 0.0007*$B54 - dis_BMI*($C54-21.75)))*AO54</f>
        <v>3.686062544090243E-7</v>
      </c>
      <c r="BT54">
        <f>(0.93*0.943*(0.9442 - 0.0007*$B54 - dis_BMI*($C54-21.75))-0.19*0.5)*AP54</f>
        <v>2.1229804592452505E-6</v>
      </c>
      <c r="BU54">
        <f>(0.93*0.943*(0.9442 - 0.0007*$B54 - dis_BMI*($C54-21.75)))*AQ54</f>
        <v>-1.0780296310910917E-6</v>
      </c>
      <c r="BV54">
        <f>0.962*(0.9442 - 0.0007*$B54 - dis_BMI*($C54-21.75))*AR54</f>
        <v>7.4223239317310671E-3</v>
      </c>
      <c r="BW54">
        <f>0.962*0.959*(0.9442 - 0.0007*$B54 - dis_BMI*($C54-21.75))*AS54</f>
        <v>1.750121867018293E-3</v>
      </c>
      <c r="BX54">
        <f>0.962*(0.943*(0.9442 - 0.0007*$B54 - dis_BMI*($C54-21.75)) - 0.19*0.5)*AT54</f>
        <v>1.8061763162666752E-4</v>
      </c>
      <c r="BY54">
        <f>0.962*(0.943*(0.9442 - 0.0007*$B54 - dis_BMI*($C54-21.75)))*AU54</f>
        <v>2.7625056907262899E-5</v>
      </c>
      <c r="BZ54">
        <f>0.962*(0.955*(0.9442 - 0.0007*$B54 - dis_BMI*($C54-21.75)) - 0.15*0.5)*AV54</f>
        <v>1.3009573284051811E-4</v>
      </c>
      <c r="CA54">
        <f>0.962*(0.955*(0.9442 - 0.0007*$B54 - dis_BMI*($C54-21.75)))*AW54</f>
        <v>2.8697087092317261E-4</v>
      </c>
      <c r="CB54">
        <f>0.962*(0.955*0.943*(0.9442 - 0.0007*$B54 - dis_BMI*($C54-21.75)) - 0.19*0.5)*AX54</f>
        <v>7.9637545684049396E-6</v>
      </c>
      <c r="CC54">
        <f>0.962*(0.955*0.943*(0.9442 - 0.0007*$B54 - dis_BMI*($C54-21.75)) - 0.15*0.5)*AY54</f>
        <v>3.3408946320494816E-6</v>
      </c>
      <c r="CD54">
        <f>0.962*(0.955*0.943*(0.9442 - 0.0007*$B54 - dis_BMI*($C54-21.75)))*AZ54</f>
        <v>-6.125983600470294E-6</v>
      </c>
      <c r="CE54">
        <f>0.962*(0.93*(0.9442 - 0.0007*$B54 - dis_BMI*($C54-21.75)))*BA54</f>
        <v>1.0944479220845822E-4</v>
      </c>
      <c r="CF54">
        <f>0.962*(0.93*(0.9442 - 0.0007*$B54 - dis_BMI*($C54-21.75)))*BB54</f>
        <v>7.1085379702094545E-4</v>
      </c>
      <c r="CG54">
        <f>0.962*(0.93*0.943*(0.9442 - 0.0007*$B54 - dis_BMI*($C54-21.75)))*BC54</f>
        <v>2.3809762639033955E-6</v>
      </c>
      <c r="CH54">
        <f>0.962*(0.93*0.943*(0.9442 - 0.0007*$B54 - dis_BMI*($C54-21.75))-0.19*0.5)*BD54</f>
        <v>1.564747852884113E-5</v>
      </c>
      <c r="CI54">
        <f>0.962*(0.93*0.943*(0.9442 - 0.0007*$B54 - dis_BMI*($C54-21.75)))*BE54</f>
        <v>-1.0330534394295226E-5</v>
      </c>
      <c r="CJ54">
        <f t="shared" si="51"/>
        <v>0</v>
      </c>
      <c r="CK54">
        <f t="shared" si="52"/>
        <v>1.4254033113131427E-2</v>
      </c>
      <c r="CL54">
        <f>CK54/(1+r_)^A54</f>
        <v>3.1567435618086075E-3</v>
      </c>
      <c r="CM54">
        <f>AD54*c_PT_2</f>
        <v>4.9229776327962922</v>
      </c>
      <c r="CN54">
        <f>AE54*(c_Other+c_PT_2)</f>
        <v>9.3948537775715426</v>
      </c>
      <c r="CO54">
        <f>AF54*(c_Stroke1+c_Stroke2+c_PT_2)</f>
        <v>1.4325727162912019</v>
      </c>
      <c r="CP54">
        <f>AG54*(c_Stroke2 + c_PT_2)</f>
        <v>0.17075117948824264</v>
      </c>
      <c r="CQ54">
        <f>AH54*(c_MI1+c_MI2 + c_PT_2)</f>
        <v>1.1516520429999961</v>
      </c>
      <c r="CR54">
        <f>AI54*(c_MI2+c_PT_2)</f>
        <v>0.37892119251449474</v>
      </c>
      <c r="CS54">
        <f>AJ54*(c_Stroke1+c_Stroke2+c_MI2+c_PT_2)</f>
        <v>4.5919330818433891E-2</v>
      </c>
      <c r="CT54">
        <f>AK54*(c_Stroke2+c_MI1+c_MI2+c_PT_2)</f>
        <v>2.8404947175847621E-2</v>
      </c>
      <c r="CU54">
        <f>AL54*(c_Stroke2+c_MI2+c_PT_2)</f>
        <v>-9.673660039425774E-3</v>
      </c>
      <c r="CV54">
        <f>AM54*(c_HF1+c_PT_2)</f>
        <v>0.82752485068188997</v>
      </c>
      <c r="CW54">
        <f>AN54*(c_HF2+c_PT_2)</f>
        <v>3.6520595517235113</v>
      </c>
      <c r="CX54">
        <f>AO54*(c_Stroke2+c_HF1+c_PT_2)</f>
        <v>1.7619707372591095E-2</v>
      </c>
      <c r="CY54">
        <f>AP54*(c_Stroke1+c_Stroke2+c_HF2+c_PT_2)</f>
        <v>0.1362427735509229</v>
      </c>
      <c r="CZ54">
        <f>AQ54*(c_Stroke2+c_HF2+c_PT_2)</f>
        <v>-3.4707255613216546E-2</v>
      </c>
      <c r="DA54">
        <f>AR54*(c_DM+c_PT_2)</f>
        <v>119.13582717021056</v>
      </c>
      <c r="DB54">
        <f>AS54*(c_Other+c_DM+c_PT_2)</f>
        <v>61.74089214006699</v>
      </c>
      <c r="DC54">
        <f>AT54*(c_Stroke1+c_Stroke2+c_DM+c_PT_2)</f>
        <v>9.9560780687912089</v>
      </c>
      <c r="DD54">
        <f>AU54*(c_Stroke2+c_DM+c_PT_2)</f>
        <v>0.70732475943023931</v>
      </c>
      <c r="DE54">
        <f>AV54*(c_MI1+c_MI2+c_DM+c_PT_2)</f>
        <v>7.8721053612462288</v>
      </c>
      <c r="DF54">
        <f>AW54*(c_MI2+c_DM+c_PT_2)</f>
        <v>5.9895466525020833</v>
      </c>
      <c r="DG54">
        <f>AX54*(c_Stroke1+c_Stroke2+c_MI2+c_DM+c_PT_2)</f>
        <v>0.50194627646318279</v>
      </c>
      <c r="DH54">
        <f>AY54*(c_Stroke2+c_MI1+c_MI2+c_DM+c_PT_2)</f>
        <v>0.24908598106690119</v>
      </c>
      <c r="DI54">
        <f>AZ54*(c_Stroke2+c_MI2+c_DM+c_PT_2)</f>
        <v>-0.19064610609135704</v>
      </c>
      <c r="DJ54">
        <f>BA54*(c_HF1+c_DM+c_PT_2)</f>
        <v>5.8499512637226792</v>
      </c>
      <c r="DK54">
        <f>BB54*(c_HF2+c_DM+c_PT_2)</f>
        <v>27.121616026227425</v>
      </c>
      <c r="DL54">
        <f>BC54*(c_Stroke2+c_HF1+c_DM+c_PT_2)</f>
        <v>0.15693330592667504</v>
      </c>
      <c r="DM54">
        <f>BD54*(c_Stroke1+c_Stroke2+c_HF2+c_DM+c_PT_2)</f>
        <v>1.3355346791870359</v>
      </c>
      <c r="DN54">
        <f>BE54*(c_Stroke2+c_HF2+c_DM+c_PT_2)</f>
        <v>-0.51331470696019876</v>
      </c>
      <c r="DO54">
        <f t="shared" si="53"/>
        <v>0</v>
      </c>
      <c r="DP54">
        <f t="shared" si="54"/>
        <v>262.02799965912197</v>
      </c>
      <c r="DQ54">
        <f>DP54/(1+r_)^A54</f>
        <v>58.029555170284432</v>
      </c>
    </row>
    <row r="55" spans="1:121" x14ac:dyDescent="0.3">
      <c r="A55">
        <v>52</v>
      </c>
      <c r="B55">
        <v>97</v>
      </c>
      <c r="C55">
        <f t="shared" si="39"/>
        <v>34.542000000000002</v>
      </c>
      <c r="D55">
        <f t="shared" si="1"/>
        <v>125</v>
      </c>
      <c r="E55">
        <f t="shared" si="41"/>
        <v>5.7</v>
      </c>
      <c r="F55">
        <v>0.25402999999999998</v>
      </c>
      <c r="G55">
        <v>0.29626000000000002</v>
      </c>
      <c r="H55">
        <f t="shared" si="42"/>
        <v>0.26247599999999999</v>
      </c>
      <c r="I55">
        <f t="shared" si="43"/>
        <v>4.0096398347168494E-2</v>
      </c>
      <c r="J55">
        <f t="shared" si="21"/>
        <v>0.47974529520145526</v>
      </c>
      <c r="K55">
        <f t="shared" si="22"/>
        <v>0.59953646664618021</v>
      </c>
      <c r="L55">
        <f t="shared" si="23"/>
        <v>0.26606602902257426</v>
      </c>
      <c r="M55">
        <f t="shared" si="24"/>
        <v>0.3515839272685013</v>
      </c>
      <c r="N55">
        <f t="shared" si="25"/>
        <v>0.85135657421520106</v>
      </c>
      <c r="O55">
        <f t="shared" si="26"/>
        <v>0.93235260869478342</v>
      </c>
      <c r="P55">
        <f t="shared" si="27"/>
        <v>0.60845049053110523</v>
      </c>
      <c r="Q55">
        <f t="shared" si="28"/>
        <v>0.73416503912693254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3.931489689472667E-2</v>
      </c>
      <c r="U55">
        <f t="shared" si="29"/>
        <v>0.75878819333113545</v>
      </c>
      <c r="V55">
        <f t="shared" si="30"/>
        <v>0.86352455962637475</v>
      </c>
      <c r="W55">
        <f t="shared" si="31"/>
        <v>0.48993186568420932</v>
      </c>
      <c r="X55">
        <f t="shared" si="32"/>
        <v>0.61047458260525511</v>
      </c>
      <c r="Y55">
        <f t="shared" si="33"/>
        <v>0.96098070284250015</v>
      </c>
      <c r="Z55">
        <f t="shared" si="34"/>
        <v>0.98977899836289984</v>
      </c>
      <c r="AA55">
        <f t="shared" si="35"/>
        <v>0.79720169036721933</v>
      </c>
      <c r="AB55">
        <f t="shared" si="36"/>
        <v>0.89507243954978233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6.0942192639825997E-2</v>
      </c>
      <c r="AD55">
        <f t="shared" si="44"/>
        <v>2.3219279860605519E-3</v>
      </c>
      <c r="AE55">
        <f t="shared" si="45"/>
        <v>3.6826668784153418E-4</v>
      </c>
      <c r="AF55">
        <f t="shared" si="46"/>
        <v>3.925228545372716E-5</v>
      </c>
      <c r="AG55">
        <f t="shared" si="47"/>
        <v>8.6382465381298897E-6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2.6577349561463458E-5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5.2577902069458154E-5</v>
      </c>
      <c r="AJ55">
        <f t="shared" si="48"/>
        <v>1.1017409383210776E-6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4.8444056675900362E-7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-6.7959634875009374E-7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2.016360336665507E-5</v>
      </c>
      <c r="AN55">
        <f t="shared" si="49"/>
        <v>1.2860376502806263E-4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3.1503440779919171E-7</v>
      </c>
      <c r="AP55">
        <f>AM54*T54*p_Stroke*p_Stroke_rec*(1-I54) + AN54*T54*p_Stroke*p_Stroke_rec*(1-I54) + AO54*(p_recur_Stroke*p_Stroke_rec)*(1-I54) + AP54*(p_recur_Stroke*p_Stroke_rec)*(1-I54) + AQ54*(p_recur_Stroke*p_Stroke_rec)*(1-I54)</f>
        <v>2.1524841198749937E-6</v>
      </c>
      <c r="AQ55">
        <f>AO54*(1-p_recur_Stroke-H54*rr_Stroke*rr_HF)*(1-I54) + AP54*(1-p_recur_Stroke-H54*rr_Stroke*rr_HF)*(1-I54) + AQ54*(1-p_recur_Stroke-H54*rr_Stroke*rr_HF)*(1-I54)</f>
        <v>-1.1262292960331525E-6</v>
      </c>
      <c r="AR55">
        <f>AR54*(1-AC54-H54*rr_DM) + AD54*(1-T54-H54)*I54</f>
        <v>6.2162857657722479E-3</v>
      </c>
      <c r="AS55">
        <f>AR54*AC54*p_Other + AD54*T54*p_Other*I54 + AE54*(1-T54*p_Stroke-T54*p_MI-H54*rr_Other)*I54 + AS54*(1-AC54*p_Stroke-AC54*p_MI-H54*rr_Other*rr_DM)</f>
        <v>1.3318999159488035E-3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1.8191097226673568E-4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-5.4899297064364855E-7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1.2740853400546674E-4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2.2286587648112654E-4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8.2019790555446391E-6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3.1181193027388979E-6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-6.0351269198339234E-6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9.7670811046497288E-5</v>
      </c>
      <c r="BB55">
        <f>AM54*(1-T54*p_Stroke - H54*rr_HF)*I54 + AN54*(1-T54*p_Stroke - H54*rr_HF)*I54 + BA54*(1-AC54*p_Stroke - H54*rr_HF*rr_DM) + BB54*(1-AC54*p_Stroke - H54*rr_HF*rr_DM)</f>
        <v>5.3308086772280942E-4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2.027751549014246E-6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1.5616976425925714E-5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-1.0059130823916839E-5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0.93030829998082987</v>
      </c>
      <c r="BG55">
        <f t="shared" si="50"/>
        <v>0.94199999999999995</v>
      </c>
      <c r="BH55">
        <f>(0.9442 - 0.0007*$B55 - dis_BMI*($C55-21.75))*AD55</f>
        <v>1.9366885549524963E-3</v>
      </c>
      <c r="BI55">
        <f>0.959*(0.9442 - 0.0007*$B55 - dis_BMI*($C55-21.75))*AE55</f>
        <v>2.9457242022970059E-4</v>
      </c>
      <c r="BJ55">
        <f>(0.943*(0.9442 - 0.0007*$B55 - dis_BMI*($C55-21.75)) - 0.19*0.5)*AF55</f>
        <v>2.7144661892212893E-5</v>
      </c>
      <c r="BK55">
        <f>(0.943*(0.9442 - 0.0007*$B55 - dis_BMI*($C55-21.75)))*AG55</f>
        <v>6.7943564517350537E-6</v>
      </c>
      <c r="BL55">
        <f>(0.955*(0.9442 - 0.0007*$B55 - dis_BMI*($C55-21.75)) - 0.15*0.5)*AH55</f>
        <v>1.917695333837606E-5</v>
      </c>
      <c r="BM55">
        <f>(0.955*(0.9442 - 0.0007*$B55 - dis_BMI*($C55-21.75)))*AI55</f>
        <v>4.1881059969116899E-5</v>
      </c>
      <c r="BN55">
        <f>(0.955*0.943*(0.9442 - 0.0007*$B55 - dis_BMI*($C55-21.75)) - 0.19*0.5)*AJ55</f>
        <v>7.229062356687943E-7</v>
      </c>
      <c r="BO55">
        <f>(0.955*0.943*(0.9442 - 0.0007*$B55 - dis_BMI*($C55-21.75)) - 0.15*0.5)*AK55</f>
        <v>3.2755401388876731E-7</v>
      </c>
      <c r="BP55">
        <f>(0.955*0.943*(0.9442 - 0.0007*$B55 - dis_BMI*($C55-21.75)))*AL55</f>
        <v>-5.1047813055456909E-7</v>
      </c>
      <c r="BQ55">
        <f>(0.93*(0.9442 - 0.0007*$B55 - dis_BMI*($C55-21.75)))*AM55</f>
        <v>1.5640914229102727E-5</v>
      </c>
      <c r="BR55">
        <f>(0.93*(0.9442 - 0.0007*$B55 - dis_BMI*($C55-21.75)))*AN55</f>
        <v>9.9757985800793495E-5</v>
      </c>
      <c r="BS55">
        <f>(0.93*0.943*(0.9442 - 0.0007*$B55 - dis_BMI*($C55-21.75)))*AO55</f>
        <v>2.3044307986369376E-7</v>
      </c>
      <c r="BT55">
        <f>(0.93*0.943*(0.9442 - 0.0007*$B55 - dis_BMI*($C55-21.75))-0.19*0.5)*AP55</f>
        <v>1.3700247847740165E-6</v>
      </c>
      <c r="BU55">
        <f>(0.93*0.943*(0.9442 - 0.0007*$B55 - dis_BMI*($C55-21.75)))*AQ55</f>
        <v>-8.2382032306778792E-7</v>
      </c>
      <c r="BV55">
        <f>0.962*(0.9442 - 0.0007*$B55 - dis_BMI*($C55-21.75))*AR55</f>
        <v>4.9878924779459379E-3</v>
      </c>
      <c r="BW55">
        <f>0.962*0.959*(0.9442 - 0.0007*$B55 - dis_BMI*($C55-21.75))*AS55</f>
        <v>1.024887769922003E-3</v>
      </c>
      <c r="BX55">
        <f>0.962*(0.943*(0.9442 - 0.0007*$B55 - dis_BMI*($C55-21.75)) - 0.19*0.5)*AT55</f>
        <v>1.2101897079269196E-4</v>
      </c>
      <c r="BY55">
        <f>0.962*(0.943*(0.9442 - 0.0007*$B55 - dis_BMI*($C55-21.75)))*AU55</f>
        <v>-4.1539817910879073E-7</v>
      </c>
      <c r="BZ55">
        <f>0.962*(0.955*(0.9442 - 0.0007*$B55 - dis_BMI*($C55-21.75)) - 0.15*0.5)*AV55</f>
        <v>8.8438533746930452E-5</v>
      </c>
      <c r="CA55">
        <f>0.962*(0.955*(0.9442 - 0.0007*$B55 - dis_BMI*($C55-21.75)))*AW55</f>
        <v>1.7077844754761841E-4</v>
      </c>
      <c r="CB55">
        <f>0.962*(0.955*0.943*(0.9442 - 0.0007*$B55 - dis_BMI*($C55-21.75)) - 0.19*0.5)*AX55</f>
        <v>5.1772151302784873E-6</v>
      </c>
      <c r="CC55">
        <f>0.962*(0.955*0.943*(0.9442 - 0.0007*$B55 - dis_BMI*($C55-21.75)) - 0.15*0.5)*AY55</f>
        <v>2.0281974014284069E-6</v>
      </c>
      <c r="CD55">
        <f>0.962*(0.955*0.943*(0.9442 - 0.0007*$B55 - dis_BMI*($C55-21.75)))*AZ55</f>
        <v>-4.3610150370212754E-6</v>
      </c>
      <c r="CE55">
        <f>0.962*(0.93*(0.9442 - 0.0007*$B55 - dis_BMI*($C55-21.75)))*BA55</f>
        <v>7.2884277773555502E-5</v>
      </c>
      <c r="CF55">
        <f>0.962*(0.93*(0.9442 - 0.0007*$B55 - dis_BMI*($C55-21.75)))*BB55</f>
        <v>3.9779759810104094E-4</v>
      </c>
      <c r="CG55">
        <f>0.962*(0.93*0.943*(0.9442 - 0.0007*$B55 - dis_BMI*($C55-21.75)))*BC55</f>
        <v>1.4269064304173749E-6</v>
      </c>
      <c r="CH55">
        <f>0.962*(0.93*0.943*(0.9442 - 0.0007*$B55 - dis_BMI*($C55-21.75))-0.19*0.5)*BD55</f>
        <v>9.5622588225220516E-6</v>
      </c>
      <c r="CI55">
        <f>0.962*(0.93*0.943*(0.9442 - 0.0007*$B55 - dis_BMI*($C55-21.75)))*BE55</f>
        <v>-7.078499564719467E-6</v>
      </c>
      <c r="CJ55">
        <f t="shared" si="51"/>
        <v>0</v>
      </c>
      <c r="CK55">
        <f t="shared" si="52"/>
        <v>9.313011277357678E-3</v>
      </c>
      <c r="CL55">
        <f>CK55/(1+r_)^A55</f>
        <v>2.0024166335442608E-3</v>
      </c>
      <c r="CM55">
        <f>AD55*c_PT_2</f>
        <v>3.4016244995787086</v>
      </c>
      <c r="CN55">
        <f>AE55*(c_Other+c_PT_2)</f>
        <v>5.7979907333771141</v>
      </c>
      <c r="CO55">
        <f>AF55*(c_Stroke1+c_Stroke2+c_PT_2)</f>
        <v>0.99233702855567629</v>
      </c>
      <c r="CP55">
        <f>AG55*(c_Stroke2 + c_PT_2)</f>
        <v>6.8803633676204567E-2</v>
      </c>
      <c r="CQ55">
        <f>AH55*(c_MI1+c_MI2 + c_PT_2)</f>
        <v>0.81369213417376518</v>
      </c>
      <c r="CR55">
        <f>AI55*(c_MI2+c_PT_2)</f>
        <v>0.24091194728225726</v>
      </c>
      <c r="CS55">
        <f>AJ55*(c_Stroke1+c_Stroke2+c_MI2+c_PT_2)</f>
        <v>3.1287239166441959E-2</v>
      </c>
      <c r="CT55">
        <f>AK55*(c_Stroke2+c_MI1+c_MI2+c_PT_2)</f>
        <v>1.798049607582718E-2</v>
      </c>
      <c r="CU55">
        <f>AL55*(c_Stroke2+c_MI2+c_PT_2)</f>
        <v>-7.5312867368485387E-3</v>
      </c>
      <c r="CV55">
        <f>AM55*(c_HF1+c_PT_2)</f>
        <v>0.5745618779328362</v>
      </c>
      <c r="CW55">
        <f>AN55*(c_HF2+c_PT_2)</f>
        <v>2.195266269029029</v>
      </c>
      <c r="CX55">
        <f>AO55*(c_Stroke2+c_HF1+c_PT_2)</f>
        <v>1.1024629100932715E-2</v>
      </c>
      <c r="CY55">
        <f>AP55*(c_Stroke1+c_Stroke2+c_HF2+c_PT_2)</f>
        <v>8.8006465725208996E-2</v>
      </c>
      <c r="CZ55">
        <f>AQ55*(c_Stroke2+c_HF2+c_PT_2)</f>
        <v>-2.6545224507501405E-2</v>
      </c>
      <c r="DA55">
        <f>AR55*(c_DM+c_PT_2)</f>
        <v>80.127923520804273</v>
      </c>
      <c r="DB55">
        <f>AS55*(c_Other+c_DM+c_PT_2)</f>
        <v>36.186388816413043</v>
      </c>
      <c r="DC55">
        <f>AT55*(c_Stroke1+c_Stroke2+c_DM+c_PT_2)</f>
        <v>6.6772241480228001</v>
      </c>
      <c r="DD55">
        <f>AU55*(c_Stroke2+c_DM+c_PT_2)</f>
        <v>-1.0644973700780345E-2</v>
      </c>
      <c r="DE55">
        <f>AV55*(c_MI1+c_MI2+c_DM+c_PT_2)</f>
        <v>5.3563821781238277</v>
      </c>
      <c r="DF55">
        <f>AW55*(c_MI2+c_DM+c_PT_2)</f>
        <v>3.5674140848333926</v>
      </c>
      <c r="DG55">
        <f>AX55*(c_Stroke1+c_Stroke2+c_MI2+c_DM+c_PT_2)</f>
        <v>0.32662741192895417</v>
      </c>
      <c r="DH55">
        <f>AY55*(c_Stroke2+c_MI1+c_MI2+c_DM+c_PT_2)</f>
        <v>0.15135662907424885</v>
      </c>
      <c r="DI55">
        <f>AZ55*(c_Stroke2+c_MI2+c_DM+c_PT_2)</f>
        <v>-0.13583260158470212</v>
      </c>
      <c r="DJ55">
        <f>BA55*(c_HF1+c_DM+c_PT_2)</f>
        <v>3.8990187769761717</v>
      </c>
      <c r="DK55">
        <f>BB55*(c_HF2+c_DM+c_PT_2)</f>
        <v>15.190139325761454</v>
      </c>
      <c r="DL55">
        <f>BC55*(c_Stroke2+c_HF1+c_DM+c_PT_2)</f>
        <v>9.4128226905241294E-2</v>
      </c>
      <c r="DM55">
        <f>BD55*(c_Stroke1+c_Stroke2+c_HF2+c_DM+c_PT_2)</f>
        <v>0.81693965381660005</v>
      </c>
      <c r="DN55">
        <f>BE55*(c_Stroke2+c_HF2+c_DM+c_PT_2)</f>
        <v>-0.35201928318296977</v>
      </c>
      <c r="DO55">
        <f t="shared" si="53"/>
        <v>0</v>
      </c>
      <c r="DP55">
        <f t="shared" si="54"/>
        <v>166.09445635662121</v>
      </c>
      <c r="DQ55">
        <f>DP55/(1+r_)^A55</f>
        <v>35.712434167947592</v>
      </c>
    </row>
    <row r="56" spans="1:121" x14ac:dyDescent="0.3">
      <c r="A56">
        <v>53</v>
      </c>
      <c r="B56">
        <v>98</v>
      </c>
      <c r="C56">
        <f t="shared" si="39"/>
        <v>34.542000000000002</v>
      </c>
      <c r="D56">
        <f t="shared" si="1"/>
        <v>125</v>
      </c>
      <c r="E56">
        <f t="shared" si="41"/>
        <v>5.7</v>
      </c>
      <c r="F56">
        <v>0.27543000000000001</v>
      </c>
      <c r="G56">
        <v>0.31792999999999999</v>
      </c>
      <c r="H56">
        <f t="shared" si="42"/>
        <v>0.28393000000000002</v>
      </c>
      <c r="I56">
        <f t="shared" si="43"/>
        <v>4.0096398347168494E-2</v>
      </c>
      <c r="J56">
        <f t="shared" si="21"/>
        <v>0.48927815642156902</v>
      </c>
      <c r="K56">
        <f t="shared" si="22"/>
        <v>0.60977524947411843</v>
      </c>
      <c r="L56">
        <f t="shared" si="23"/>
        <v>0.27246339736171732</v>
      </c>
      <c r="M56">
        <f t="shared" si="24"/>
        <v>0.35948559114201739</v>
      </c>
      <c r="N56">
        <f t="shared" si="25"/>
        <v>0.86027083090473222</v>
      </c>
      <c r="O56">
        <f t="shared" si="26"/>
        <v>0.93801307287113955</v>
      </c>
      <c r="P56">
        <f t="shared" si="27"/>
        <v>0.62018230765151616</v>
      </c>
      <c r="Q56">
        <f t="shared" si="28"/>
        <v>0.74534957689500758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4.0090477911576855E-2</v>
      </c>
      <c r="U56">
        <f t="shared" si="29"/>
        <v>0.76830356042601433</v>
      </c>
      <c r="V56">
        <f t="shared" si="30"/>
        <v>0.87100435947967125</v>
      </c>
      <c r="W56">
        <f t="shared" si="31"/>
        <v>0.49955822157052299</v>
      </c>
      <c r="X56">
        <f t="shared" si="32"/>
        <v>0.6207310858220989</v>
      </c>
      <c r="Y56">
        <f t="shared" si="33"/>
        <v>0.96487831196700491</v>
      </c>
      <c r="Z56">
        <f t="shared" si="34"/>
        <v>0.99119125322541335</v>
      </c>
      <c r="AA56">
        <f t="shared" si="35"/>
        <v>0.80743251593010268</v>
      </c>
      <c r="AB56">
        <f t="shared" si="36"/>
        <v>0.90247327453915349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6.1829088126110994E-2</v>
      </c>
      <c r="AD56">
        <f t="shared" si="44"/>
        <v>1.5561873261998942E-3</v>
      </c>
      <c r="AE56">
        <f t="shared" si="45"/>
        <v>2.1914858669098167E-4</v>
      </c>
      <c r="AF56">
        <f t="shared" si="46"/>
        <v>2.6557586523926127E-5</v>
      </c>
      <c r="AG56">
        <f t="shared" si="47"/>
        <v>2.289359386766621E-6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1.8233499300652289E-5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3.2075210314685278E-5</v>
      </c>
      <c r="AJ56">
        <f t="shared" si="48"/>
        <v>7.2816567748359014E-7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3.0128541072269496E-7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-4.9790355199296179E-7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1.3573264136701013E-5</v>
      </c>
      <c r="AN56">
        <f t="shared" si="49"/>
        <v>7.3293476307244911E-5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1.9345999098559002E-7</v>
      </c>
      <c r="AP56">
        <f>AM55*T55*p_Stroke*p_Stroke_rec*(1-I55) + AN55*T55*p_Stroke*p_Stroke_rec*(1-I55) + AO55*(p_recur_Stroke*p_Stroke_rec)*(1-I55) + AP55*(p_recur_Stroke*p_Stroke_rec)*(1-I55) + AQ55*(p_recur_Stroke*p_Stroke_rec)*(1-I55)</f>
        <v>1.3301181252015669E-6</v>
      </c>
      <c r="AQ56">
        <f>AO55*(1-p_recur_Stroke-H55*rr_Stroke*rr_HF)*(1-I55) + AP55*(1-p_recur_Stroke-H55*rr_Stroke*rr_HF)*(1-I55) + AQ55*(1-p_recur_Stroke-H55*rr_Stroke*rr_HF)*(1-I55)</f>
        <v>-7.921019022075736E-7</v>
      </c>
      <c r="AR56">
        <f>AR55*(1-AC55-H55*rr_DM) + AD55*(1-T55-H55)*I55</f>
        <v>4.0260859154974621E-3</v>
      </c>
      <c r="AS56">
        <f>AR55*AC55*p_Other + AD55*T55*p_Other*I55 + AE55*(1-T55*p_Stroke-T55*p_MI-H55*rr_Other)*I55 + AS55*(1-AC55*p_Stroke-AC55*p_MI-H55*rr_Other*rr_DM)</f>
        <v>7.4902877234289417E-4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1.1846833860851101E-4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-1.4084999202379778E-5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8.3667342478778705E-5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1.2567476971235756E-4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5.1307946674481019E-6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1.8533034259187554E-6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-4.0736108215360842E-6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6.2666730913815989E-5</v>
      </c>
      <c r="BB56">
        <f>AM55*(1-T55*p_Stroke - H55*rr_HF)*I55 + AN55*(1-T55*p_Stroke - H55*rr_HF)*I55 + BA55*(1-AC55*p_Stroke - H55*rr_HF*rr_DM) + BB55*(1-AC55*p_Stroke - H55*rr_HF*rr_DM)</f>
        <v>2.7846100823634691E-4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1.1874930768113622E-6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9.0267856476389456E-6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-6.401225490547792E-6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0.93462068724829539</v>
      </c>
      <c r="BG56">
        <f t="shared" si="50"/>
        <v>0.94199999999999995</v>
      </c>
      <c r="BH56">
        <f>(0.9442 - 0.0007*$B56 - dis_BMI*($C56-21.75))*AD56</f>
        <v>1.2969053535073557E-3</v>
      </c>
      <c r="BI56">
        <f>0.959*(0.9442 - 0.0007*$B56 - dis_BMI*($C56-21.75))*AE56</f>
        <v>1.7514739820665825E-4</v>
      </c>
      <c r="BJ56">
        <f>(0.943*(0.9442 - 0.0007*$B56 - dis_BMI*($C56-21.75)) - 0.19*0.5)*AF56</f>
        <v>1.8348195014816122E-5</v>
      </c>
      <c r="BK56">
        <f>(0.943*(0.9442 - 0.0007*$B56 - dis_BMI*($C56-21.75)))*AG56</f>
        <v>1.7991694819179546E-6</v>
      </c>
      <c r="BL56">
        <f>(0.955*(0.9442 - 0.0007*$B56 - dis_BMI*($C56-21.75)) - 0.15*0.5)*AH56</f>
        <v>1.3144238128653418E-5</v>
      </c>
      <c r="BM56">
        <f>(0.955*(0.9442 - 0.0007*$B56 - dis_BMI*($C56-21.75)))*AI56</f>
        <v>2.5528147070995502E-5</v>
      </c>
      <c r="BN56">
        <f>(0.955*0.943*(0.9442 - 0.0007*$B56 - dis_BMI*($C56-21.75)) - 0.19*0.5)*AJ56</f>
        <v>4.7732616245000552E-7</v>
      </c>
      <c r="BO56">
        <f>(0.955*0.943*(0.9442 - 0.0007*$B56 - dis_BMI*($C56-21.75)) - 0.15*0.5)*AK56</f>
        <v>2.0352390587659055E-7</v>
      </c>
      <c r="BP56">
        <f>(0.955*0.943*(0.9442 - 0.0007*$B56 - dis_BMI*($C56-21.75)))*AL56</f>
        <v>-3.7368588838590415E-7</v>
      </c>
      <c r="BQ56">
        <f>(0.93*(0.9442 - 0.0007*$B56 - dis_BMI*($C56-21.75)))*AM56</f>
        <v>1.0519949573674962E-5</v>
      </c>
      <c r="BR56">
        <f>(0.93*(0.9442 - 0.0007*$B56 - dis_BMI*($C56-21.75)))*AN56</f>
        <v>5.680606131775753E-5</v>
      </c>
      <c r="BS56">
        <f>(0.93*0.943*(0.9442 - 0.0007*$B56 - dis_BMI*($C56-21.75)))*AO56</f>
        <v>1.4139440133418287E-7</v>
      </c>
      <c r="BT56">
        <f>(0.93*0.943*(0.9442 - 0.0007*$B56 - dis_BMI*($C56-21.75))-0.19*0.5)*AP56</f>
        <v>8.4578425923858767E-7</v>
      </c>
      <c r="BU56">
        <f>(0.93*0.943*(0.9442 - 0.0007*$B56 - dis_BMI*($C56-21.75)))*AQ56</f>
        <v>-5.7892473626058241E-7</v>
      </c>
      <c r="BV56">
        <f>0.962*(0.9442 - 0.0007*$B56 - dis_BMI*($C56-21.75))*AR56</f>
        <v>3.2277844078132632E-3</v>
      </c>
      <c r="BW56">
        <f>0.962*0.959*(0.9442 - 0.0007*$B56 - dis_BMI*($C56-21.75))*AS56</f>
        <v>5.7588874205586173E-4</v>
      </c>
      <c r="BX56">
        <f>0.962*(0.943*(0.9442 - 0.0007*$B56 - dis_BMI*($C56-21.75)) - 0.19*0.5)*AT56</f>
        <v>7.8737589018161545E-5</v>
      </c>
      <c r="BY56">
        <f>0.962*(0.943*(0.9442 - 0.0007*$B56 - dis_BMI*($C56-21.75)))*AU56</f>
        <v>-1.0648538377767018E-5</v>
      </c>
      <c r="BZ56">
        <f>0.962*(0.955*(0.9442 - 0.0007*$B56 - dis_BMI*($C56-21.75)) - 0.15*0.5)*AV56</f>
        <v>5.8022500437739779E-5</v>
      </c>
      <c r="CA56">
        <f>0.962*(0.955*(0.9442 - 0.0007*$B56 - dis_BMI*($C56-21.75)))*AW56</f>
        <v>9.6221683408665026E-5</v>
      </c>
      <c r="CB56">
        <f>0.962*(0.955*0.943*(0.9442 - 0.0007*$B56 - dis_BMI*($C56-21.75)) - 0.19*0.5)*AX56</f>
        <v>3.2355248615595936E-6</v>
      </c>
      <c r="CC56">
        <f>0.962*(0.955*0.943*(0.9442 - 0.0007*$B56 - dis_BMI*($C56-21.75)) - 0.15*0.5)*AY56</f>
        <v>1.2043672216666525E-6</v>
      </c>
      <c r="CD56">
        <f>0.962*(0.955*0.943*(0.9442 - 0.0007*$B56 - dis_BMI*($C56-21.75)))*AZ56</f>
        <v>-2.941142595847654E-6</v>
      </c>
      <c r="CE56">
        <f>0.962*(0.93*(0.9442 - 0.0007*$B56 - dis_BMI*($C56-21.75)))*BA56</f>
        <v>4.6724156437616423E-5</v>
      </c>
      <c r="CF56">
        <f>0.962*(0.93*(0.9442 - 0.0007*$B56 - dis_BMI*($C56-21.75)))*BB56</f>
        <v>2.0761982507919516E-4</v>
      </c>
      <c r="CG56">
        <f>0.962*(0.93*0.943*(0.9442 - 0.0007*$B56 - dis_BMI*($C56-21.75)))*BC56</f>
        <v>8.3492450660901743E-7</v>
      </c>
      <c r="CH56">
        <f>0.962*(0.93*0.943*(0.9442 - 0.0007*$B56 - dis_BMI*($C56-21.75))-0.19*0.5)*BD56</f>
        <v>5.5217607903160116E-6</v>
      </c>
      <c r="CI56">
        <f>0.962*(0.93*0.943*(0.9442 - 0.0007*$B56 - dis_BMI*($C56-21.75)))*BE56</f>
        <v>-4.5006915313896028E-6</v>
      </c>
      <c r="CJ56">
        <f t="shared" si="51"/>
        <v>0</v>
      </c>
      <c r="CK56">
        <f t="shared" si="52"/>
        <v>5.8826190395317307E-3</v>
      </c>
      <c r="CL56">
        <f>CK56/(1+r_)^A56</f>
        <v>1.2279984393386368E-3</v>
      </c>
      <c r="CM56">
        <f>AD56*c_PT_2</f>
        <v>2.2798144328828451</v>
      </c>
      <c r="CN56">
        <f>AE56*(c_Other+c_PT_2)</f>
        <v>3.4502753488628155</v>
      </c>
      <c r="CO56">
        <f>AF56*(c_Stroke1+c_Stroke2+c_PT_2)</f>
        <v>0.6714023449113764</v>
      </c>
      <c r="CP56">
        <f>AG56*(c_Stroke2 + c_PT_2)</f>
        <v>1.8234747515596138E-2</v>
      </c>
      <c r="CQ56">
        <f>AH56*(c_MI1+c_MI2 + c_PT_2)</f>
        <v>0.5582368145887705</v>
      </c>
      <c r="CR56">
        <f>AI56*(c_MI2+c_PT_2)</f>
        <v>0.14696861366188793</v>
      </c>
      <c r="CS56">
        <f>AJ56*(c_Stroke1+c_Stroke2+c_MI2+c_PT_2)</f>
        <v>2.0678448909178995E-2</v>
      </c>
      <c r="CT56">
        <f>AK56*(c_Stroke2+c_MI1+c_MI2+c_PT_2)</f>
        <v>1.1182509304383546E-2</v>
      </c>
      <c r="CU56">
        <f>AL56*(c_Stroke2+c_MI2+c_PT_2)</f>
        <v>-5.5177671631860027E-3</v>
      </c>
      <c r="CV56">
        <f>AM56*(c_HF1+c_PT_2)</f>
        <v>0.38677016157529537</v>
      </c>
      <c r="CW56">
        <f>AN56*(c_HF2+c_PT_2)</f>
        <v>1.2511196405646707</v>
      </c>
      <c r="CX56">
        <f>AO56*(c_Stroke2+c_HF1+c_PT_2)</f>
        <v>6.7701323845407229E-3</v>
      </c>
      <c r="CY56">
        <f>AP56*(c_Stroke1+c_Stroke2+c_HF2+c_PT_2)</f>
        <v>5.4383209666991263E-2</v>
      </c>
      <c r="CZ56">
        <f>AQ56*(c_Stroke2+c_HF2+c_PT_2)</f>
        <v>-1.8669841835032511E-2</v>
      </c>
      <c r="DA56">
        <f>AR56*(c_DM+c_PT_2)</f>
        <v>51.896247450762289</v>
      </c>
      <c r="DB56">
        <f>AS56*(c_Other+c_DM+c_PT_2)</f>
        <v>20.35036271578409</v>
      </c>
      <c r="DC56">
        <f>AT56*(c_Stroke1+c_Stroke2+c_DM+c_PT_2)</f>
        <v>4.348498836964005</v>
      </c>
      <c r="DD56">
        <f>AU56*(c_Stroke2+c_DM+c_PT_2)</f>
        <v>-0.2731081345341439</v>
      </c>
      <c r="DE56">
        <f>AV56*(c_MI1+c_MI2+c_DM+c_PT_2)</f>
        <v>3.5174587451503356</v>
      </c>
      <c r="DF56">
        <f>AW56*(c_MI2+c_DM+c_PT_2)</f>
        <v>2.0116760387857076</v>
      </c>
      <c r="DG56">
        <f>AX56*(c_Stroke1+c_Stroke2+c_MI2+c_DM+c_PT_2)</f>
        <v>0.20432363604178577</v>
      </c>
      <c r="DH56">
        <f>AY56*(c_Stroke2+c_MI1+c_MI2+c_DM+c_PT_2)</f>
        <v>8.99612015975223E-2</v>
      </c>
      <c r="DI56">
        <f>AZ56*(c_Stroke2+c_MI2+c_DM+c_PT_2)</f>
        <v>-9.1684758760312651E-2</v>
      </c>
      <c r="DJ56">
        <f>BA56*(c_HF1+c_DM+c_PT_2)</f>
        <v>2.5016558980795343</v>
      </c>
      <c r="DK56">
        <f>BB56*(c_HF2+c_DM+c_PT_2)</f>
        <v>7.9347464296947052</v>
      </c>
      <c r="DL56">
        <f>BC56*(c_Stroke2+c_HF1+c_DM+c_PT_2)</f>
        <v>5.5123428625583434E-2</v>
      </c>
      <c r="DM56">
        <f>BD56*(c_Stroke1+c_Stroke2+c_HF2+c_DM+c_PT_2)</f>
        <v>0.47220018401364089</v>
      </c>
      <c r="DN56">
        <f>BE56*(c_Stroke2+c_HF2+c_DM+c_PT_2)</f>
        <v>-0.22401088604171998</v>
      </c>
      <c r="DO56">
        <f t="shared" si="53"/>
        <v>0</v>
      </c>
      <c r="DP56">
        <f t="shared" si="54"/>
        <v>101.62509958199315</v>
      </c>
      <c r="DQ56">
        <f>DP56/(1+r_)^A56</f>
        <v>21.21426916237213</v>
      </c>
    </row>
    <row r="57" spans="1:121" x14ac:dyDescent="0.3">
      <c r="A57">
        <v>54</v>
      </c>
      <c r="B57">
        <v>99</v>
      </c>
      <c r="C57">
        <f t="shared" si="39"/>
        <v>34.542000000000002</v>
      </c>
      <c r="D57">
        <f t="shared" si="1"/>
        <v>125</v>
      </c>
      <c r="E57">
        <f t="shared" si="41"/>
        <v>5.7</v>
      </c>
      <c r="F57">
        <v>0.29732999999999998</v>
      </c>
      <c r="G57">
        <v>0.33972999999999998</v>
      </c>
      <c r="H57">
        <f t="shared" si="42"/>
        <v>0.30580999999999997</v>
      </c>
      <c r="I57">
        <f t="shared" si="43"/>
        <v>4.0096398347168494E-2</v>
      </c>
      <c r="J57">
        <f t="shared" si="21"/>
        <v>0.49880058736609634</v>
      </c>
      <c r="K57">
        <f t="shared" si="22"/>
        <v>0.61992669833637226</v>
      </c>
      <c r="L57">
        <f t="shared" si="23"/>
        <v>0.27891685783034559</v>
      </c>
      <c r="M57">
        <f t="shared" si="24"/>
        <v>0.36742839214782019</v>
      </c>
      <c r="N57">
        <f t="shared" si="25"/>
        <v>0.86882742185876916</v>
      </c>
      <c r="O57">
        <f t="shared" si="26"/>
        <v>0.94330796996024502</v>
      </c>
      <c r="P57">
        <f t="shared" si="27"/>
        <v>0.63180681258549187</v>
      </c>
      <c r="Q57">
        <f t="shared" si="28"/>
        <v>0.75629196960847889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4.0864855516709216E-2</v>
      </c>
      <c r="U57">
        <f t="shared" si="29"/>
        <v>0.77760220451753947</v>
      </c>
      <c r="V57">
        <f t="shared" si="30"/>
        <v>0.8781959140468707</v>
      </c>
      <c r="W57">
        <f t="shared" si="31"/>
        <v>0.50916861760554677</v>
      </c>
      <c r="X57">
        <f t="shared" si="32"/>
        <v>0.63089206687738075</v>
      </c>
      <c r="Y57">
        <f t="shared" si="33"/>
        <v>0.96845901987662208</v>
      </c>
      <c r="Z57">
        <f t="shared" si="34"/>
        <v>0.99243293846689618</v>
      </c>
      <c r="AA57">
        <f t="shared" si="35"/>
        <v>0.81735339964839182</v>
      </c>
      <c r="AB57">
        <f t="shared" si="36"/>
        <v>0.90949650292081996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6.2703584608334251E-2</v>
      </c>
      <c r="AD57">
        <f t="shared" si="44"/>
        <v>1.0097713281278259E-3</v>
      </c>
      <c r="AE57">
        <f t="shared" si="45"/>
        <v>1.260210598781694E-4</v>
      </c>
      <c r="AF57">
        <f t="shared" si="46"/>
        <v>1.7513570823286259E-5</v>
      </c>
      <c r="AG57">
        <f t="shared" si="47"/>
        <v>-4.8515612765483992E-7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1.2132972901241661E-5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1.8740476751527339E-5</v>
      </c>
      <c r="AJ57">
        <f t="shared" si="48"/>
        <v>4.6599377802157822E-7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1.8388621737043337E-7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-3.4606516265880799E-7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8.8504938346678453E-6</v>
      </c>
      <c r="AN57">
        <f t="shared" si="49"/>
        <v>3.9526089564779551E-5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1.1640388385023694E-7</v>
      </c>
      <c r="AP57">
        <f>AM56*T56*p_Stroke*p_Stroke_rec*(1-I56) + AN56*T56*p_Stroke*p_Stroke_rec*(1-I56) + AO56*(p_recur_Stroke*p_Stroke_rec)*(1-I56) + AP56*(p_recur_Stroke*p_Stroke_rec)*(1-I56) + AQ56*(p_recur_Stroke*p_Stroke_rec)*(1-I56)</f>
        <v>7.8487299335288416E-7</v>
      </c>
      <c r="AQ57">
        <f>AO56*(1-p_recur_Stroke-H56*rr_Stroke*rr_HF)*(1-I56) + AP56*(1-p_recur_Stroke-H56*rr_Stroke*rr_HF)*(1-I56) + AQ56*(1-p_recur_Stroke-H56*rr_Stroke*rr_HF)*(1-I56)</f>
        <v>-5.1778796452491786E-7</v>
      </c>
      <c r="AR57">
        <f>AR56*(1-AC56-H56*rr_DM) + AD56*(1-T56-H56)*I56</f>
        <v>2.5047405714564413E-3</v>
      </c>
      <c r="AS57">
        <f>AR56*AC56*p_Other + AD56*T56*p_Other*I56 + AE56*(1-T56*p_Stroke-T56*p_MI-H56*rr_Other)*I56 + AS56*(1-AC56*p_Stroke-AC56*p_MI-H56*rr_Other*rr_DM)</f>
        <v>4.0567585917856541E-4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7.4728477689079475E-5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-1.6263193611698932E-5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5.2970164248645395E-5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6.6888551746343899E-5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3.0796131402708917E-6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1.0740473601757325E-6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-2.6014990522571134E-6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3.8681757118699337E-5</v>
      </c>
      <c r="BB57">
        <f>AM56*(1-T56*p_Stroke - H56*rr_HF)*I56 + AN56*(1-T56*p_Stroke - H56*rr_HF)*I56 + BA56*(1-AC56*p_Stroke - H56*rr_HF*rr_DM) + BB56*(1-AC56*p_Stroke - H56*rr_HF*rr_DM)</f>
        <v>1.3520727937013649E-4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6.7602362285214405E-7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4.9167323904805877E-6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-3.7586152367995666E-6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0.93750122609107978</v>
      </c>
      <c r="BG57">
        <f t="shared" si="50"/>
        <v>0.94199999999999995</v>
      </c>
      <c r="BH57">
        <f>(0.9442 - 0.0007*$B57 - dis_BMI*($C57-21.75))*AD57</f>
        <v>8.4082285204197817E-4</v>
      </c>
      <c r="BI57">
        <f>0.959*(0.9442 - 0.0007*$B57 - dis_BMI*($C57-21.75))*AE57</f>
        <v>1.0063364574449769E-4</v>
      </c>
      <c r="BJ57">
        <f>(0.943*(0.9442 - 0.0007*$B57 - dis_BMI*($C57-21.75)) - 0.19*0.5)*AF57</f>
        <v>1.2088274214095803E-5</v>
      </c>
      <c r="BK57">
        <f>(0.943*(0.9442 - 0.0007*$B57 - dis_BMI*($C57-21.75)))*AG57</f>
        <v>-3.8095588354048271E-7</v>
      </c>
      <c r="BL57">
        <f>(0.955*(0.9442 - 0.0007*$B57 - dis_BMI*($C57-21.75)) - 0.15*0.5)*AH57</f>
        <v>8.7383552901498887E-6</v>
      </c>
      <c r="BM57">
        <f>(0.955*(0.9442 - 0.0007*$B57 - dis_BMI*($C57-21.75)))*AI57</f>
        <v>1.4902717815089909E-5</v>
      </c>
      <c r="BN57">
        <f>(0.955*0.943*(0.9442 - 0.0007*$B57 - dis_BMI*($C57-21.75)) - 0.19*0.5)*AJ57</f>
        <v>3.0517383946183384E-7</v>
      </c>
      <c r="BO57">
        <f>(0.955*0.943*(0.9442 - 0.0007*$B57 - dis_BMI*($C57-21.75)) - 0.15*0.5)*AK57</f>
        <v>1.2410264336091953E-7</v>
      </c>
      <c r="BP57">
        <f>(0.955*0.943*(0.9442 - 0.0007*$B57 - dis_BMI*($C57-21.75)))*AL57</f>
        <v>-2.5951019153506926E-7</v>
      </c>
      <c r="BQ57">
        <f>(0.93*(0.9442 - 0.0007*$B57 - dis_BMI*($C57-21.75)))*AM57</f>
        <v>6.8538078399529405E-6</v>
      </c>
      <c r="BR57">
        <f>(0.93*(0.9442 - 0.0007*$B57 - dis_BMI*($C57-21.75)))*AN57</f>
        <v>3.0608938619969687E-5</v>
      </c>
      <c r="BS57">
        <f>(0.93*0.943*(0.9442 - 0.0007*$B57 - dis_BMI*($C57-21.75)))*AO57</f>
        <v>8.5004826198281602E-8</v>
      </c>
      <c r="BT57">
        <f>(0.93*0.943*(0.9442 - 0.0007*$B57 - dis_BMI*($C57-21.75))-0.19*0.5)*AP57</f>
        <v>4.98596570116095E-7</v>
      </c>
      <c r="BU57">
        <f>(0.93*0.943*(0.9442 - 0.0007*$B57 - dis_BMI*($C57-21.75)))*AQ57</f>
        <v>-3.7811862006795965E-7</v>
      </c>
      <c r="BV57">
        <f>0.962*(0.9442 - 0.0007*$B57 - dis_BMI*($C57-21.75))*AR57</f>
        <v>2.0064081998235664E-3</v>
      </c>
      <c r="BW57">
        <f>0.962*0.959*(0.9442 - 0.0007*$B57 - dis_BMI*($C57-21.75))*AS57</f>
        <v>3.1164080345817105E-4</v>
      </c>
      <c r="BX57">
        <f>0.962*(0.943*(0.9442 - 0.0007*$B57 - dis_BMI*($C57-21.75)) - 0.19*0.5)*AT57</f>
        <v>4.9619319905658428E-5</v>
      </c>
      <c r="BY57">
        <f>0.962*(0.943*(0.9442 - 0.0007*$B57 - dis_BMI*($C57-21.75)))*AU57</f>
        <v>-1.2284969103176333E-5</v>
      </c>
      <c r="BZ57">
        <f>0.962*(0.955*(0.9442 - 0.0007*$B57 - dis_BMI*($C57-21.75)) - 0.15*0.5)*AV57</f>
        <v>3.6700236474389872E-5</v>
      </c>
      <c r="CA57">
        <f>0.962*(0.955*(0.9442 - 0.0007*$B57 - dis_BMI*($C57-21.75)))*AW57</f>
        <v>5.116956299479887E-5</v>
      </c>
      <c r="CB57">
        <f>0.962*(0.955*0.943*(0.9442 - 0.0007*$B57 - dis_BMI*($C57-21.75)) - 0.19*0.5)*AX57</f>
        <v>1.9401639009028177E-6</v>
      </c>
      <c r="CC57">
        <f>0.962*(0.955*0.943*(0.9442 - 0.0007*$B57 - dis_BMI*($C57-21.75)) - 0.15*0.5)*AY57</f>
        <v>6.9731716655847401E-7</v>
      </c>
      <c r="CD57">
        <f>0.962*(0.955*0.943*(0.9442 - 0.0007*$B57 - dis_BMI*($C57-21.75)))*AZ57</f>
        <v>-1.8767018404315307E-6</v>
      </c>
      <c r="CE57">
        <f>0.962*(0.93*(0.9442 - 0.0007*$B57 - dis_BMI*($C57-21.75)))*BA57</f>
        <v>2.8816795584508006E-5</v>
      </c>
      <c r="CF57">
        <f>0.962*(0.93*(0.9442 - 0.0007*$B57 - dis_BMI*($C57-21.75)))*BB57</f>
        <v>1.0072553113837709E-4</v>
      </c>
      <c r="CG57">
        <f>0.962*(0.93*0.943*(0.9442 - 0.0007*$B57 - dis_BMI*($C57-21.75)))*BC57</f>
        <v>4.7491190548313E-7</v>
      </c>
      <c r="CH57">
        <f>0.962*(0.93*0.943*(0.9442 - 0.0007*$B57 - dis_BMI*($C57-21.75))-0.19*0.5)*BD57</f>
        <v>3.0047029539991692E-6</v>
      </c>
      <c r="CI57">
        <f>0.962*(0.93*0.943*(0.9442 - 0.0007*$B57 - dis_BMI*($C57-21.75)))*BE57</f>
        <v>-2.6404567292418643E-6</v>
      </c>
      <c r="CJ57">
        <f t="shared" si="51"/>
        <v>0</v>
      </c>
      <c r="CK57">
        <f t="shared" si="52"/>
        <v>3.5890383023832913E-3</v>
      </c>
      <c r="CL57">
        <f>CK57/(1+r_)^A57</f>
        <v>7.2739106005774283E-4</v>
      </c>
      <c r="CM57">
        <f>AD57*c_PT_2</f>
        <v>1.4793149957072649</v>
      </c>
      <c r="CN57">
        <f>AE57*(c_Other+c_PT_2)</f>
        <v>1.984075566721899</v>
      </c>
      <c r="CO57">
        <f>AF57*(c_Stroke1+c_Stroke2+c_PT_2)</f>
        <v>0.44276058398349993</v>
      </c>
      <c r="CP57">
        <f>AG57*(c_Stroke2 + c_PT_2)</f>
        <v>-3.8642685567707997E-3</v>
      </c>
      <c r="CQ57">
        <f>AH57*(c_MI1+c_MI2 + c_PT_2)</f>
        <v>0.37146309834441466</v>
      </c>
      <c r="CR57">
        <f>AI57*(c_MI2+c_PT_2)</f>
        <v>8.5868864475498269E-2</v>
      </c>
      <c r="CS57">
        <f>AJ57*(c_Stroke1+c_Stroke2+c_MI2+c_PT_2)</f>
        <v>1.3233291308256779E-2</v>
      </c>
      <c r="CT57">
        <f>AK57*(c_Stroke2+c_MI1+c_MI2+c_PT_2)</f>
        <v>6.8251208439210048E-3</v>
      </c>
      <c r="CU57">
        <f>AL57*(c_Stroke2+c_MI2+c_PT_2)</f>
        <v>-3.8350941325849099E-3</v>
      </c>
      <c r="CV57">
        <f>AM57*(c_HF1+c_PT_2)</f>
        <v>0.25219482181886027</v>
      </c>
      <c r="CW57">
        <f>AN57*(c_HF2+c_PT_2)</f>
        <v>0.67471034887078696</v>
      </c>
      <c r="CX57">
        <f>AO57*(c_Stroke2+c_HF1+c_PT_2)</f>
        <v>4.0735539153390421E-3</v>
      </c>
      <c r="CY57">
        <f>AP57*(c_Stroke1+c_Stroke2+c_HF2+c_PT_2)</f>
        <v>3.2090317206226023E-2</v>
      </c>
      <c r="CZ57">
        <f>AQ57*(c_Stroke2+c_HF2+c_PT_2)</f>
        <v>-1.2204262323852313E-2</v>
      </c>
      <c r="DA57">
        <f>AR57*(c_DM+c_PT_2)</f>
        <v>32.286105966073528</v>
      </c>
      <c r="DB57">
        <f>AS57*(c_Other+c_DM+c_PT_2)</f>
        <v>11.021807418022444</v>
      </c>
      <c r="DC57">
        <f>AT57*(c_Stroke1+c_Stroke2+c_DM+c_PT_2)</f>
        <v>2.7429835020553512</v>
      </c>
      <c r="DD57">
        <f>AU57*(c_Stroke2+c_DM+c_PT_2)</f>
        <v>-0.31534332413084232</v>
      </c>
      <c r="DE57">
        <f>AV57*(c_MI1+c_MI2+c_DM+c_PT_2)</f>
        <v>2.2269186751773011</v>
      </c>
      <c r="DF57">
        <f>AW57*(c_MI2+c_DM+c_PT_2)</f>
        <v>1.0706850478037269</v>
      </c>
      <c r="DG57">
        <f>AX57*(c_Stroke1+c_Stroke2+c_MI2+c_DM+c_PT_2)</f>
        <v>0.12263943408500771</v>
      </c>
      <c r="DH57">
        <f>AY57*(c_Stroke2+c_MI1+c_MI2+c_DM+c_PT_2)</f>
        <v>5.2135332910290232E-2</v>
      </c>
      <c r="DI57">
        <f>AZ57*(c_Stroke2+c_MI2+c_DM+c_PT_2)</f>
        <v>-5.855193916915085E-2</v>
      </c>
      <c r="DJ57">
        <f>BA57*(c_HF1+c_DM+c_PT_2)</f>
        <v>1.5441757441784776</v>
      </c>
      <c r="DK57">
        <f>BB57*(c_HF2+c_DM+c_PT_2)</f>
        <v>3.8527314256520393</v>
      </c>
      <c r="DL57">
        <f>BC57*(c_Stroke2+c_HF1+c_DM+c_PT_2)</f>
        <v>3.138101657279653E-2</v>
      </c>
      <c r="DM57">
        <f>BD57*(c_Stroke1+c_Stroke2+c_HF2+c_DM+c_PT_2)</f>
        <v>0.25719918807843001</v>
      </c>
      <c r="DN57">
        <f>BE57*(c_Stroke2+c_HF2+c_DM+c_PT_2)</f>
        <v>-0.13153274021180084</v>
      </c>
      <c r="DO57">
        <f t="shared" si="53"/>
        <v>0</v>
      </c>
      <c r="DP57">
        <f t="shared" si="54"/>
        <v>60.030041685280359</v>
      </c>
      <c r="DQ57">
        <f>DP57/(1+r_)^A57</f>
        <v>12.166299709805475</v>
      </c>
    </row>
    <row r="58" spans="1:121" x14ac:dyDescent="0.3">
      <c r="A58">
        <v>55</v>
      </c>
      <c r="B58">
        <v>100</v>
      </c>
      <c r="C58">
        <f t="shared" si="39"/>
        <v>34.542000000000002</v>
      </c>
      <c r="D58">
        <f t="shared" si="1"/>
        <v>125</v>
      </c>
      <c r="E58">
        <f t="shared" si="41"/>
        <v>5.7</v>
      </c>
      <c r="F58">
        <v>0.31955</v>
      </c>
      <c r="G58">
        <v>0.36148000000000002</v>
      </c>
      <c r="H58">
        <f t="shared" si="42"/>
        <v>0.32793600000000001</v>
      </c>
      <c r="I58">
        <f t="shared" si="43"/>
        <v>4.0096398347168494E-2</v>
      </c>
      <c r="J58">
        <f t="shared" si="21"/>
        <v>0.50830778535254728</v>
      </c>
      <c r="K58">
        <f t="shared" si="22"/>
        <v>0.62998513958353475</v>
      </c>
      <c r="L58">
        <f t="shared" si="23"/>
        <v>0.28542473430195969</v>
      </c>
      <c r="M58">
        <f t="shared" si="24"/>
        <v>0.37540938801652557</v>
      </c>
      <c r="N58">
        <f t="shared" si="25"/>
        <v>0.87702778726216257</v>
      </c>
      <c r="O58">
        <f t="shared" si="26"/>
        <v>0.9482503571577664</v>
      </c>
      <c r="P58">
        <f t="shared" si="27"/>
        <v>0.6433148033001026</v>
      </c>
      <c r="Q58">
        <f t="shared" si="28"/>
        <v>0.7669850501512262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4.1637715657226682E-2</v>
      </c>
      <c r="U58">
        <f t="shared" si="29"/>
        <v>0.78668095058932064</v>
      </c>
      <c r="V58">
        <f t="shared" si="30"/>
        <v>0.88510217993829798</v>
      </c>
      <c r="W58">
        <f t="shared" si="31"/>
        <v>0.51875812900130025</v>
      </c>
      <c r="X58">
        <f t="shared" si="32"/>
        <v>0.64095185567550994</v>
      </c>
      <c r="Y58">
        <f t="shared" si="33"/>
        <v>0.97174030086468532</v>
      </c>
      <c r="Z58">
        <f t="shared" si="34"/>
        <v>0.9935208671735648</v>
      </c>
      <c r="AA58">
        <f t="shared" si="35"/>
        <v>0.82696073061587982</v>
      </c>
      <c r="AB58">
        <f t="shared" si="36"/>
        <v>0.91614926719507028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6.3565415965551653E-2</v>
      </c>
      <c r="AD58">
        <f t="shared" si="44"/>
        <v>6.3325704403332768E-4</v>
      </c>
      <c r="AE58">
        <f t="shared" si="45"/>
        <v>7.0241687453320202E-5</v>
      </c>
      <c r="AF58">
        <f t="shared" si="46"/>
        <v>1.1231964177728366E-5</v>
      </c>
      <c r="AG58">
        <f t="shared" si="47"/>
        <v>-1.4085945215413071E-6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7.8224638396574389E-6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1.0470865438158545E-5</v>
      </c>
      <c r="AJ58">
        <f t="shared" si="48"/>
        <v>2.8845485510788781E-7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1.0990220159271706E-7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-2.2935554422874619E-7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5.5862114135003582E-6</v>
      </c>
      <c r="AN58">
        <f t="shared" si="49"/>
        <v>2.0154844154853323E-5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6.850516075514786E-8</v>
      </c>
      <c r="AP58">
        <f>AM57*T57*p_Stroke*p_Stroke_rec*(1-I57) + AN57*T57*p_Stroke*p_Stroke_rec*(1-I57) + AO57*(p_recur_Stroke*p_Stroke_rec)*(1-I57) + AP57*(p_recur_Stroke*p_Stroke_rec)*(1-I57) + AQ57*(p_recur_Stroke*p_Stroke_rec)*(1-I57)</f>
        <v>4.4217926621509077E-7</v>
      </c>
      <c r="AQ58">
        <f>AO57*(1-p_recur_Stroke-H57*rr_Stroke*rr_HF)*(1-I57) + AP57*(1-p_recur_Stroke-H57*rr_Stroke*rr_HF)*(1-I57) + AQ57*(1-p_recur_Stroke-H57*rr_Stroke*rr_HF)*(1-I57)</f>
        <v>-3.1734131407391989E-7</v>
      </c>
      <c r="AR58">
        <f>AR57*(1-AC57-H57*rr_DM) + AD57*(1-T57-H57)*I57</f>
        <v>1.4932653926424053E-3</v>
      </c>
      <c r="AS58">
        <f>AR57*AC57*p_Other + AD57*T57*p_Other*I57 + AE57*(1-T57*p_Stroke-T57*p_MI-H57*rr_Other)*I57 + AS57*(1-AC57*p_Stroke-AC57*p_MI-H57*rr_Other*rr_DM)</f>
        <v>2.1247354226203283E-4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4.5539374517087602E-5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-1.3772332088704768E-5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3.2294386208341118E-5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3.3496980922897907E-5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1.7737026043722542E-6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6.0542922696438734E-7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-1.5823945011609148E-6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2.2962110017558982E-5</v>
      </c>
      <c r="BB58">
        <f>AM57*(1-T57*p_Stroke - H57*rr_HF)*I57 + AN57*(1-T57*p_Stroke - H57*rr_HF)*I57 + BA57*(1-AC57*p_Stroke - H57*rr_HF*rr_DM) + BB57*(1-AC57*p_Stroke - H57*rr_HF*rr_DM)</f>
        <v>6.0923658810044414E-5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3.7400487861023959E-7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2.5281329208980412E-6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-2.0737090179631317E-6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0.93935347288998217</v>
      </c>
      <c r="BG58">
        <f t="shared" si="50"/>
        <v>0.94199999999999995</v>
      </c>
      <c r="BH58">
        <f>(0.9442 - 0.0007*$B58 - dis_BMI*($C58-21.75))*AD58</f>
        <v>5.2686124833992989E-4</v>
      </c>
      <c r="BI58">
        <f>0.959*(0.9442 - 0.0007*$B58 - dis_BMI*($C58-21.75))*AE58</f>
        <v>5.6044083398570311E-5</v>
      </c>
      <c r="BJ58">
        <f>(0.943*(0.9442 - 0.0007*$B58 - dis_BMI*($C58-21.75)) - 0.19*0.5)*AF58</f>
        <v>7.7451488821270311E-6</v>
      </c>
      <c r="BK58">
        <f>(0.943*(0.9442 - 0.0007*$B58 - dis_BMI*($C58-21.75)))*AG58</f>
        <v>-1.1051313903897728E-6</v>
      </c>
      <c r="BL58">
        <f>(0.955*(0.9442 - 0.0007*$B58 - dis_BMI*($C58-21.75)) - 0.15*0.5)*AH58</f>
        <v>5.6286304823035588E-6</v>
      </c>
      <c r="BM58">
        <f>(0.955*(0.9442 - 0.0007*$B58 - dis_BMI*($C58-21.75)))*AI58</f>
        <v>8.3195948469429443E-6</v>
      </c>
      <c r="BN58">
        <f>(0.955*0.943*(0.9442 - 0.0007*$B58 - dis_BMI*($C58-21.75)) - 0.19*0.5)*AJ58</f>
        <v>1.8872384822391257E-7</v>
      </c>
      <c r="BO58">
        <f>(0.955*0.943*(0.9442 - 0.0007*$B58 - dis_BMI*($C58-21.75)) - 0.15*0.5)*AK58</f>
        <v>7.4102420212661464E-8</v>
      </c>
      <c r="BP58">
        <f>(0.955*0.943*(0.9442 - 0.0007*$B58 - dis_BMI*($C58-21.75)))*AL58</f>
        <v>-1.7184643789848685E-7</v>
      </c>
      <c r="BQ58">
        <f>(0.93*(0.9442 - 0.0007*$B58 - dis_BMI*($C58-21.75)))*AM58</f>
        <v>4.3223162889080802E-6</v>
      </c>
      <c r="BR58">
        <f>(0.93*(0.9442 - 0.0007*$B58 - dis_BMI*($C58-21.75)))*AN58</f>
        <v>1.5594757294790438E-5</v>
      </c>
      <c r="BS58">
        <f>(0.93*0.943*(0.9442 - 0.0007*$B58 - dis_BMI*($C58-21.75)))*AO58</f>
        <v>4.9984362588870079E-8</v>
      </c>
      <c r="BT58">
        <f>(0.93*0.943*(0.9442 - 0.0007*$B58 - dis_BMI*($C58-21.75))-0.19*0.5)*AP58</f>
        <v>2.8062630898123192E-7</v>
      </c>
      <c r="BU58">
        <f>(0.93*0.943*(0.9442 - 0.0007*$B58 - dis_BMI*($C58-21.75)))*AQ58</f>
        <v>-2.3154610736253682E-7</v>
      </c>
      <c r="BV58">
        <f>0.962*(0.9442 - 0.0007*$B58 - dis_BMI*($C58-21.75))*AR58</f>
        <v>1.195166191334914E-3</v>
      </c>
      <c r="BW58">
        <f>0.962*0.959*(0.9442 - 0.0007*$B58 - dis_BMI*($C58-21.75))*AS58</f>
        <v>1.6308528041955047E-4</v>
      </c>
      <c r="BX58">
        <f>0.962*(0.943*(0.9442 - 0.0007*$B58 - dis_BMI*($C58-21.75)) - 0.19*0.5)*AT58</f>
        <v>3.0208989212457149E-5</v>
      </c>
      <c r="BY58">
        <f>0.962*(0.943*(0.9442 - 0.0007*$B58 - dis_BMI*($C58-21.75)))*AU58</f>
        <v>-1.0394664538872985E-5</v>
      </c>
      <c r="BZ58">
        <f>0.962*(0.955*(0.9442 - 0.0007*$B58 - dis_BMI*($C58-21.75)) - 0.15*0.5)*AV58</f>
        <v>2.2354310594763602E-5</v>
      </c>
      <c r="CA58">
        <f>0.962*(0.955*(0.9442 - 0.0007*$B58 - dis_BMI*($C58-21.75)))*AW58</f>
        <v>2.5603558911383777E-5</v>
      </c>
      <c r="CB58">
        <f>0.962*(0.955*0.943*(0.9442 - 0.0007*$B58 - dis_BMI*($C58-21.75)) - 0.19*0.5)*AX58</f>
        <v>1.1163613859076613E-6</v>
      </c>
      <c r="CC58">
        <f>0.962*(0.955*0.943*(0.9442 - 0.0007*$B58 - dis_BMI*($C58-21.75)) - 0.15*0.5)*AY58</f>
        <v>3.927032130623966E-7</v>
      </c>
      <c r="CD58">
        <f>0.962*(0.955*0.943*(0.9442 - 0.0007*$B58 - dis_BMI*($C58-21.75)))*AZ58</f>
        <v>-1.1405678578038592E-6</v>
      </c>
      <c r="CE58">
        <f>0.962*(0.93*(0.9442 - 0.0007*$B58 - dis_BMI*($C58-21.75)))*BA58</f>
        <v>1.709173069316702E-5</v>
      </c>
      <c r="CF58">
        <f>0.962*(0.93*(0.9442 - 0.0007*$B58 - dis_BMI*($C58-21.75)))*BB58</f>
        <v>4.5348217930643258E-5</v>
      </c>
      <c r="CG58">
        <f>0.962*(0.93*0.943*(0.9442 - 0.0007*$B58 - dis_BMI*($C58-21.75)))*BC58</f>
        <v>2.6252049096221749E-7</v>
      </c>
      <c r="CH58">
        <f>0.962*(0.93*0.943*(0.9442 - 0.0007*$B58 - dis_BMI*($C58-21.75))-0.19*0.5)*BD58</f>
        <v>1.543494141775873E-6</v>
      </c>
      <c r="CI58">
        <f>0.962*(0.93*0.943*(0.9442 - 0.0007*$B58 - dis_BMI*($C58-21.75)))*BE58</f>
        <v>-1.4555722148100205E-6</v>
      </c>
      <c r="CJ58">
        <f t="shared" si="51"/>
        <v>0</v>
      </c>
      <c r="CK58">
        <f t="shared" si="52"/>
        <v>2.1127832462550281E-3</v>
      </c>
      <c r="CL58">
        <f>CK58/(1+r_)^A58</f>
        <v>4.1572638189373777E-4</v>
      </c>
      <c r="CM58">
        <f>AD58*c_PT_2</f>
        <v>0.92772156950882501</v>
      </c>
      <c r="CN58">
        <f>AE58*(c_Other+c_PT_2)</f>
        <v>1.1058851272650732</v>
      </c>
      <c r="CO58">
        <f>AF58*(c_Stroke1+c_Stroke2+c_PT_2)</f>
        <v>0.28395528637715084</v>
      </c>
      <c r="CP58">
        <f>AG58*(c_Stroke2 + c_PT_2)</f>
        <v>-1.1219455364076512E-2</v>
      </c>
      <c r="CQ58">
        <f>AH58*(c_MI1+c_MI2 + c_PT_2)</f>
        <v>0.23949255291495214</v>
      </c>
      <c r="CR58">
        <f>AI58*(c_MI2+c_PT_2)</f>
        <v>4.7977505437642454E-2</v>
      </c>
      <c r="CS58">
        <f>AJ58*(c_Stroke1+c_Stroke2+c_MI2+c_PT_2)</f>
        <v>8.1915409753537984E-3</v>
      </c>
      <c r="CT58">
        <f>AK58*(c_Stroke2+c_MI1+c_MI2+c_PT_2)</f>
        <v>4.0791301143152867E-3</v>
      </c>
      <c r="CU58">
        <f>AL58*(c_Stroke2+c_MI2+c_PT_2)</f>
        <v>-2.5417181411429655E-3</v>
      </c>
      <c r="CV58">
        <f>AM58*(c_HF1+c_PT_2)</f>
        <v>0.15917909422769272</v>
      </c>
      <c r="CW58">
        <f>AN58*(c_HF2+c_PT_2)</f>
        <v>0.34404318972334624</v>
      </c>
      <c r="CX58">
        <f>AO58*(c_Stroke2+c_HF1+c_PT_2)</f>
        <v>2.3973381006263993E-3</v>
      </c>
      <c r="CY58">
        <f>AP58*(c_Stroke1+c_Stroke2+c_HF2+c_PT_2)</f>
        <v>1.8078941478470202E-2</v>
      </c>
      <c r="CZ58">
        <f>AQ58*(c_Stroke2+c_HF2+c_PT_2)</f>
        <v>-7.4797347727222916E-3</v>
      </c>
      <c r="DA58">
        <f>AR58*(c_DM+c_PT_2)</f>
        <v>19.248190911160602</v>
      </c>
      <c r="DB58">
        <f>AS58*(c_Other+c_DM+c_PT_2)</f>
        <v>5.77269366971717</v>
      </c>
      <c r="DC58">
        <f>AT58*(c_Stroke1+c_Stroke2+c_DM+c_PT_2)</f>
        <v>1.6715682810242176</v>
      </c>
      <c r="DD58">
        <f>AU58*(c_Stroke2+c_DM+c_PT_2)</f>
        <v>-0.26704551919998543</v>
      </c>
      <c r="DE58">
        <f>AV58*(c_MI1+c_MI2+c_DM+c_PT_2)</f>
        <v>1.3576882905848691</v>
      </c>
      <c r="DF58">
        <f>AW58*(c_MI2+c_DM+c_PT_2)</f>
        <v>0.53618617363282683</v>
      </c>
      <c r="DG58">
        <f>AX58*(c_Stroke1+c_Stroke2+c_MI2+c_DM+c_PT_2)</f>
        <v>7.0634158813916284E-2</v>
      </c>
      <c r="DH58">
        <f>AY58*(c_Stroke2+c_MI1+c_MI2+c_DM+c_PT_2)</f>
        <v>2.9388140106078327E-2</v>
      </c>
      <c r="DI58">
        <f>AZ58*(c_Stroke2+c_MI2+c_DM+c_PT_2)</f>
        <v>-3.561495303762871E-2</v>
      </c>
      <c r="DJ58">
        <f>BA58*(c_HF1+c_DM+c_PT_2)</f>
        <v>0.91664743190095455</v>
      </c>
      <c r="DK58">
        <f>BB58*(c_HF2+c_DM+c_PT_2)</f>
        <v>1.7360196577922156</v>
      </c>
      <c r="DL58">
        <f>BC58*(c_Stroke2+c_HF1+c_DM+c_PT_2)</f>
        <v>1.7361306465087323E-2</v>
      </c>
      <c r="DM58">
        <f>BD58*(c_Stroke1+c_Stroke2+c_HF2+c_DM+c_PT_2)</f>
        <v>0.13224916122509744</v>
      </c>
      <c r="DN58">
        <f>BE58*(c_Stroke2+c_HF2+c_DM+c_PT_2)</f>
        <v>-7.2569447083619787E-2</v>
      </c>
      <c r="DO58">
        <f t="shared" si="53"/>
        <v>0</v>
      </c>
      <c r="DP58">
        <f t="shared" si="54"/>
        <v>34.233157630947304</v>
      </c>
      <c r="DQ58">
        <f>DP58/(1+r_)^A58</f>
        <v>6.7359615748268116</v>
      </c>
    </row>
    <row r="59" spans="1:121" x14ac:dyDescent="0.3">
      <c r="A59">
        <v>56</v>
      </c>
      <c r="B59">
        <v>101</v>
      </c>
      <c r="C59">
        <f t="shared" si="39"/>
        <v>34.542000000000002</v>
      </c>
      <c r="D59">
        <f t="shared" si="1"/>
        <v>125</v>
      </c>
      <c r="E59">
        <f t="shared" si="41"/>
        <v>5.7</v>
      </c>
      <c r="F59">
        <v>0.34189000000000003</v>
      </c>
      <c r="G59">
        <v>0.38297999999999999</v>
      </c>
      <c r="H59">
        <f t="shared" si="42"/>
        <v>0.35010800000000003</v>
      </c>
      <c r="I59">
        <f t="shared" si="43"/>
        <v>4.0096398347168494E-2</v>
      </c>
      <c r="J59">
        <f t="shared" si="21"/>
        <v>0.51779498164219184</v>
      </c>
      <c r="K59">
        <f t="shared" si="22"/>
        <v>0.63994507143846335</v>
      </c>
      <c r="L59">
        <f t="shared" si="23"/>
        <v>0.29198531593171795</v>
      </c>
      <c r="M59">
        <f t="shared" si="24"/>
        <v>0.38342560772280121</v>
      </c>
      <c r="N59">
        <f t="shared" si="25"/>
        <v>0.88487431789138127</v>
      </c>
      <c r="O59">
        <f t="shared" si="26"/>
        <v>0.95285379480091037</v>
      </c>
      <c r="P59">
        <f t="shared" si="27"/>
        <v>0.65469733877686109</v>
      </c>
      <c r="Q59">
        <f t="shared" si="28"/>
        <v>0.77742232042236736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4.2408752675857718E-2</v>
      </c>
      <c r="U59">
        <f t="shared" si="29"/>
        <v>0.79553707173313548</v>
      </c>
      <c r="V59">
        <f t="shared" si="30"/>
        <v>0.89172663075891956</v>
      </c>
      <c r="W59">
        <f t="shared" si="31"/>
        <v>0.52832187344993387</v>
      </c>
      <c r="X59">
        <f t="shared" si="32"/>
        <v>0.65090497060835495</v>
      </c>
      <c r="Y59">
        <f t="shared" si="33"/>
        <v>0.97473954926100759</v>
      </c>
      <c r="Z59">
        <f t="shared" si="34"/>
        <v>0.9944707405860822</v>
      </c>
      <c r="AA59">
        <f t="shared" si="35"/>
        <v>0.83625176742184415</v>
      </c>
      <c r="AB59">
        <f t="shared" si="36"/>
        <v>0.92243955877608086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6.4414340342000165E-2</v>
      </c>
      <c r="AD59">
        <f t="shared" si="44"/>
        <v>3.8321452556176917E-4</v>
      </c>
      <c r="AE59">
        <f t="shared" si="45"/>
        <v>3.807126458934127E-5</v>
      </c>
      <c r="AF59">
        <f t="shared" si="46"/>
        <v>6.9906939617092066E-6</v>
      </c>
      <c r="AG59">
        <f t="shared" si="47"/>
        <v>-1.4672281066299071E-6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4.8815564117925445E-6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5.5872656162174643E-6</v>
      </c>
      <c r="AJ59">
        <f t="shared" si="48"/>
        <v>1.7262127688071547E-7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6.4155364576296195E-8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-1.4533341609276336E-7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3.4113159354383939E-6</v>
      </c>
      <c r="AN59">
        <f t="shared" si="49"/>
        <v>9.7249366286548506E-6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3.9348622819734812E-8</v>
      </c>
      <c r="AP59">
        <f>AM58*T58*p_Stroke*p_Stroke_rec*(1-I58) + AN58*T58*p_Stroke*p_Stroke_rec*(1-I58) + AO58*(p_recur_Stroke*p_Stroke_rec)*(1-I58) + AP58*(p_recur_Stroke*p_Stroke_rec)*(1-I58) + AQ58*(p_recur_Stroke*p_Stroke_rec)*(1-I58)</f>
        <v>2.3818826779561763E-7</v>
      </c>
      <c r="AQ59">
        <f>AO58*(1-p_recur_Stroke-H58*rr_Stroke*rr_HF)*(1-I58) + AP58*(1-p_recur_Stroke-H58*rr_Stroke*rr_HF)*(1-I58) + AQ58*(1-p_recur_Stroke-H58*rr_Stroke*rr_HF)*(1-I58)</f>
        <v>-1.8338597269345719E-7</v>
      </c>
      <c r="AR59">
        <f>AR58*(1-AC58-H58*rr_DM) + AD58*(1-T58-H58)*I58</f>
        <v>8.5120291478236066E-4</v>
      </c>
      <c r="AS59">
        <f>AR58*AC58*p_Other + AD58*T58*p_Other*I58 + AE58*(1-T58*p_Stroke-T58*p_MI-H58*rr_Other)*I58 + AS58*(1-AC58*p_Stroke-AC58*p_MI-H58*rr_Other*rr_DM)</f>
        <v>1.079463352110518E-4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2.6742034333810283E-5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-1.0048529206282028E-5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1.8935126465585262E-5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1.5722006807664373E-5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9.8009338116801446E-7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3.3081905997411814E-7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-9.1366684045877403E-7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1.3105139242220445E-5</v>
      </c>
      <c r="BB59">
        <f>AM58*(1-T58*p_Stroke - H58*rr_HF)*I58 + AN58*(1-T58*p_Stroke - H58*rr_HF)*I58 + BA58*(1-AC58*p_Stroke - H58*rr_HF*rr_DM) + BB58*(1-AC58*p_Stroke - H58*rr_HF*rr_DM)</f>
        <v>2.5488898892085966E-5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2.0026193517414418E-7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1.2297086351508889E-6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-1.0583881773265444E-6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0.94049953732073621</v>
      </c>
      <c r="BG59">
        <f t="shared" si="50"/>
        <v>0.94199999999999995</v>
      </c>
      <c r="BH59">
        <f>(0.9442 - 0.0007*$B59 - dis_BMI*($C59-21.75))*AD59</f>
        <v>3.1856102338195113E-4</v>
      </c>
      <c r="BI59">
        <f>0.959*(0.9442 - 0.0007*$B59 - dis_BMI*($C59-21.75))*AE59</f>
        <v>3.0350551380080224E-5</v>
      </c>
      <c r="BJ59">
        <f>(0.943*(0.9442 - 0.0007*$B59 - dis_BMI*($C59-21.75)) - 0.19*0.5)*AF59</f>
        <v>4.8159105680035441E-6</v>
      </c>
      <c r="BK59">
        <f>(0.943*(0.9442 - 0.0007*$B59 - dis_BMI*($C59-21.75)))*AG59</f>
        <v>-1.1501646248070577E-6</v>
      </c>
      <c r="BL59">
        <f>(0.955*(0.9442 - 0.0007*$B59 - dis_BMI*($C59-21.75)) - 0.15*0.5)*AH59</f>
        <v>3.5092460095534841E-6</v>
      </c>
      <c r="BM59">
        <f>(0.955*(0.9442 - 0.0007*$B59 - dis_BMI*($C59-21.75)))*AI59</f>
        <v>4.4356101135514838E-6</v>
      </c>
      <c r="BN59">
        <f>(0.955*0.943*(0.9442 - 0.0007*$B59 - dis_BMI*($C59-21.75)) - 0.19*0.5)*AJ59</f>
        <v>1.128300027474471E-7</v>
      </c>
      <c r="BO59">
        <f>(0.955*0.943*(0.9442 - 0.0007*$B59 - dis_BMI*($C59-21.75)) - 0.15*0.5)*AK59</f>
        <v>4.3216813797526418E-8</v>
      </c>
      <c r="BP59">
        <f>(0.955*0.943*(0.9442 - 0.0007*$B59 - dis_BMI*($C59-21.75)))*AL59</f>
        <v>-1.0880058277323866E-7</v>
      </c>
      <c r="BQ59">
        <f>(0.93*(0.9442 - 0.0007*$B59 - dis_BMI*($C59-21.75)))*AM59</f>
        <v>2.6372759052068902E-6</v>
      </c>
      <c r="BR59">
        <f>(0.93*(0.9442 - 0.0007*$B59 - dis_BMI*($C59-21.75)))*AN59</f>
        <v>7.5183130310442448E-6</v>
      </c>
      <c r="BS59">
        <f>(0.93*0.943*(0.9442 - 0.0007*$B59 - dis_BMI*($C59-21.75)))*AO59</f>
        <v>2.8686320982945768E-8</v>
      </c>
      <c r="BT59">
        <f>(0.93*0.943*(0.9442 - 0.0007*$B59 - dis_BMI*($C59-21.75))-0.19*0.5)*AP59</f>
        <v>1.5101847406885394E-7</v>
      </c>
      <c r="BU59">
        <f>(0.93*0.943*(0.9442 - 0.0007*$B59 - dis_BMI*($C59-21.75)))*AQ59</f>
        <v>-1.3369384998693824E-7</v>
      </c>
      <c r="BV59">
        <f>0.962*(0.9442 - 0.0007*$B59 - dis_BMI*($C59-21.75))*AR59</f>
        <v>6.8070485724437582E-4</v>
      </c>
      <c r="BW59">
        <f>0.962*0.959*(0.9442 - 0.0007*$B59 - dis_BMI*($C59-21.75))*AS59</f>
        <v>8.2785115151085039E-5</v>
      </c>
      <c r="BX59">
        <f>0.962*(0.943*(0.9442 - 0.0007*$B59 - dis_BMI*($C59-21.75)) - 0.19*0.5)*AT59</f>
        <v>1.7722608241458584E-5</v>
      </c>
      <c r="BY59">
        <f>0.962*(0.943*(0.9442 - 0.0007*$B59 - dis_BMI*($C59-21.75)))*AU59</f>
        <v>-7.5777441740919207E-6</v>
      </c>
      <c r="BZ59">
        <f>0.962*(0.955*(0.9442 - 0.0007*$B59 - dis_BMI*($C59-21.75)) - 0.15*0.5)*AV59</f>
        <v>1.3094797427663507E-5</v>
      </c>
      <c r="CA59">
        <f>0.962*(0.955*(0.9442 - 0.0007*$B59 - dis_BMI*($C59-21.75)))*AW59</f>
        <v>1.2007071562057809E-5</v>
      </c>
      <c r="CB59">
        <f>0.962*(0.955*0.943*(0.9442 - 0.0007*$B59 - dis_BMI*($C59-21.75)) - 0.19*0.5)*AX59</f>
        <v>6.1627251943939557E-7</v>
      </c>
      <c r="CC59">
        <f>0.962*(0.955*0.943*(0.9442 - 0.0007*$B59 - dis_BMI*($C59-21.75)) - 0.15*0.5)*AY59</f>
        <v>2.1438054119427457E-7</v>
      </c>
      <c r="CD59">
        <f>0.962*(0.955*0.943*(0.9442 - 0.0007*$B59 - dis_BMI*($C59-21.75)))*AZ59</f>
        <v>-6.5800421441112113E-7</v>
      </c>
      <c r="CE59">
        <f>0.962*(0.93*(0.9442 - 0.0007*$B59 - dis_BMI*($C59-21.75)))*BA59</f>
        <v>9.746536997669389E-6</v>
      </c>
      <c r="CF59">
        <f>0.962*(0.93*(0.9442 - 0.0007*$B59 - dis_BMI*($C59-21.75)))*BB59</f>
        <v>1.89565705094697E-5</v>
      </c>
      <c r="CG59">
        <f>0.962*(0.93*0.943*(0.9442 - 0.0007*$B59 - dis_BMI*($C59-21.75)))*BC59</f>
        <v>1.4044904718959896E-7</v>
      </c>
      <c r="CH59">
        <f>0.962*(0.93*0.943*(0.9442 - 0.0007*$B59 - dis_BMI*($C59-21.75))-0.19*0.5)*BD59</f>
        <v>7.5004445794594928E-7</v>
      </c>
      <c r="CI59">
        <f>0.962*(0.93*0.943*(0.9442 - 0.0007*$B59 - dis_BMI*($C59-21.75)))*BE59</f>
        <v>-7.4227591445666612E-7</v>
      </c>
      <c r="CJ59">
        <f t="shared" si="51"/>
        <v>0</v>
      </c>
      <c r="CK59">
        <f t="shared" si="52"/>
        <v>1.1985317023400102E-3</v>
      </c>
      <c r="CL59">
        <f>CK59/(1+r_)^A59</f>
        <v>2.2896280795317955E-4</v>
      </c>
      <c r="CM59">
        <f>AD59*c_PT_2</f>
        <v>0.56140927994799183</v>
      </c>
      <c r="CN59">
        <f>AE59*(c_Other+c_PT_2)</f>
        <v>0.5993939896945889</v>
      </c>
      <c r="CO59">
        <f>AF59*(c_Stroke1+c_Stroke2+c_PT_2)</f>
        <v>0.17673173404597045</v>
      </c>
      <c r="CP59">
        <f>AG59*(c_Stroke2 + c_PT_2)</f>
        <v>-1.168647186930721E-2</v>
      </c>
      <c r="CQ59">
        <f>AH59*(c_MI1+c_MI2 + c_PT_2)</f>
        <v>0.14945373110344054</v>
      </c>
      <c r="CR59">
        <f>AI59*(c_MI2+c_PT_2)</f>
        <v>2.5600851053508421E-2</v>
      </c>
      <c r="CS59">
        <f>AJ59*(c_Stroke1+c_Stroke2+c_MI2+c_PT_2)</f>
        <v>4.902099020858558E-3</v>
      </c>
      <c r="CT59">
        <f>AK59*(c_Stroke2+c_MI1+c_MI2+c_PT_2)</f>
        <v>2.3811905116138095E-3</v>
      </c>
      <c r="CU59">
        <f>AL59*(c_Stroke2+c_MI2+c_PT_2)</f>
        <v>-1.6105849171400037E-3</v>
      </c>
      <c r="CV59">
        <f>AM59*(c_HF1+c_PT_2)</f>
        <v>9.7205447580317031E-2</v>
      </c>
      <c r="CW59">
        <f>AN59*(c_HF2+c_PT_2)</f>
        <v>0.1660046682511383</v>
      </c>
      <c r="CX59">
        <f>AO59*(c_Stroke2+c_HF1+c_PT_2)</f>
        <v>1.3770050555766196E-3</v>
      </c>
      <c r="CY59">
        <f>AP59*(c_Stroke1+c_Stroke2+c_HF2+c_PT_2)</f>
        <v>9.7385655170916224E-3</v>
      </c>
      <c r="CZ59">
        <f>AQ59*(c_Stroke2+c_HF2+c_PT_2)</f>
        <v>-4.3224073763847857E-3</v>
      </c>
      <c r="DA59">
        <f>AR59*(c_DM+c_PT_2)</f>
        <v>10.97200557154463</v>
      </c>
      <c r="DB59">
        <f>AS59*(c_Other+c_DM+c_PT_2)</f>
        <v>2.9327939813490662</v>
      </c>
      <c r="DC59">
        <f>AT59*(c_Stroke1+c_Stroke2+c_DM+c_PT_2)</f>
        <v>0.98159311225684021</v>
      </c>
      <c r="DD59">
        <f>AU59*(c_Stroke2+c_DM+c_PT_2)</f>
        <v>-0.19484098130980851</v>
      </c>
      <c r="DE59">
        <f>AV59*(c_MI1+c_MI2+c_DM+c_PT_2)</f>
        <v>0.79605165173966996</v>
      </c>
      <c r="DF59">
        <f>AW59*(c_MI2+c_DM+c_PT_2)</f>
        <v>0.2516621629702836</v>
      </c>
      <c r="DG59">
        <f>AX59*(c_Stroke1+c_Stroke2+c_MI2+c_DM+c_PT_2)</f>
        <v>3.9030258718253837E-2</v>
      </c>
      <c r="DH59">
        <f>AY59*(c_Stroke2+c_MI1+c_MI2+c_DM+c_PT_2)</f>
        <v>1.605828799020367E-2</v>
      </c>
      <c r="DI59">
        <f>AZ59*(c_Stroke2+c_MI2+c_DM+c_PT_2)</f>
        <v>-2.0563899578205626E-2</v>
      </c>
      <c r="DJ59">
        <f>BA59*(c_HF1+c_DM+c_PT_2)</f>
        <v>0.52315715854944012</v>
      </c>
      <c r="DK59">
        <f>BB59*(c_HF2+c_DM+c_PT_2)</f>
        <v>0.72630617392998964</v>
      </c>
      <c r="DL59">
        <f>BC59*(c_Stroke2+c_HF1+c_DM+c_PT_2)</f>
        <v>9.2961590307837731E-3</v>
      </c>
      <c r="DM59">
        <f>BD59*(c_Stroke1+c_Stroke2+c_HF2+c_DM+c_PT_2)</f>
        <v>6.4327288413378148E-2</v>
      </c>
      <c r="DN59">
        <f>BE59*(c_Stroke2+c_HF2+c_DM+c_PT_2)</f>
        <v>-3.7038294265542421E-2</v>
      </c>
      <c r="DO59">
        <f t="shared" si="53"/>
        <v>0</v>
      </c>
      <c r="DP59">
        <f t="shared" si="54"/>
        <v>18.836417728958242</v>
      </c>
      <c r="DQ59">
        <f>DP59/(1+r_)^A59</f>
        <v>3.5984355579255487</v>
      </c>
    </row>
    <row r="60" spans="1:121" x14ac:dyDescent="0.3">
      <c r="A60">
        <v>57</v>
      </c>
      <c r="B60">
        <v>102</v>
      </c>
      <c r="C60">
        <f t="shared" si="39"/>
        <v>34.542000000000002</v>
      </c>
      <c r="D60">
        <f t="shared" si="1"/>
        <v>125</v>
      </c>
      <c r="E60">
        <f t="shared" si="41"/>
        <v>5.7</v>
      </c>
      <c r="F60">
        <v>0.36415999999999998</v>
      </c>
      <c r="G60">
        <v>0.40406999999999998</v>
      </c>
      <c r="H60">
        <f t="shared" si="42"/>
        <v>0.37214199999999997</v>
      </c>
      <c r="I60">
        <f t="shared" si="43"/>
        <v>4.0096398347168494E-2</v>
      </c>
      <c r="J60">
        <f t="shared" si="21"/>
        <v>0.52725744760047277</v>
      </c>
      <c r="K60">
        <f t="shared" si="22"/>
        <v>0.64980117184227182</v>
      </c>
      <c r="L60">
        <f t="shared" si="23"/>
        <v>0.29859685828630422</v>
      </c>
      <c r="M60">
        <f t="shared" si="24"/>
        <v>0.39147405427035886</v>
      </c>
      <c r="N60">
        <f t="shared" si="25"/>
        <v>0.89237031403357747</v>
      </c>
      <c r="O60">
        <f t="shared" si="26"/>
        <v>0.95713224463754321</v>
      </c>
      <c r="P60">
        <f t="shared" si="27"/>
        <v>0.66594575955145352</v>
      </c>
      <c r="Q60">
        <f t="shared" si="28"/>
        <v>0.78759796143474248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4.3177669552703447E-2</v>
      </c>
      <c r="U60">
        <f t="shared" si="29"/>
        <v>0.80416828590494194</v>
      </c>
      <c r="V60">
        <f t="shared" si="30"/>
        <v>0.89807322684337687</v>
      </c>
      <c r="W60">
        <f t="shared" si="31"/>
        <v>0.53785501754057752</v>
      </c>
      <c r="X60">
        <f t="shared" si="32"/>
        <v>0.66074612631062091</v>
      </c>
      <c r="Y60">
        <f t="shared" si="33"/>
        <v>0.97747397691874283</v>
      </c>
      <c r="Z60">
        <f t="shared" si="34"/>
        <v>0.99529714614906806</v>
      </c>
      <c r="AA60">
        <f t="shared" si="35"/>
        <v>0.84522462767489059</v>
      </c>
      <c r="AB60">
        <f t="shared" si="36"/>
        <v>0.9283761435535941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6.5250139625104828E-2</v>
      </c>
      <c r="AD60">
        <f t="shared" si="44"/>
        <v>2.234621070450304E-4</v>
      </c>
      <c r="AE60">
        <f t="shared" si="45"/>
        <v>2.0117582175172806E-5</v>
      </c>
      <c r="AF60">
        <f t="shared" si="46"/>
        <v>4.2142451840685011E-6</v>
      </c>
      <c r="AG60">
        <f t="shared" si="47"/>
        <v>-1.1938393754492524E-6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2.9454744922646887E-6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2.8436362308034816E-6</v>
      </c>
      <c r="AJ60">
        <f t="shared" si="48"/>
        <v>9.9867715347100724E-8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3.6493397622328003E-8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-8.8261568820356407E-8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2.0146413066703379E-6</v>
      </c>
      <c r="AN60">
        <f t="shared" si="49"/>
        <v>4.4517895105059791E-6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2.2022488133813173E-8</v>
      </c>
      <c r="AP60">
        <f>AM59*T59*p_Stroke*p_Stroke_rec*(1-I59) + AN59*T59*p_Stroke*p_Stroke_rec*(1-I59) + AO59*(p_recur_Stroke*p_Stroke_rec)*(1-I59) + AP59*(p_recur_Stroke*p_Stroke_rec)*(1-I59) + AQ59*(p_recur_Stroke*p_Stroke_rec)*(1-I59)</f>
        <v>1.2313158338977181E-7</v>
      </c>
      <c r="AQ60">
        <f>AO59*(1-p_recur_Stroke-H59*rr_Stroke*rr_HF)*(1-I59) + AP59*(1-p_recur_Stroke-H59*rr_Stroke*rr_HF)*(1-I59) + AQ59*(1-p_recur_Stroke-H59*rr_Stroke*rr_HF)*(1-I59)</f>
        <v>-1.0071707776303481E-7</v>
      </c>
      <c r="AR60">
        <f>AR59*(1-AC59-H59*rr_DM) + AD59*(1-T59-H59)*I59</f>
        <v>4.6299264529256468E-4</v>
      </c>
      <c r="AS60">
        <f>AR59*AC59*p_Other + AD59*T59*p_Other*I59 + AE59*(1-T59*p_Stroke-T59*p_MI-H59*rr_Other)*I59 + AS59*(1-AC59*p_Stroke-AC59*p_MI-H59*rr_Other*rr_DM)</f>
        <v>5.3236578711518678E-5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1.5092273018911063E-5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-6.633534559118083E-6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1.0659581915159436E-5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6.8747907006325815E-6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5.2040682179623818E-7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1.7495777470729998E-7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-5.062969159220238E-7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7.1876975671078341E-6</v>
      </c>
      <c r="BB60">
        <f>AM59*(1-T59*p_Stroke - H59*rr_HF)*I59 + AN59*(1-T59*p_Stroke - H59*rr_HF)*I59 + BA59*(1-AC59*p_Stroke - H59*rr_HF*rr_DM) + BB59*(1-AC59*p_Stroke - H59*rr_HF*rr_DM)</f>
        <v>9.9274262901843672E-6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1.0398813050266454E-7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5.722056713487037E-7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-5.2947187078118778E-7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0.94118137857834439</v>
      </c>
      <c r="BG60">
        <f t="shared" si="50"/>
        <v>0.94199999999999995</v>
      </c>
      <c r="BH60">
        <f>(0.9442 - 0.0007*$B60 - dis_BMI*($C60-21.75))*AD60</f>
        <v>1.8560458702694644E-4</v>
      </c>
      <c r="BI60">
        <f>0.959*(0.9442 - 0.0007*$B60 - dis_BMI*($C60-21.75))*AE60</f>
        <v>1.6024305159202132E-5</v>
      </c>
      <c r="BJ60">
        <f>(0.943*(0.9442 - 0.0007*$B60 - dis_BMI*($C60-21.75)) - 0.19*0.5)*AF60</f>
        <v>2.9004246437055767E-6</v>
      </c>
      <c r="BK60">
        <f>(0.943*(0.9442 - 0.0007*$B60 - dis_BMI*($C60-21.75)))*AG60</f>
        <v>-9.3506630433778224E-7</v>
      </c>
      <c r="BL60">
        <f>(0.955*(0.9442 - 0.0007*$B60 - dis_BMI*($C60-21.75)) - 0.15*0.5)*AH60</f>
        <v>2.1154692704351162E-6</v>
      </c>
      <c r="BM60">
        <f>(0.955*(0.9442 - 0.0007*$B60 - dis_BMI*($C60-21.75)))*AI60</f>
        <v>2.2556007287592648E-6</v>
      </c>
      <c r="BN60">
        <f>(0.955*0.943*(0.9442 - 0.0007*$B60 - dis_BMI*($C60-21.75)) - 0.19*0.5)*AJ60</f>
        <v>6.5213322644645257E-8</v>
      </c>
      <c r="BO60">
        <f>(0.955*0.943*(0.9442 - 0.0007*$B60 - dis_BMI*($C60-21.75)) - 0.15*0.5)*AK60</f>
        <v>2.4559948627395097E-8</v>
      </c>
      <c r="BP60">
        <f>(0.955*0.943*(0.9442 - 0.0007*$B60 - dis_BMI*($C60-21.75)))*AL60</f>
        <v>-6.6019392339535112E-8</v>
      </c>
      <c r="BQ60">
        <f>(0.93*(0.9442 - 0.0007*$B60 - dis_BMI*($C60-21.75)))*AM60</f>
        <v>1.5562003132847094E-6</v>
      </c>
      <c r="BR60">
        <f>(0.93*(0.9442 - 0.0007*$B60 - dis_BMI*($C60-21.75)))*AN60</f>
        <v>3.438764115472699E-6</v>
      </c>
      <c r="BS60">
        <f>(0.93*0.943*(0.9442 - 0.0007*$B60 - dis_BMI*($C60-21.75)))*AO60</f>
        <v>1.604153198832811E-8</v>
      </c>
      <c r="BT60">
        <f>(0.93*0.943*(0.9442 - 0.0007*$B60 - dis_BMI*($C60-21.75))-0.19*0.5)*AP60</f>
        <v>7.7993510953193042E-8</v>
      </c>
      <c r="BU60">
        <f>(0.93*0.943*(0.9442 - 0.0007*$B60 - dis_BMI*($C60-21.75)))*AQ60</f>
        <v>-7.3363927585729312E-8</v>
      </c>
      <c r="BV60">
        <f>0.962*(0.9442 - 0.0007*$B60 - dis_BMI*($C60-21.75))*AR60</f>
        <v>3.6994228948978718E-4</v>
      </c>
      <c r="BW60">
        <f>0.962*0.959*(0.9442 - 0.0007*$B60 - dis_BMI*($C60-21.75))*AS60</f>
        <v>4.0793280564681467E-5</v>
      </c>
      <c r="BX60">
        <f>0.962*(0.943*(0.9442 - 0.0007*$B60 - dis_BMI*($C60-21.75)) - 0.19*0.5)*AT60</f>
        <v>9.9924391514335272E-6</v>
      </c>
      <c r="BY60">
        <f>0.962*(0.943*(0.9442 - 0.0007*$B60 - dis_BMI*($C60-21.75)))*AU60</f>
        <v>-4.998233909096992E-6</v>
      </c>
      <c r="BZ60">
        <f>0.962*(0.955*(0.9442 - 0.0007*$B60 - dis_BMI*($C60-21.75)) - 0.15*0.5)*AV60</f>
        <v>7.3648973539039803E-6</v>
      </c>
      <c r="CA60">
        <f>0.962*(0.955*(0.9442 - 0.0007*$B60 - dis_BMI*($C60-21.75)))*AW60</f>
        <v>5.2459330072087013E-6</v>
      </c>
      <c r="CB60">
        <f>0.962*(0.955*0.943*(0.9442 - 0.0007*$B60 - dis_BMI*($C60-21.75)) - 0.19*0.5)*AX60</f>
        <v>3.2691079854688935E-7</v>
      </c>
      <c r="CC60">
        <f>0.962*(0.955*0.943*(0.9442 - 0.0007*$B60 - dis_BMI*($C60-21.75)) - 0.15*0.5)*AY60</f>
        <v>1.1327171427338091E-7</v>
      </c>
      <c r="CD60">
        <f>0.962*(0.955*0.943*(0.9442 - 0.0007*$B60 - dis_BMI*($C60-21.75)))*AZ60</f>
        <v>-3.6431766852188001E-7</v>
      </c>
      <c r="CE60">
        <f>0.962*(0.93*(0.9442 - 0.0007*$B60 - dis_BMI*($C60-21.75)))*BA60</f>
        <v>5.341123641356977E-6</v>
      </c>
      <c r="CF60">
        <f>0.962*(0.93*(0.9442 - 0.0007*$B60 - dis_BMI*($C60-21.75)))*BB60</f>
        <v>7.3769953119588484E-6</v>
      </c>
      <c r="CG60">
        <f>0.962*(0.93*0.943*(0.9442 - 0.0007*$B60 - dis_BMI*($C60-21.75)))*BC60</f>
        <v>7.2868243274026669E-8</v>
      </c>
      <c r="CH60">
        <f>0.962*(0.93*0.943*(0.9442 - 0.0007*$B60 - dis_BMI*($C60-21.75))-0.19*0.5)*BD60</f>
        <v>3.486713286766653E-7</v>
      </c>
      <c r="CI60">
        <f>0.962*(0.93*0.943*(0.9442 - 0.0007*$B60 - dis_BMI*($C60-21.75)))*BE60</f>
        <v>-3.7102008566111307E-7</v>
      </c>
      <c r="CJ60">
        <f t="shared" si="51"/>
        <v>0</v>
      </c>
      <c r="CK60">
        <f t="shared" si="52"/>
        <v>6.5418981888957801E-4</v>
      </c>
      <c r="CL60">
        <f>CK60/(1+r_)^A60</f>
        <v>1.213338484622068E-4</v>
      </c>
      <c r="CM60">
        <f>AD60*c_PT_2</f>
        <v>0.32737198682096952</v>
      </c>
      <c r="CN60">
        <f>AE60*(c_Other+c_PT_2)</f>
        <v>0.31673121376592067</v>
      </c>
      <c r="CO60">
        <f>AF60*(c_Stroke1+c_Stroke2+c_PT_2)</f>
        <v>0.10654033249843578</v>
      </c>
      <c r="CP60">
        <f>AG60*(c_Stroke2 + c_PT_2)</f>
        <v>-9.5089306254532956E-3</v>
      </c>
      <c r="CQ60">
        <f>AH60*(c_MI1+c_MI2 + c_PT_2)</f>
        <v>9.0178647055175712E-2</v>
      </c>
      <c r="CR60">
        <f>AI60*(c_MI2+c_PT_2)</f>
        <v>1.3029541209541553E-2</v>
      </c>
      <c r="CS60">
        <f>AJ60*(c_Stroke1+c_Stroke2+c_MI2+c_PT_2)</f>
        <v>2.8360433804269663E-3</v>
      </c>
      <c r="CT60">
        <f>AK60*(c_Stroke2+c_MI1+c_MI2+c_PT_2)</f>
        <v>1.3544889461503261E-3</v>
      </c>
      <c r="CU60">
        <f>AL60*(c_Stroke2+c_MI2+c_PT_2)</f>
        <v>-9.7811470566718959E-4</v>
      </c>
      <c r="CV60">
        <f>AM60*(c_HF1+c_PT_2)</f>
        <v>5.7407204033571281E-2</v>
      </c>
      <c r="CW60">
        <f>AN60*(c_HF2+c_PT_2)</f>
        <v>7.5992046944337061E-2</v>
      </c>
      <c r="CX60">
        <f>AO60*(c_Stroke2+c_HF1+c_PT_2)</f>
        <v>7.70676972242792E-4</v>
      </c>
      <c r="CY60">
        <f>AP60*(c_Stroke1+c_Stroke2+c_HF2+c_PT_2)</f>
        <v>5.0343579184742105E-3</v>
      </c>
      <c r="CZ60">
        <f>AQ60*(c_Stroke2+c_HF2+c_PT_2)</f>
        <v>-2.3739015228747304E-3</v>
      </c>
      <c r="DA60">
        <f>AR60*(c_DM+c_PT_2)</f>
        <v>5.9679751978211586</v>
      </c>
      <c r="DB60">
        <f>AS60*(c_Other+c_DM+c_PT_2)</f>
        <v>1.4463846070132509</v>
      </c>
      <c r="DC60">
        <f>AT60*(c_Stroke1+c_Stroke2+c_DM+c_PT_2)</f>
        <v>0.55397697343214947</v>
      </c>
      <c r="DD60">
        <f>AU60*(c_Stroke2+c_DM+c_PT_2)</f>
        <v>-0.12862423510129964</v>
      </c>
      <c r="DE60">
        <f>AV60*(c_MI1+c_MI2+c_DM+c_PT_2)</f>
        <v>0.44813948329521786</v>
      </c>
      <c r="DF60">
        <f>AW60*(c_MI2+c_DM+c_PT_2)</f>
        <v>0.11004477474502573</v>
      </c>
      <c r="DG60">
        <f>AX60*(c_Stroke1+c_Stroke2+c_MI2+c_DM+c_PT_2)</f>
        <v>2.0724160864391591E-2</v>
      </c>
      <c r="DH60">
        <f>AY60*(c_Stroke2+c_MI1+c_MI2+c_DM+c_PT_2)</f>
        <v>8.4926253420670485E-3</v>
      </c>
      <c r="DI60">
        <f>AZ60*(c_Stroke2+c_MI2+c_DM+c_PT_2)</f>
        <v>-1.1395224686656989E-2</v>
      </c>
      <c r="DJ60">
        <f>BA60*(c_HF1+c_DM+c_PT_2)</f>
        <v>0.28693288687894475</v>
      </c>
      <c r="DK60">
        <f>BB60*(c_HF2+c_DM+c_PT_2)</f>
        <v>0.28288201213880354</v>
      </c>
      <c r="DL60">
        <f>BC60*(c_Stroke2+c_HF1+c_DM+c_PT_2)</f>
        <v>4.8271290179336878E-3</v>
      </c>
      <c r="DM60">
        <f>BD60*(c_Stroke1+c_Stroke2+c_HF2+c_DM+c_PT_2)</f>
        <v>2.9932650873922041E-2</v>
      </c>
      <c r="DN60">
        <f>BE60*(c_Stroke2+c_HF2+c_DM+c_PT_2)</f>
        <v>-1.8528868117987665E-2</v>
      </c>
      <c r="DO60">
        <f t="shared" si="53"/>
        <v>0</v>
      </c>
      <c r="DP60">
        <f t="shared" si="54"/>
        <v>9.98614976620817</v>
      </c>
      <c r="DQ60">
        <f>DP60/(1+r_)^A60</f>
        <v>1.8521504729478555</v>
      </c>
    </row>
    <row r="61" spans="1:121" x14ac:dyDescent="0.3">
      <c r="A61">
        <v>58</v>
      </c>
      <c r="B61">
        <v>103</v>
      </c>
      <c r="C61">
        <f t="shared" si="39"/>
        <v>34.542000000000002</v>
      </c>
      <c r="D61">
        <f t="shared" si="1"/>
        <v>125</v>
      </c>
      <c r="E61">
        <f t="shared" si="41"/>
        <v>5.7</v>
      </c>
      <c r="F61">
        <v>0.38614999999999999</v>
      </c>
      <c r="G61">
        <v>0.42459000000000002</v>
      </c>
      <c r="H61">
        <f t="shared" si="42"/>
        <v>0.39383800000000002</v>
      </c>
      <c r="I61">
        <f t="shared" si="43"/>
        <v>4.0096398347168494E-2</v>
      </c>
      <c r="J61">
        <f t="shared" si="21"/>
        <v>0.53669050077994951</v>
      </c>
      <c r="K61">
        <f t="shared" si="22"/>
        <v>0.6595483058414402</v>
      </c>
      <c r="L61">
        <f t="shared" si="23"/>
        <v>0.30525758450901053</v>
      </c>
      <c r="M61">
        <f t="shared" si="24"/>
        <v>0.39955170751553937</v>
      </c>
      <c r="N61">
        <f t="shared" si="25"/>
        <v>0.89951994058144735</v>
      </c>
      <c r="O61">
        <f t="shared" si="26"/>
        <v>0.96109997056300511</v>
      </c>
      <c r="P61">
        <f t="shared" si="27"/>
        <v>0.67705170733407272</v>
      </c>
      <c r="Q61">
        <f t="shared" si="28"/>
        <v>0.79750684046473408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4.3944178115252225E-2</v>
      </c>
      <c r="U61">
        <f t="shared" si="29"/>
        <v>0.81257275132652207</v>
      </c>
      <c r="V61">
        <f t="shared" si="30"/>
        <v>0.90414638400009362</v>
      </c>
      <c r="W61">
        <f t="shared" si="31"/>
        <v>0.54735278307869217</v>
      </c>
      <c r="X61">
        <f t="shared" si="32"/>
        <v>0.67047024090436436</v>
      </c>
      <c r="Y61">
        <f t="shared" si="33"/>
        <v>0.97996051930764483</v>
      </c>
      <c r="Z61">
        <f t="shared" si="34"/>
        <v>0.99601356778401995</v>
      </c>
      <c r="AA61">
        <f t="shared" si="35"/>
        <v>0.85387827360431889</v>
      </c>
      <c r="AB61">
        <f t="shared" si="36"/>
        <v>0.93396848552989131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6.6072618875353553E-2</v>
      </c>
      <c r="AD61">
        <f t="shared" si="44"/>
        <v>1.2541514782608089E-4</v>
      </c>
      <c r="AE61">
        <f t="shared" si="45"/>
        <v>1.0375481773197452E-5</v>
      </c>
      <c r="AF61">
        <f t="shared" si="46"/>
        <v>2.4562906319881365E-6</v>
      </c>
      <c r="AG61">
        <f t="shared" si="47"/>
        <v>-8.5327380796927601E-7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1.716574598517172E-6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1.3780484823202887E-6</v>
      </c>
      <c r="AJ61">
        <f t="shared" si="48"/>
        <v>5.5868109023095881E-8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2.0187194230492951E-8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-5.1457083277842641E-8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1.1501449365933146E-6</v>
      </c>
      <c r="AN61">
        <f t="shared" si="49"/>
        <v>1.9414146980213659E-6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1.1991477816778473E-8</v>
      </c>
      <c r="AP61">
        <f>AM60*T60*p_Stroke*p_Stroke_rec*(1-I60) + AN60*T60*p_Stroke*p_Stroke_rec*(1-I60) + AO60*(p_recur_Stroke*p_Stroke_rec)*(1-I60) + AP60*(p_recur_Stroke*p_Stroke_rec)*(1-I60) + AQ60*(p_recur_Stroke*p_Stroke_rec)*(1-I60)</f>
        <v>6.1420113007168655E-8</v>
      </c>
      <c r="AQ61">
        <f>AO60*(1-p_recur_Stroke-H60*rr_Stroke*rr_HF)*(1-I60) + AP60*(1-p_recur_Stroke-H60*rr_Stroke*rr_HF)*(1-I60) + AQ60*(1-p_recur_Stroke-H60*rr_Stroke*rr_HF)*(1-I60)</f>
        <v>-5.2890101949439854E-8</v>
      </c>
      <c r="AR61">
        <f>AR60*(1-AC60-H60*rr_DM) + AD60*(1-T60-H60)*I60</f>
        <v>2.3987720095014945E-4</v>
      </c>
      <c r="AS61">
        <f>AR60*AC60*p_Other + AD60*T60*p_Other*I60 + AE60*(1-T60*p_Stroke-T60*p_MI-H60*rr_Other)*I60 + AS60*(1-AC60*p_Stroke-AC60*p_MI-H60*rr_Other*rr_DM)</f>
        <v>2.5434223929038507E-5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8.163987644788213E-6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-4.0440706681331602E-6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5.7504822743599993E-6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2.7703135895950259E-6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2.6530260145809441E-7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8.9147103203820149E-8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-2.6505743526601883E-7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3.785014776422068E-6</v>
      </c>
      <c r="BB61">
        <f>AM60*(1-T60*p_Stroke - H60*rr_HF)*I60 + AN60*(1-T60*p_Stroke - H60*rr_HF)*I60 + BA60*(1-AC60*p_Stroke - H60*rr_HF*rr_DM) + BB60*(1-AC60*p_Stroke - H60*rr_HF*rr_DM)</f>
        <v>3.6085097634005909E-6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5.1922991745097775E-8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2.550710069329166E-7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-2.3079262654016944E-7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0.94157086379525123</v>
      </c>
      <c r="BG61">
        <f t="shared" si="50"/>
        <v>0.94199999999999995</v>
      </c>
      <c r="BH61">
        <f>(0.9442 - 0.0007*$B61 - dis_BMI*($C61-21.75))*AD61</f>
        <v>1.0408032553485411E-4</v>
      </c>
      <c r="BI61">
        <f>0.959*(0.9442 - 0.0007*$B61 - dis_BMI*($C61-21.75))*AE61</f>
        <v>8.2574418971264491E-6</v>
      </c>
      <c r="BJ61">
        <f>(0.943*(0.9442 - 0.0007*$B61 - dis_BMI*($C61-21.75)) - 0.19*0.5)*AF61</f>
        <v>1.6889033750692283E-6</v>
      </c>
      <c r="BK61">
        <f>(0.943*(0.9442 - 0.0007*$B61 - dis_BMI*($C61-21.75)))*AG61</f>
        <v>-6.6775746997344877E-7</v>
      </c>
      <c r="BL61">
        <f>(0.955*(0.9442 - 0.0007*$B61 - dis_BMI*($C61-21.75)) - 0.15*0.5)*AH61</f>
        <v>1.231713532880805E-6</v>
      </c>
      <c r="BM61">
        <f>(0.955*(0.9442 - 0.0007*$B61 - dis_BMI*($C61-21.75)))*AI61</f>
        <v>1.0921606277874269E-6</v>
      </c>
      <c r="BN61">
        <f>(0.955*0.943*(0.9442 - 0.0007*$B61 - dis_BMI*($C61-21.75)) - 0.19*0.5)*AJ61</f>
        <v>3.6446490891479669E-8</v>
      </c>
      <c r="BO61">
        <f>(0.955*0.943*(0.9442 - 0.0007*$B61 - dis_BMI*($C61-21.75)) - 0.15*0.5)*AK61</f>
        <v>1.3573196073192656E-8</v>
      </c>
      <c r="BP61">
        <f>(0.955*0.943*(0.9442 - 0.0007*$B61 - dis_BMI*($C61-21.75)))*AL61</f>
        <v>-3.845730773283584E-8</v>
      </c>
      <c r="BQ61">
        <f>(0.93*(0.9442 - 0.0007*$B61 - dis_BMI*($C61-21.75)))*AM61</f>
        <v>8.8767536604411844E-7</v>
      </c>
      <c r="BR61">
        <f>(0.93*(0.9442 - 0.0007*$B61 - dis_BMI*($C61-21.75)))*AN61</f>
        <v>1.498372898822676E-6</v>
      </c>
      <c r="BS61">
        <f>(0.93*0.943*(0.9442 - 0.0007*$B61 - dis_BMI*($C61-21.75)))*AO61</f>
        <v>8.7274224246089127E-9</v>
      </c>
      <c r="BT61">
        <f>(0.93*0.943*(0.9442 - 0.0007*$B61 - dis_BMI*($C61-21.75))-0.19*0.5)*AP61</f>
        <v>3.8866774892319822E-8</v>
      </c>
      <c r="BU61">
        <f>(0.93*0.943*(0.9442 - 0.0007*$B61 - dis_BMI*($C61-21.75)))*AQ61</f>
        <v>-3.8493525889488811E-8</v>
      </c>
      <c r="BV61">
        <f>0.962*(0.9442 - 0.0007*$B61 - dis_BMI*($C61-21.75))*AR61</f>
        <v>1.9150613532252947E-4</v>
      </c>
      <c r="BW61">
        <f>0.962*0.959*(0.9442 - 0.0007*$B61 - dis_BMI*($C61-21.75))*AS61</f>
        <v>1.9472908237894621E-5</v>
      </c>
      <c r="BX61">
        <f>0.962*(0.943*(0.9442 - 0.0007*$B61 - dis_BMI*($C61-21.75)) - 0.19*0.5)*AT61</f>
        <v>5.4001082101805282E-6</v>
      </c>
      <c r="BY61">
        <f>0.962*(0.943*(0.9442 - 0.0007*$B61 - dis_BMI*($C61-21.75)))*AU61</f>
        <v>-3.0445572738424081E-6</v>
      </c>
      <c r="BZ61">
        <f>0.962*(0.955*(0.9442 - 0.0007*$B61 - dis_BMI*($C61-21.75)) - 0.15*0.5)*AV61</f>
        <v>3.9694137755302817E-6</v>
      </c>
      <c r="CA61">
        <f>0.962*(0.955*(0.9442 - 0.0007*$B61 - dis_BMI*($C61-21.75)))*AW61</f>
        <v>2.1121561572133413E-6</v>
      </c>
      <c r="CB61">
        <f>0.962*(0.955*0.943*(0.9442 - 0.0007*$B61 - dis_BMI*($C61-21.75)) - 0.19*0.5)*AX61</f>
        <v>1.66497734646376E-7</v>
      </c>
      <c r="CC61">
        <f>0.962*(0.955*0.943*(0.9442 - 0.0007*$B61 - dis_BMI*($C61-21.75)) - 0.15*0.5)*AY61</f>
        <v>5.7661836292281468E-8</v>
      </c>
      <c r="CD61">
        <f>0.962*(0.955*0.943*(0.9442 - 0.0007*$B61 - dis_BMI*($C61-21.75)))*AZ61</f>
        <v>-1.9056747306230852E-7</v>
      </c>
      <c r="CE61">
        <f>0.962*(0.93*(0.9442 - 0.0007*$B61 - dis_BMI*($C61-21.75)))*BA61</f>
        <v>2.8102454116652896E-6</v>
      </c>
      <c r="CF61">
        <f>0.962*(0.93*(0.9442 - 0.0007*$B61 - dis_BMI*($C61-21.75)))*BB61</f>
        <v>2.6791964112573145E-6</v>
      </c>
      <c r="CG61">
        <f>0.962*(0.93*0.943*(0.9442 - 0.0007*$B61 - dis_BMI*($C61-21.75)))*BC61</f>
        <v>3.6353653956116306E-8</v>
      </c>
      <c r="CH61">
        <f>0.962*(0.93*0.943*(0.9442 - 0.0007*$B61 - dis_BMI*($C61-21.75))-0.19*0.5)*BD61</f>
        <v>1.5527590262494595E-7</v>
      </c>
      <c r="CI61">
        <f>0.962*(0.93*0.943*(0.9442 - 0.0007*$B61 - dis_BMI*($C61-21.75)))*BE61</f>
        <v>-1.6158844085975934E-7</v>
      </c>
      <c r="CJ61">
        <f t="shared" si="51"/>
        <v>0</v>
      </c>
      <c r="CK61">
        <f t="shared" si="52"/>
        <v>3.4305873827929673E-4</v>
      </c>
      <c r="CL61">
        <f>CK61/(1+r_)^A61</f>
        <v>6.1774530465330009E-5</v>
      </c>
      <c r="CM61">
        <f>AD61*c_PT_2</f>
        <v>0.18373319156520851</v>
      </c>
      <c r="CN61">
        <f>AE61*(c_Other+c_PT_2)</f>
        <v>0.16335158503722069</v>
      </c>
      <c r="CO61">
        <f>AF61*(c_Stroke1+c_Stroke2+c_PT_2)</f>
        <v>6.2097483467292075E-2</v>
      </c>
      <c r="CP61">
        <f>AG61*(c_Stroke2 + c_PT_2)</f>
        <v>-6.7963258804752836E-3</v>
      </c>
      <c r="CQ61">
        <f>AH61*(c_MI1+c_MI2 + c_PT_2)</f>
        <v>5.2554647908201739E-2</v>
      </c>
      <c r="CR61">
        <f>AI61*(c_MI2+c_PT_2)</f>
        <v>6.3142181459915625E-3</v>
      </c>
      <c r="CS61">
        <f>AJ61*(c_Stroke1+c_Stroke2+c_MI2+c_PT_2)</f>
        <v>1.5865425600378768E-3</v>
      </c>
      <c r="CT61">
        <f>AK61*(c_Stroke2+c_MI1+c_MI2+c_PT_2)</f>
        <v>7.4926790105897631E-4</v>
      </c>
      <c r="CU61">
        <f>AL61*(c_Stroke2+c_MI2+c_PT_2)</f>
        <v>-5.7024739688505213E-4</v>
      </c>
      <c r="CV61">
        <f>AM61*(c_HF1+c_PT_2)</f>
        <v>3.2773379968226497E-2</v>
      </c>
      <c r="CW61">
        <f>AN61*(c_HF2+c_PT_2)</f>
        <v>3.3139948895224716E-2</v>
      </c>
      <c r="CX61">
        <f>AO61*(c_Stroke2+c_HF1+c_PT_2)</f>
        <v>4.196417661981627E-4</v>
      </c>
      <c r="CY61">
        <f>AP61*(c_Stroke1+c_Stroke2+c_HF2+c_PT_2)</f>
        <v>2.5112227404110975E-3</v>
      </c>
      <c r="CZ61">
        <f>AQ61*(c_Stroke2+c_HF2+c_PT_2)</f>
        <v>-1.2466197029482975E-3</v>
      </c>
      <c r="DA61">
        <f>AR61*(c_DM+c_PT_2)</f>
        <v>3.0920171202474265</v>
      </c>
      <c r="DB61">
        <f>AS61*(c_Other+c_DM+c_PT_2)</f>
        <v>0.69102242992804719</v>
      </c>
      <c r="DC61">
        <f>AT61*(c_Stroke1+c_Stroke2+c_DM+c_PT_2)</f>
        <v>0.29966733048959615</v>
      </c>
      <c r="DD61">
        <f>AU61*(c_Stroke2+c_DM+c_PT_2)</f>
        <v>-7.8414530255101977E-2</v>
      </c>
      <c r="DE61">
        <f>AV61*(c_MI1+c_MI2+c_DM+c_PT_2)</f>
        <v>0.24175602529636872</v>
      </c>
      <c r="DF61">
        <f>AW61*(c_MI2+c_DM+c_PT_2)</f>
        <v>4.434440962864758E-2</v>
      </c>
      <c r="DG61">
        <f>AX61*(c_Stroke1+c_Stroke2+c_MI2+c_DM+c_PT_2)</f>
        <v>1.0565145497865693E-2</v>
      </c>
      <c r="DH61">
        <f>AY61*(c_Stroke2+c_MI1+c_MI2+c_DM+c_PT_2)</f>
        <v>4.3272895366166337E-3</v>
      </c>
      <c r="DI61">
        <f>AZ61*(c_Stroke2+c_MI2+c_DM+c_PT_2)</f>
        <v>-5.9656476955322855E-3</v>
      </c>
      <c r="DJ61">
        <f>BA61*(c_HF1+c_DM+c_PT_2)</f>
        <v>0.15109778987476896</v>
      </c>
      <c r="DK61">
        <f>BB61*(c_HF2+c_DM+c_PT_2)</f>
        <v>0.10282448570809984</v>
      </c>
      <c r="DL61">
        <f>BC61*(c_Stroke2+c_HF1+c_DM+c_PT_2)</f>
        <v>2.4102652768074385E-3</v>
      </c>
      <c r="DM61">
        <f>BD61*(c_Stroke1+c_Stroke2+c_HF2+c_DM+c_PT_2)</f>
        <v>1.33430194436678E-2</v>
      </c>
      <c r="DN61">
        <f>BE61*(c_Stroke2+c_HF2+c_DM+c_PT_2)</f>
        <v>-8.0765879657732301E-3</v>
      </c>
      <c r="DO61">
        <f t="shared" si="53"/>
        <v>0</v>
      </c>
      <c r="DP61">
        <f t="shared" si="54"/>
        <v>5.0915364819862692</v>
      </c>
      <c r="DQ61">
        <f>DP61/(1+r_)^A61</f>
        <v>0.91683213521799811</v>
      </c>
    </row>
    <row r="62" spans="1:121" x14ac:dyDescent="0.3">
      <c r="A62">
        <v>59</v>
      </c>
      <c r="B62">
        <v>104</v>
      </c>
      <c r="C62">
        <f t="shared" si="39"/>
        <v>34.542000000000002</v>
      </c>
      <c r="D62">
        <f t="shared" si="1"/>
        <v>125</v>
      </c>
      <c r="E62">
        <f t="shared" si="41"/>
        <v>5.7</v>
      </c>
      <c r="F62">
        <v>0.40767999999999999</v>
      </c>
      <c r="G62">
        <v>0.44438</v>
      </c>
      <c r="H62">
        <f t="shared" si="42"/>
        <v>0.41501999999999994</v>
      </c>
      <c r="I62">
        <f t="shared" si="43"/>
        <v>4.0096398347168494E-2</v>
      </c>
      <c r="J62">
        <f t="shared" si="21"/>
        <v>0.54608951091321312</v>
      </c>
      <c r="K62">
        <f t="shared" si="22"/>
        <v>0.66918153249827772</v>
      </c>
      <c r="L62">
        <f t="shared" si="23"/>
        <v>0.31196568651909196</v>
      </c>
      <c r="M62">
        <f t="shared" si="24"/>
        <v>0.40765552702565344</v>
      </c>
      <c r="N62">
        <f t="shared" si="25"/>
        <v>0.90632817870953075</v>
      </c>
      <c r="O62">
        <f t="shared" si="26"/>
        <v>0.9647714426003493</v>
      </c>
      <c r="P62">
        <f t="shared" si="27"/>
        <v>0.68800714362951265</v>
      </c>
      <c r="Q62">
        <f t="shared" si="28"/>
        <v>0.80714451523933983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4.4707999217161697E-2</v>
      </c>
      <c r="U62">
        <f t="shared" si="29"/>
        <v>0.82074906057495489</v>
      </c>
      <c r="V62">
        <f t="shared" si="30"/>
        <v>0.90995094145940469</v>
      </c>
      <c r="W62">
        <f t="shared" si="31"/>
        <v>0.55681045329459167</v>
      </c>
      <c r="X62">
        <f t="shared" si="32"/>
        <v>0.68007244271537859</v>
      </c>
      <c r="Y62">
        <f t="shared" si="33"/>
        <v>0.9822157506293332</v>
      </c>
      <c r="Z62">
        <f t="shared" si="34"/>
        <v>0.99663240695934663</v>
      </c>
      <c r="AA62">
        <f t="shared" si="35"/>
        <v>0.86221249388736487</v>
      </c>
      <c r="AB62">
        <f t="shared" si="36"/>
        <v>0.93922666920096298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6.6881605713063258E-2</v>
      </c>
      <c r="AD62">
        <f t="shared" si="44"/>
        <v>6.7683408884137983E-5</v>
      </c>
      <c r="AE62">
        <f t="shared" si="45"/>
        <v>5.2195832082472151E-6</v>
      </c>
      <c r="AF62">
        <f t="shared" si="46"/>
        <v>1.3819100424950269E-6</v>
      </c>
      <c r="AG62">
        <f t="shared" si="47"/>
        <v>-5.576102036172954E-7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9.6513258428429868E-7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6.3429580474137092E-7</v>
      </c>
      <c r="AJ62">
        <f t="shared" si="48"/>
        <v>3.0228582346845968E-8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1.0839998895466886E-8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-2.8848723738795832E-8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6.3435412683675065E-7</v>
      </c>
      <c r="AN62">
        <f t="shared" si="49"/>
        <v>8.1047413745824377E-7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6.3446586633792389E-9</v>
      </c>
      <c r="AP62">
        <f>AM61*T61*p_Stroke*p_Stroke_rec*(1-I61) + AN61*T61*p_Stroke*p_Stroke_rec*(1-I61) + AO61*(p_recur_Stroke*p_Stroke_rec)*(1-I61) + AP61*(p_recur_Stroke*p_Stroke_rec)*(1-I61) + AQ61*(p_recur_Stroke*p_Stroke_rec)*(1-I61)</f>
        <v>2.9769213914323837E-8</v>
      </c>
      <c r="AQ62">
        <f>AO61*(1-p_recur_Stroke-H61*rr_Stroke*rr_HF)*(1-I61) + AP61*(1-p_recur_Stroke-H61*rr_Stroke*rr_HF)*(1-I61) + AQ61*(1-p_recur_Stroke-H61*rr_Stroke*rr_HF)*(1-I61)</f>
        <v>-2.6859850450302305E-8</v>
      </c>
      <c r="AR62">
        <f>AR61*(1-AC61-H61*rr_DM) + AD61*(1-T61-H61)*I61</f>
        <v>1.182114378049028E-4</v>
      </c>
      <c r="AS62">
        <f>AR61*AC61*p_Other + AD61*T61*p_Other*I61 + AE61*(1-T61*p_Stroke-T61*p_MI-H61*rr_Other)*I61 + AS61*(1-AC61*p_Stroke-AC61*p_MI-H61*rr_Other*rr_DM)</f>
        <v>1.1726082072757308E-5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4.2218730316265006E-6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-2.2981283793983022E-6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2.9664592097314757E-6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1.0072359809670259E-6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1.3026055157909265E-7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4.3817960906225115E-8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-1.3653952776839876E-7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1.910932457452519E-6</v>
      </c>
      <c r="BB62">
        <f>AM61*(1-T61*p_Stroke - H61*rr_HF)*I61 + AN61*(1-T61*p_Stroke - H61*rr_HF)*I61 + BA61*(1-AC61*p_Stroke - H61*rr_HF*rr_DM) + BB61*(1-AC61*p_Stroke - H61*rr_HF*rr_DM)</f>
        <v>1.2205179163058301E-6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2.5241349239194838E-8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1.1302474588709288E-7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-1.3066949853291022E-7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0.94178419543186009</v>
      </c>
      <c r="BG62">
        <f t="shared" si="50"/>
        <v>0.94199999999999995</v>
      </c>
      <c r="BH62">
        <f>(0.9442 - 0.0007*$B62 - dis_BMI*($C62-21.75))*AD62</f>
        <v>5.61221621523664E-5</v>
      </c>
      <c r="BI62">
        <f>0.959*(0.9442 - 0.0007*$B62 - dis_BMI*($C62-21.75))*AE62</f>
        <v>4.1505591061391339E-6</v>
      </c>
      <c r="BJ62">
        <f>(0.943*(0.9442 - 0.0007*$B62 - dis_BMI*($C62-21.75)) - 0.19*0.5)*AF62</f>
        <v>9.4926548146743396E-7</v>
      </c>
      <c r="BK62">
        <f>(0.943*(0.9442 - 0.0007*$B62 - dis_BMI*($C62-21.75)))*AG62</f>
        <v>-4.3600811789227276E-7</v>
      </c>
      <c r="BL62">
        <f>(0.955*(0.9442 - 0.0007*$B62 - dis_BMI*($C62-21.75)) - 0.15*0.5)*AH62</f>
        <v>6.9187750267522917E-7</v>
      </c>
      <c r="BM62">
        <f>(0.955*(0.9442 - 0.0007*$B62 - dis_BMI*($C62-21.75)))*AI62</f>
        <v>5.022817293995133E-7</v>
      </c>
      <c r="BN62">
        <f>(0.955*0.943*(0.9442 - 0.0007*$B62 - dis_BMI*($C62-21.75)) - 0.19*0.5)*AJ62</f>
        <v>1.9701062911101823E-8</v>
      </c>
      <c r="BO62">
        <f>(0.955*0.943*(0.9442 - 0.0007*$B62 - dis_BMI*($C62-21.75)) - 0.15*0.5)*AK62</f>
        <v>7.2816202114705078E-9</v>
      </c>
      <c r="BP62">
        <f>(0.955*0.943*(0.9442 - 0.0007*$B62 - dis_BMI*($C62-21.75)))*AL62</f>
        <v>-2.1542387791110574E-8</v>
      </c>
      <c r="BQ62">
        <f>(0.93*(0.9442 - 0.0007*$B62 - dis_BMI*($C62-21.75)))*AM62</f>
        <v>4.8917796772392521E-7</v>
      </c>
      <c r="BR62">
        <f>(0.93*(0.9442 - 0.0007*$B62 - dis_BMI*($C62-21.75)))*AN62</f>
        <v>6.2499174306885897E-7</v>
      </c>
      <c r="BS62">
        <f>(0.93*0.943*(0.9442 - 0.0007*$B62 - dis_BMI*($C62-21.75)))*AO62</f>
        <v>4.6137607920825827E-9</v>
      </c>
      <c r="BT62">
        <f>(0.93*0.943*(0.9442 - 0.0007*$B62 - dis_BMI*($C62-21.75))-0.19*0.5)*AP62</f>
        <v>1.8819745192391051E-8</v>
      </c>
      <c r="BU62">
        <f>(0.93*0.943*(0.9442 - 0.0007*$B62 - dis_BMI*($C62-21.75)))*AQ62</f>
        <v>-1.9532165789168337E-8</v>
      </c>
      <c r="BV62">
        <f>0.962*(0.9442 - 0.0007*$B62 - dis_BMI*($C62-21.75))*AR62</f>
        <v>9.4294582523284955E-5</v>
      </c>
      <c r="BW62">
        <f>0.962*0.959*(0.9442 - 0.0007*$B62 - dis_BMI*($C62-21.75))*AS62</f>
        <v>8.9701308673143121E-6</v>
      </c>
      <c r="BX62">
        <f>0.962*(0.943*(0.9442 - 0.0007*$B62 - dis_BMI*($C62-21.75)) - 0.19*0.5)*AT62</f>
        <v>2.7898969113286908E-6</v>
      </c>
      <c r="BY62">
        <f>0.962*(0.943*(0.9442 - 0.0007*$B62 - dis_BMI*($C62-21.75)))*AU62</f>
        <v>-1.7286744812179692E-6</v>
      </c>
      <c r="BZ62">
        <f>0.962*(0.955*(0.9442 - 0.0007*$B62 - dis_BMI*($C62-21.75)) - 0.15*0.5)*AV62</f>
        <v>2.0457647158064397E-6</v>
      </c>
      <c r="CA62">
        <f>0.962*(0.955*(0.9442 - 0.0007*$B62 - dis_BMI*($C62-21.75)))*AW62</f>
        <v>7.6729407642149434E-7</v>
      </c>
      <c r="CB62">
        <f>0.962*(0.955*0.943*(0.9442 - 0.0007*$B62 - dis_BMI*($C62-21.75)) - 0.19*0.5)*AX62</f>
        <v>8.1669493559142188E-8</v>
      </c>
      <c r="CC62">
        <f>0.962*(0.955*0.943*(0.9442 - 0.0007*$B62 - dis_BMI*($C62-21.75)) - 0.15*0.5)*AY62</f>
        <v>2.8315616470926387E-8</v>
      </c>
      <c r="CD62">
        <f>0.962*(0.955*0.943*(0.9442 - 0.0007*$B62 - dis_BMI*($C62-21.75)))*AZ62</f>
        <v>-9.808457241623517E-8</v>
      </c>
      <c r="CE62">
        <f>0.962*(0.93*(0.9442 - 0.0007*$B62 - dis_BMI*($C62-21.75)))*BA62</f>
        <v>1.4176059519794829E-6</v>
      </c>
      <c r="CF62">
        <f>0.962*(0.93*(0.9442 - 0.0007*$B62 - dis_BMI*($C62-21.75)))*BB62</f>
        <v>9.0542889462420043E-7</v>
      </c>
      <c r="CG62">
        <f>0.962*(0.93*0.943*(0.9442 - 0.0007*$B62 - dis_BMI*($C62-21.75)))*BC62</f>
        <v>1.7657712825790809E-8</v>
      </c>
      <c r="CH62">
        <f>0.962*(0.93*0.943*(0.9442 - 0.0007*$B62 - dis_BMI*($C62-21.75))-0.19*0.5)*BD62</f>
        <v>6.8737697979996542E-8</v>
      </c>
      <c r="CI62">
        <f>0.962*(0.93*0.943*(0.9442 - 0.0007*$B62 - dis_BMI*($C62-21.75)))*BE62</f>
        <v>-9.1410504974171598E-8</v>
      </c>
      <c r="CJ62">
        <f t="shared" si="51"/>
        <v>0</v>
      </c>
      <c r="CK62">
        <f t="shared" si="52"/>
        <v>1.7257256410346206E-4</v>
      </c>
      <c r="CL62">
        <f>CK62/(1+r_)^A62</f>
        <v>3.0170012794057047E-5</v>
      </c>
      <c r="CM62">
        <f>AD62*c_PT_2</f>
        <v>9.9156194015262142E-2</v>
      </c>
      <c r="CN62">
        <f>AE62*(c_Other+c_PT_2)</f>
        <v>8.2177118030644147E-2</v>
      </c>
      <c r="CO62">
        <f>AF62*(c_Stroke1+c_Stroke2+c_PT_2)</f>
        <v>3.4936067784316772E-2</v>
      </c>
      <c r="CP62">
        <f>AG62*(c_Stroke2 + c_PT_2)</f>
        <v>-4.4413652718117581E-3</v>
      </c>
      <c r="CQ62">
        <f>AH62*(c_MI1+c_MI2 + c_PT_2)</f>
        <v>2.9548499200448088E-2</v>
      </c>
      <c r="CR62">
        <f>AI62*(c_MI2+c_PT_2)</f>
        <v>2.9063433773249617E-3</v>
      </c>
      <c r="CS62">
        <f>AJ62*(c_Stroke1+c_Stroke2+c_MI2+c_PT_2)</f>
        <v>8.5843128148573174E-4</v>
      </c>
      <c r="CT62">
        <f>AK62*(c_Stroke2+c_MI1+c_MI2+c_PT_2)</f>
        <v>4.0233739900414896E-4</v>
      </c>
      <c r="CU62">
        <f>AL62*(c_Stroke2+c_MI2+c_PT_2)</f>
        <v>-3.1970155647333538E-4</v>
      </c>
      <c r="CV62">
        <f>AM62*(c_HF1+c_PT_2)</f>
        <v>1.8075920844213209E-2</v>
      </c>
      <c r="CW62">
        <f>AN62*(c_HF2+c_PT_2)</f>
        <v>1.3834793526412221E-2</v>
      </c>
      <c r="CX62">
        <f>AO62*(c_Stroke2+c_HF1+c_PT_2)</f>
        <v>2.2203132992495647E-4</v>
      </c>
      <c r="CY62">
        <f>AP62*(c_Stroke1+c_Stroke2+c_HF2+c_PT_2)</f>
        <v>1.2171440801010444E-3</v>
      </c>
      <c r="CZ62">
        <f>AQ62*(c_Stroke2+c_HF2+c_PT_2)</f>
        <v>-6.3308667511362531E-4</v>
      </c>
      <c r="DA62">
        <f>AR62*(c_DM+c_PT_2)</f>
        <v>1.5237454333051972</v>
      </c>
      <c r="DB62">
        <f>AS62*(c_Other+c_DM+c_PT_2)</f>
        <v>0.31858592383474332</v>
      </c>
      <c r="DC62">
        <f>AT62*(c_Stroke1+c_Stroke2+c_DM+c_PT_2)</f>
        <v>0.15496807149888234</v>
      </c>
      <c r="DD62">
        <f>AU62*(c_Stroke2+c_DM+c_PT_2)</f>
        <v>-4.4560709276533078E-2</v>
      </c>
      <c r="DE62">
        <f>AV62*(c_MI1+c_MI2+c_DM+c_PT_2)</f>
        <v>0.12471291163632096</v>
      </c>
      <c r="DF62">
        <f>AW62*(c_MI2+c_DM+c_PT_2)</f>
        <v>1.6122826347339185E-2</v>
      </c>
      <c r="DG62">
        <f>AX62*(c_Stroke1+c_Stroke2+c_MI2+c_DM+c_PT_2)</f>
        <v>5.1873659455342067E-3</v>
      </c>
      <c r="DH62">
        <f>AY62*(c_Stroke2+c_MI1+c_MI2+c_DM+c_PT_2)</f>
        <v>2.1269676403490733E-3</v>
      </c>
      <c r="DI62">
        <f>AZ62*(c_Stroke2+c_MI2+c_DM+c_PT_2)</f>
        <v>-3.0730951514833507E-3</v>
      </c>
      <c r="DJ62">
        <f>BA62*(c_HF1+c_DM+c_PT_2)</f>
        <v>7.6284423701504553E-2</v>
      </c>
      <c r="DK62">
        <f>BB62*(c_HF2+c_DM+c_PT_2)</f>
        <v>3.4778658025134628E-2</v>
      </c>
      <c r="DL62">
        <f>BC62*(c_Stroke2+c_HF1+c_DM+c_PT_2)</f>
        <v>1.1717034316834243E-3</v>
      </c>
      <c r="DM62">
        <f>BD62*(c_Stroke1+c_Stroke2+c_HF2+c_DM+c_PT_2)</f>
        <v>5.9124374820997156E-3</v>
      </c>
      <c r="DN62">
        <f>BE62*(c_Stroke2+c_HF2+c_DM+c_PT_2)</f>
        <v>-4.5727791011591929E-3</v>
      </c>
      <c r="DO62">
        <f t="shared" si="53"/>
        <v>0</v>
      </c>
      <c r="DP62">
        <f t="shared" si="54"/>
        <v>2.4893308666853513</v>
      </c>
      <c r="DQ62">
        <f>DP62/(1+r_)^A62</f>
        <v>0.43519747467802433</v>
      </c>
    </row>
    <row r="63" spans="1:121" x14ac:dyDescent="0.3">
      <c r="A63">
        <v>60</v>
      </c>
      <c r="B63">
        <v>105</v>
      </c>
      <c r="C63">
        <f t="shared" si="39"/>
        <v>34.542000000000002</v>
      </c>
      <c r="D63">
        <f t="shared" si="1"/>
        <v>125</v>
      </c>
      <c r="E63">
        <f t="shared" si="41"/>
        <v>5.7</v>
      </c>
      <c r="F63">
        <v>0.42858000000000002</v>
      </c>
      <c r="G63">
        <v>0.46333000000000002</v>
      </c>
      <c r="H63">
        <f t="shared" si="42"/>
        <v>0.43553000000000003</v>
      </c>
      <c r="I63">
        <f t="shared" si="43"/>
        <v>4.0096398347168494E-2</v>
      </c>
      <c r="J63">
        <f t="shared" si="21"/>
        <v>0.55544990580342013</v>
      </c>
      <c r="K63">
        <f t="shared" si="22"/>
        <v>0.67869611130857788</v>
      </c>
      <c r="L63">
        <f t="shared" si="23"/>
        <v>0.31871932624439514</v>
      </c>
      <c r="M63">
        <f t="shared" si="24"/>
        <v>0.41578245496814381</v>
      </c>
      <c r="N63">
        <f t="shared" si="25"/>
        <v>0.91280077455773256</v>
      </c>
      <c r="O63">
        <f t="shared" si="26"/>
        <v>0.96816124482970212</v>
      </c>
      <c r="P63">
        <f t="shared" si="27"/>
        <v>0.69880436728045692</v>
      </c>
      <c r="Q63">
        <f t="shared" si="28"/>
        <v>0.81650723516513113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4.5468862886423919E-2</v>
      </c>
      <c r="U63">
        <f t="shared" si="29"/>
        <v>0.82869623340768062</v>
      </c>
      <c r="V63">
        <f t="shared" si="30"/>
        <v>0.91549212921977607</v>
      </c>
      <c r="W63">
        <f t="shared" si="31"/>
        <v>0.56622337892803332</v>
      </c>
      <c r="X63">
        <f t="shared" si="32"/>
        <v>0.6895480764460018</v>
      </c>
      <c r="Y63">
        <f t="shared" si="33"/>
        <v>0.98425580823107117</v>
      </c>
      <c r="Z63">
        <f t="shared" si="34"/>
        <v>0.99716501309940997</v>
      </c>
      <c r="AA63">
        <f t="shared" si="35"/>
        <v>0.87022788187644895</v>
      </c>
      <c r="AB63">
        <f t="shared" si="36"/>
        <v>0.94416132134177855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6.7676949667046168E-2</v>
      </c>
      <c r="AD63">
        <f t="shared" si="44"/>
        <v>3.5101227666319446E-5</v>
      </c>
      <c r="AE63">
        <f t="shared" si="45"/>
        <v>2.5562493859519194E-6</v>
      </c>
      <c r="AF63">
        <f t="shared" si="46"/>
        <v>7.493780324123024E-7</v>
      </c>
      <c r="AG63">
        <f t="shared" si="47"/>
        <v>-3.3932557177222055E-7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5.2294993864315836E-7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2.7617777369767991E-7</v>
      </c>
      <c r="AJ63">
        <f t="shared" si="48"/>
        <v>1.5819216079873874E-8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5.6409172452977627E-9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-1.5560160872939926E-8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3.3777864845208538E-7</v>
      </c>
      <c r="AN63">
        <f t="shared" si="49"/>
        <v>3.2506170470731588E-7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3.2570500541420689E-9</v>
      </c>
      <c r="AP63">
        <f>AM62*T62*p_Stroke*p_Stroke_rec*(1-I62) + AN62*T62*p_Stroke*p_Stroke_rec*(1-I62) + AO62*(p_recur_Stroke*p_Stroke_rec)*(1-I62) + AP62*(p_recur_Stroke*p_Stroke_rec)*(1-I62) + AQ62*(p_recur_Stroke*p_Stroke_rec)*(1-I62)</f>
        <v>1.4101009483199646E-8</v>
      </c>
      <c r="AQ63">
        <f>AO62*(1-p_recur_Stroke-H62*rr_Stroke*rr_HF)*(1-I62) + AP62*(1-p_recur_Stroke-H62*rr_Stroke*rr_HF)*(1-I62) + AQ62*(1-p_recur_Stroke-H62*rr_Stroke*rr_HF)*(1-I62)</f>
        <v>-1.3184128886782207E-8</v>
      </c>
      <c r="AR63">
        <f>AR62*(1-AC62-H62*rr_DM) + AD62*(1-T62-H62)*I62</f>
        <v>5.5352362546718349E-5</v>
      </c>
      <c r="AS63">
        <f>AR62*AC62*p_Other + AD62*T62*p_Other*I62 + AE62*(1-T62*p_Stroke-T62*p_MI-H62*rr_Other)*I62 + AS62*(1-AC62*p_Stroke-AC62*p_MI-H62*rr_Other*rr_DM)</f>
        <v>5.1949066569916245E-6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2.0825788683111679E-6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-1.2233984808581304E-6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1.4603814918998638E-6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3.1522949229387227E-7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6.1041414282132874E-8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2.0504696344940784E-8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-6.2003905659164775E-8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9.2330562962144626E-7</v>
      </c>
      <c r="BB63">
        <f>AM62*(1-T62*p_Stroke - H62*rr_HF)*I62 + AN62*(1-T62*p_Stroke - H62*rr_HF)*I62 + BA62*(1-AC62*p_Stroke - H62*rr_HF*rr_DM) + BB62*(1-AC62*p_Stroke - H62*rr_HF*rr_DM)</f>
        <v>3.7676501734106426E-7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1.1470627326842394E-8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4.5744429844281576E-8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-1.4519593215503611E-8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0.94189591605962719</v>
      </c>
      <c r="BG63">
        <f t="shared" si="50"/>
        <v>0.94199999999999995</v>
      </c>
      <c r="BH63">
        <f>(0.9442 - 0.0007*$B63 - dis_BMI*($C63-21.75))*AD63</f>
        <v>2.9080889744849401E-5</v>
      </c>
      <c r="BI63">
        <f>0.959*(0.9442 - 0.0007*$B63 - dis_BMI*($C63-21.75))*AE63</f>
        <v>2.0309873193674662E-6</v>
      </c>
      <c r="BJ63">
        <f>(0.943*(0.9442 - 0.0007*$B63 - dis_BMI*($C63-21.75)) - 0.19*0.5)*AF63</f>
        <v>5.1427017325937896E-7</v>
      </c>
      <c r="BK63">
        <f>(0.943*(0.9442 - 0.0007*$B63 - dis_BMI*($C63-21.75)))*AG63</f>
        <v>-2.6510240396653463E-7</v>
      </c>
      <c r="BL63">
        <f>(0.955*(0.9442 - 0.0007*$B63 - dis_BMI*($C63-21.75)) - 0.15*0.5)*AH63</f>
        <v>3.7453910560635325E-7</v>
      </c>
      <c r="BM63">
        <f>(0.955*(0.9442 - 0.0007*$B63 - dis_BMI*($C63-21.75)))*AI63</f>
        <v>2.1851310066371931E-7</v>
      </c>
      <c r="BN63">
        <f>(0.955*0.943*(0.9442 - 0.0007*$B63 - dis_BMI*($C63-21.75)) - 0.19*0.5)*AJ63</f>
        <v>1.0299984208205292E-8</v>
      </c>
      <c r="BO63">
        <f>(0.955*0.943*(0.9442 - 0.0007*$B63 - dis_BMI*($C63-21.75)) - 0.15*0.5)*AK63</f>
        <v>3.7856525898518712E-9</v>
      </c>
      <c r="BP63">
        <f>(0.955*0.943*(0.9442 - 0.0007*$B63 - dis_BMI*($C63-21.75)))*AL63</f>
        <v>-1.160952712917932E-8</v>
      </c>
      <c r="BQ63">
        <f>(0.93*(0.9442 - 0.0007*$B63 - dis_BMI*($C63-21.75)))*AM63</f>
        <v>2.6025586530122843E-7</v>
      </c>
      <c r="BR63">
        <f>(0.93*(0.9442 - 0.0007*$B63 - dis_BMI*($C63-21.75)))*AN63</f>
        <v>2.5045755740506933E-7</v>
      </c>
      <c r="BS63">
        <f>(0.93*0.943*(0.9442 - 0.0007*$B63 - dis_BMI*($C63-21.75)))*AO63</f>
        <v>2.3664888238601842E-9</v>
      </c>
      <c r="BT63">
        <f>(0.93*0.943*(0.9442 - 0.0007*$B63 - dis_BMI*($C63-21.75))-0.19*0.5)*AP63</f>
        <v>8.9058350235306009E-9</v>
      </c>
      <c r="BU63">
        <f>(0.93*0.943*(0.9442 - 0.0007*$B63 - dis_BMI*($C63-21.75)))*AQ63</f>
        <v>-9.5792490579702311E-9</v>
      </c>
      <c r="BV63">
        <f>0.962*(0.9442 - 0.0007*$B63 - dis_BMI*($C63-21.75))*AR63</f>
        <v>4.4116049753868149E-5</v>
      </c>
      <c r="BW63">
        <f>0.962*0.959*(0.9442 - 0.0007*$B63 - dis_BMI*($C63-21.75))*AS63</f>
        <v>3.9706061539583766E-6</v>
      </c>
      <c r="BX63">
        <f>0.962*(0.943*(0.9442 - 0.0007*$B63 - dis_BMI*($C63-21.75)) - 0.19*0.5)*AT63</f>
        <v>1.3748866919538866E-6</v>
      </c>
      <c r="BY63">
        <f>0.962*(0.943*(0.9442 - 0.0007*$B63 - dis_BMI*($C63-21.75)))*AU63</f>
        <v>-9.1947533833118708E-7</v>
      </c>
      <c r="BZ63">
        <f>0.962*(0.955*(0.9442 - 0.0007*$B63 - dis_BMI*($C63-21.75)) - 0.15*0.5)*AV63</f>
        <v>1.006186404817855E-6</v>
      </c>
      <c r="CA63">
        <f>0.962*(0.955*(0.9442 - 0.0007*$B63 - dis_BMI*($C63-21.75)))*AW63</f>
        <v>2.399333787468825E-7</v>
      </c>
      <c r="CB63">
        <f>0.962*(0.955*0.943*(0.9442 - 0.0007*$B63 - dis_BMI*($C63-21.75)) - 0.19*0.5)*AX63</f>
        <v>3.8234134180782579E-8</v>
      </c>
      <c r="CC63">
        <f>0.962*(0.955*0.943*(0.9442 - 0.0007*$B63 - dis_BMI*($C63-21.75)) - 0.15*0.5)*AY63</f>
        <v>1.3237910541118063E-8</v>
      </c>
      <c r="CD63">
        <f>0.962*(0.955*0.943*(0.9442 - 0.0007*$B63 - dis_BMI*($C63-21.75)))*AZ63</f>
        <v>-4.4503540906478803E-8</v>
      </c>
      <c r="CE63">
        <f>0.962*(0.93*(0.9442 - 0.0007*$B63 - dis_BMI*($C63-21.75)))*BA63</f>
        <v>6.8436672898695799E-7</v>
      </c>
      <c r="CF63">
        <f>0.962*(0.93*(0.9442 - 0.0007*$B63 - dis_BMI*($C63-21.75)))*BB63</f>
        <v>2.792633709166648E-7</v>
      </c>
      <c r="CG63">
        <f>0.962*(0.93*0.943*(0.9442 - 0.0007*$B63 - dis_BMI*($C63-21.75)))*BC63</f>
        <v>8.017560892656906E-9</v>
      </c>
      <c r="CH63">
        <f>0.962*(0.93*0.943*(0.9442 - 0.0007*$B63 - dis_BMI*($C63-21.75))-0.19*0.5)*BD63</f>
        <v>2.7793147489114712E-8</v>
      </c>
      <c r="CI63">
        <f>0.962*(0.93*0.943*(0.9442 - 0.0007*$B63 - dis_BMI*($C63-21.75)))*BE63</f>
        <v>-1.0148679703811267E-8</v>
      </c>
      <c r="CJ63">
        <f t="shared" si="51"/>
        <v>0</v>
      </c>
      <c r="CK63">
        <f t="shared" si="52"/>
        <v>8.3253427324355355E-5</v>
      </c>
      <c r="CL63">
        <f>CK63/(1+r_)^A63</f>
        <v>1.4130861474220097E-5</v>
      </c>
      <c r="CM63">
        <f>AD63*c_PT_2</f>
        <v>5.1423298531157992E-2</v>
      </c>
      <c r="CN63">
        <f>AE63*(c_Other+c_PT_2)</f>
        <v>4.0245590332427021E-2</v>
      </c>
      <c r="CO63">
        <f>AF63*(c_Stroke1+c_Stroke2+c_PT_2)</f>
        <v>1.8945026037415418E-2</v>
      </c>
      <c r="CP63">
        <f>AG63*(c_Stroke2 + c_PT_2)</f>
        <v>-2.7027281791657367E-3</v>
      </c>
      <c r="CQ63">
        <f>AH63*(c_MI1+c_MI2 + c_PT_2)</f>
        <v>1.6010635321498937E-2</v>
      </c>
      <c r="CR63">
        <f>AI63*(c_MI2+c_PT_2)</f>
        <v>1.2654465590827694E-3</v>
      </c>
      <c r="CS63">
        <f>AJ63*(c_Stroke1+c_Stroke2+c_MI2+c_PT_2)</f>
        <v>4.4923409823625828E-4</v>
      </c>
      <c r="CT63">
        <f>AK63*(c_Stroke2+c_MI1+c_MI2+c_PT_2)</f>
        <v>2.0936828447647176E-4</v>
      </c>
      <c r="CU63">
        <f>AL63*(c_Stroke2+c_MI2+c_PT_2)</f>
        <v>-1.7243770279392026E-4</v>
      </c>
      <c r="CV63">
        <f>AM63*(c_HF1+c_PT_2)</f>
        <v>9.6250025876421733E-3</v>
      </c>
      <c r="CW63">
        <f>AN63*(c_HF2+c_PT_2)</f>
        <v>5.5488032993538825E-3</v>
      </c>
      <c r="CX63">
        <f>AO63*(c_Stroke2+c_HF1+c_PT_2)</f>
        <v>1.139804666447017E-4</v>
      </c>
      <c r="CY63">
        <f>AP63*(c_Stroke1+c_Stroke2+c_HF2+c_PT_2)</f>
        <v>5.765338737301007E-4</v>
      </c>
      <c r="CZ63">
        <f>AQ63*(c_Stroke2+c_HF2+c_PT_2)</f>
        <v>-3.1074991786145663E-4</v>
      </c>
      <c r="DA63">
        <f>AR63*(c_DM+c_PT_2)</f>
        <v>0.71349195322719949</v>
      </c>
      <c r="DB63">
        <f>AS63*(c_Other+c_DM+c_PT_2)</f>
        <v>0.14114041896380544</v>
      </c>
      <c r="DC63">
        <f>AT63*(c_Stroke1+c_Stroke2+c_DM+c_PT_2)</f>
        <v>7.6443139940229735E-2</v>
      </c>
      <c r="DD63">
        <f>AU63*(c_Stroke2+c_DM+c_PT_2)</f>
        <v>-2.3721696543839148E-2</v>
      </c>
      <c r="DE63">
        <f>AV63*(c_MI1+c_MI2+c_DM+c_PT_2)</f>
        <v>6.1395898300962176E-2</v>
      </c>
      <c r="DF63">
        <f>AW63*(c_MI2+c_DM+c_PT_2)</f>
        <v>5.0458784831480131E-3</v>
      </c>
      <c r="DG63">
        <f>AX63*(c_Stroke1+c_Stroke2+c_MI2+c_DM+c_PT_2)</f>
        <v>2.4308522409573776E-3</v>
      </c>
      <c r="DH63">
        <f>AY63*(c_Stroke2+c_MI1+c_MI2+c_DM+c_PT_2)</f>
        <v>9.9531846527977069E-4</v>
      </c>
      <c r="DI63">
        <f>AZ63*(c_Stroke2+c_MI2+c_DM+c_PT_2)</f>
        <v>-1.3955219046708216E-3</v>
      </c>
      <c r="DJ63">
        <f>BA63*(c_HF1+c_DM+c_PT_2)</f>
        <v>3.6858360734488137E-2</v>
      </c>
      <c r="DK63">
        <f>BB63*(c_HF2+c_DM+c_PT_2)</f>
        <v>1.0735919169133626E-2</v>
      </c>
      <c r="DL63">
        <f>BC63*(c_Stroke2+c_HF1+c_DM+c_PT_2)</f>
        <v>5.3246652051202388E-4</v>
      </c>
      <c r="DM63">
        <f>BD63*(c_Stroke1+c_Stroke2+c_HF2+c_DM+c_PT_2)</f>
        <v>2.3929368695842137E-3</v>
      </c>
      <c r="DN63">
        <f>BE63*(c_Stroke2+c_HF2+c_DM+c_PT_2)</f>
        <v>-5.0811316457654882E-4</v>
      </c>
      <c r="DO63">
        <f t="shared" si="53"/>
        <v>0</v>
      </c>
      <c r="DP63">
        <f t="shared" si="54"/>
        <v>1.1670648148940579</v>
      </c>
      <c r="DQ63">
        <f>DP63/(1+r_)^A63</f>
        <v>0.19808951728140697</v>
      </c>
    </row>
    <row r="64" spans="1:121" x14ac:dyDescent="0.3">
      <c r="A64">
        <v>61</v>
      </c>
      <c r="B64">
        <v>106</v>
      </c>
      <c r="C64">
        <f t="shared" si="39"/>
        <v>34.542000000000002</v>
      </c>
      <c r="D64">
        <f t="shared" si="1"/>
        <v>125</v>
      </c>
      <c r="E64">
        <f t="shared" si="41"/>
        <v>5.7</v>
      </c>
      <c r="F64">
        <v>0.44868999999999998</v>
      </c>
      <c r="G64">
        <v>0.48133999999999999</v>
      </c>
      <c r="H64">
        <f t="shared" si="42"/>
        <v>0.45521999999999996</v>
      </c>
      <c r="I64">
        <f t="shared" si="43"/>
        <v>4.0096398347168494E-2</v>
      </c>
      <c r="J64">
        <f t="shared" si="21"/>
        <v>0.56476717710024638</v>
      </c>
      <c r="K64">
        <f t="shared" si="22"/>
        <v>0.68808750811193264</v>
      </c>
      <c r="L64">
        <f t="shared" si="23"/>
        <v>0.3255166368861806</v>
      </c>
      <c r="M64">
        <f t="shared" si="24"/>
        <v>0.42392941902652637</v>
      </c>
      <c r="N64">
        <f t="shared" si="25"/>
        <v>0.9189441853634106</v>
      </c>
      <c r="O64">
        <f t="shared" si="26"/>
        <v>0.97128398789615722</v>
      </c>
      <c r="P64">
        <f t="shared" si="27"/>
        <v>0.70943603086206575</v>
      </c>
      <c r="Q64">
        <f t="shared" si="28"/>
        <v>0.82559193962241584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4.6226508443628855E-2</v>
      </c>
      <c r="U64">
        <f t="shared" si="29"/>
        <v>0.8364137083760852</v>
      </c>
      <c r="V64">
        <f t="shared" si="30"/>
        <v>0.92077553498387343</v>
      </c>
      <c r="W64">
        <f t="shared" si="31"/>
        <v>0.57558698417602083</v>
      </c>
      <c r="X64">
        <f t="shared" si="32"/>
        <v>0.69889270879075949</v>
      </c>
      <c r="Y64">
        <f t="shared" si="33"/>
        <v>0.98609632645932521</v>
      </c>
      <c r="Z64">
        <f t="shared" si="34"/>
        <v>0.99762172187391918</v>
      </c>
      <c r="AA64">
        <f t="shared" si="35"/>
        <v>0.8779258104246016</v>
      </c>
      <c r="AB64">
        <f t="shared" si="36"/>
        <v>0.94878353283939354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6.8458521490139285E-2</v>
      </c>
      <c r="AD64">
        <f t="shared" si="44"/>
        <v>1.7487117845666975E-5</v>
      </c>
      <c r="AE64">
        <f t="shared" si="45"/>
        <v>1.2156591998570398E-6</v>
      </c>
      <c r="AF64">
        <f t="shared" si="46"/>
        <v>3.9123783504924457E-7</v>
      </c>
      <c r="AG64">
        <f t="shared" si="47"/>
        <v>-1.9413360619303932E-7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2.7281660646259757E-7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1.1299535685713803E-7</v>
      </c>
      <c r="AJ64">
        <f t="shared" si="48"/>
        <v>8.0055323041991663E-9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2.8407682012934095E-9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-8.0871725127398837E-9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1.7350618684723658E-7</v>
      </c>
      <c r="AN64">
        <f t="shared" si="49"/>
        <v>1.2526587689171735E-7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1.6207501114359916E-9</v>
      </c>
      <c r="AP64">
        <f>AM63*T63*p_Stroke*p_Stroke_rec*(1-I63) + AN63*T63*p_Stroke*p_Stroke_rec*(1-I63) + AO63*(p_recur_Stroke*p_Stroke_rec)*(1-I63) + AP63*(p_recur_Stroke*p_Stroke_rec)*(1-I63) + AQ63*(p_recur_Stroke*p_Stroke_rec)*(1-I63)</f>
        <v>6.5639447490152479E-9</v>
      </c>
      <c r="AQ64">
        <f>AO63*(1-p_recur_Stroke-H63*rr_Stroke*rr_HF)*(1-I63) + AP63*(1-p_recur_Stroke-H63*rr_Stroke*rr_HF)*(1-I63) + AQ63*(1-p_recur_Stroke-H63*rr_Stroke*rr_HF)*(1-I63)</f>
        <v>-6.4146813304421234E-9</v>
      </c>
      <c r="AR64">
        <f>AR63*(1-AC63-H63*rr_DM) + AD63*(1-T63-H63)*I63</f>
        <v>2.4612986090959254E-5</v>
      </c>
      <c r="AS64">
        <f>AR63*AC63*p_Other + AD63*T63*p_Other*I63 + AE63*(1-T63*p_Stroke-T63*p_MI-H63*rr_Other)*I63 + AS63*(1-AC63*p_Stroke-AC63*p_MI-H63*rr_Other*rr_DM)</f>
        <v>2.2041759599369935E-6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9.7825970855616054E-7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-6.1175144673816302E-7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6.8494890648674606E-7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7.3926691692648198E-8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2.7919395817930282E-8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9.4033727419263769E-9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-3.4557200689190284E-8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4.2615566573200799E-7</v>
      </c>
      <c r="BB64">
        <f>AM63*(1-T63*p_Stroke - H63*rr_HF)*I63 + AN63*(1-T63*p_Stroke - H63*rr_HF)*I63 + BA63*(1-AC63*p_Stroke - H63*rr_HF*rr_DM) + BB63*(1-AC63*p_Stroke - H63*rr_HF*rr_DM)</f>
        <v>9.996867862057711E-8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5.4474918318422849E-9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2.3605350579112096E-8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-8.4514477841899353E-8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0.94195199503136928</v>
      </c>
      <c r="BG64">
        <f t="shared" si="50"/>
        <v>0.94199999999999995</v>
      </c>
      <c r="BH64">
        <f>(0.9442 - 0.0007*$B64 - dis_BMI*($C64-21.75))*AD64</f>
        <v>1.4475598327840421E-5</v>
      </c>
      <c r="BI64">
        <f>0.959*(0.9442 - 0.0007*$B64 - dis_BMI*($C64-21.75))*AE64</f>
        <v>9.6504760041680136E-7</v>
      </c>
      <c r="BJ64">
        <f>(0.943*(0.9442 - 0.0007*$B64 - dis_BMI*($C64-21.75)) - 0.19*0.5)*AF64</f>
        <v>2.6823366722543488E-7</v>
      </c>
      <c r="BK64">
        <f>(0.943*(0.9442 - 0.0007*$B64 - dis_BMI*($C64-21.75)))*AG64</f>
        <v>-1.5154119292714916E-7</v>
      </c>
      <c r="BL64">
        <f>(0.955*(0.9442 - 0.0007*$B64 - dis_BMI*($C64-21.75)) - 0.15*0.5)*AH64</f>
        <v>1.9521010659562052E-7</v>
      </c>
      <c r="BM64">
        <f>(0.955*(0.9442 - 0.0007*$B64 - dis_BMI*($C64-21.75)))*AI64</f>
        <v>8.932689878435876E-8</v>
      </c>
      <c r="BN64">
        <f>(0.955*0.943*(0.9442 - 0.0007*$B64 - dis_BMI*($C64-21.75)) - 0.19*0.5)*AJ64</f>
        <v>5.2074023026430289E-9</v>
      </c>
      <c r="BO64">
        <f>(0.955*0.943*(0.9442 - 0.0007*$B64 - dis_BMI*($C64-21.75)) - 0.15*0.5)*AK64</f>
        <v>1.9046653645724859E-9</v>
      </c>
      <c r="BP64">
        <f>(0.955*0.943*(0.9442 - 0.0007*$B64 - dis_BMI*($C64-21.75)))*AL64</f>
        <v>-6.0287886435024948E-9</v>
      </c>
      <c r="BQ64">
        <f>(0.93*(0.9442 - 0.0007*$B64 - dis_BMI*($C64-21.75)))*AM64</f>
        <v>1.3357223746284123E-7</v>
      </c>
      <c r="BR64">
        <f>(0.93*(0.9442 - 0.0007*$B64 - dis_BMI*($C64-21.75)))*AN64</f>
        <v>9.6434852025785253E-8</v>
      </c>
      <c r="BS64">
        <f>(0.93*0.943*(0.9442 - 0.0007*$B64 - dis_BMI*($C64-21.75)))*AO64</f>
        <v>1.1766003909906387E-9</v>
      </c>
      <c r="BT64">
        <f>(0.93*0.943*(0.9442 - 0.0007*$B64 - dis_BMI*($C64-21.75))-0.19*0.5)*AP64</f>
        <v>4.1415891711767449E-9</v>
      </c>
      <c r="BU64">
        <f>(0.93*0.943*(0.9442 - 0.0007*$B64 - dis_BMI*($C64-21.75)))*AQ64</f>
        <v>-4.6568045920363506E-9</v>
      </c>
      <c r="BV64">
        <f>0.962*(0.9442 - 0.0007*$B64 - dis_BMI*($C64-21.75))*AR64</f>
        <v>1.9600071933804794E-5</v>
      </c>
      <c r="BW64">
        <f>0.962*0.959*(0.9442 - 0.0007*$B64 - dis_BMI*($C64-21.75))*AS64</f>
        <v>1.6832872254616768E-6</v>
      </c>
      <c r="BX64">
        <f>0.962*(0.943*(0.9442 - 0.0007*$B64 - dis_BMI*($C64-21.75)) - 0.19*0.5)*AT64</f>
        <v>6.4521087513528592E-7</v>
      </c>
      <c r="BY64">
        <f>0.962*(0.943*(0.9442 - 0.0007*$B64 - dis_BMI*($C64-21.75)))*AU64</f>
        <v>-4.5938843402730254E-7</v>
      </c>
      <c r="BZ64">
        <f>0.962*(0.955*(0.9442 - 0.0007*$B64 - dis_BMI*($C64-21.75)) - 0.15*0.5)*AV64</f>
        <v>4.7148159583037832E-7</v>
      </c>
      <c r="CA64">
        <f>0.962*(0.955*(0.9442 - 0.0007*$B64 - dis_BMI*($C64-21.75)))*AW64</f>
        <v>5.6220926973879368E-8</v>
      </c>
      <c r="CB64">
        <f>0.962*(0.955*0.943*(0.9442 - 0.0007*$B64 - dis_BMI*($C64-21.75)) - 0.19*0.5)*AX64</f>
        <v>1.7470768309390659E-8</v>
      </c>
      <c r="CC64">
        <f>0.962*(0.955*0.943*(0.9442 - 0.0007*$B64 - dis_BMI*($C64-21.75)) - 0.15*0.5)*AY64</f>
        <v>6.0651508932486612E-9</v>
      </c>
      <c r="CD64">
        <f>0.962*(0.955*0.943*(0.9442 - 0.0007*$B64 - dis_BMI*($C64-21.75)))*AZ64</f>
        <v>-2.4782606344304243E-8</v>
      </c>
      <c r="CE64">
        <f>0.962*(0.93*(0.9442 - 0.0007*$B64 - dis_BMI*($C64-21.75)))*BA64</f>
        <v>3.1560550822254469E-7</v>
      </c>
      <c r="CF64">
        <f>0.962*(0.93*(0.9442 - 0.0007*$B64 - dis_BMI*($C64-21.75)))*BB64</f>
        <v>7.4035541844055671E-8</v>
      </c>
      <c r="CG64">
        <f>0.962*(0.93*0.943*(0.9442 - 0.0007*$B64 - dis_BMI*($C64-21.75)))*BC64</f>
        <v>3.8043861154319745E-9</v>
      </c>
      <c r="CH64">
        <f>0.962*(0.93*0.943*(0.9442 - 0.0007*$B64 - dis_BMI*($C64-21.75))-0.19*0.5)*BD64</f>
        <v>1.4328067753687332E-8</v>
      </c>
      <c r="CI64">
        <f>0.962*(0.93*0.943*(0.9442 - 0.0007*$B64 - dis_BMI*($C64-21.75)))*BE64</f>
        <v>-5.9022705490862303E-8</v>
      </c>
      <c r="CJ64">
        <f t="shared" si="51"/>
        <v>0</v>
      </c>
      <c r="CK64">
        <f t="shared" si="52"/>
        <v>3.8418015395899864E-5</v>
      </c>
      <c r="CL64">
        <f>CK64/(1+r_)^A64</f>
        <v>6.3308820052858191E-6</v>
      </c>
      <c r="CM64">
        <f>AD64*c_PT_2</f>
        <v>2.5618627643902117E-2</v>
      </c>
      <c r="CN64">
        <f>AE64*(c_Other+c_PT_2)</f>
        <v>1.9139338442549236E-2</v>
      </c>
      <c r="CO64">
        <f>AF64*(c_Stroke1+c_Stroke2+c_PT_2)</f>
        <v>9.8908837078799522E-3</v>
      </c>
      <c r="CP64">
        <f>AG64*(c_Stroke2 + c_PT_2)</f>
        <v>-1.5462741733275583E-3</v>
      </c>
      <c r="CQ64">
        <f>AH64*(c_MI1+c_MI2 + c_PT_2)</f>
        <v>8.3525532234588872E-3</v>
      </c>
      <c r="CR64">
        <f>AI64*(c_MI2+c_PT_2)</f>
        <v>5.1774472511940646E-4</v>
      </c>
      <c r="CS64">
        <f>AJ64*(c_Stroke1+c_Stroke2+c_MI2+c_PT_2)</f>
        <v>2.2734110637464793E-4</v>
      </c>
      <c r="CT64">
        <f>AK64*(c_Stroke2+c_MI1+c_MI2+c_PT_2)</f>
        <v>1.0543795255920618E-4</v>
      </c>
      <c r="CU64">
        <f>AL64*(c_Stroke2+c_MI2+c_PT_2)</f>
        <v>-8.9622045786183388E-5</v>
      </c>
      <c r="CV64">
        <f>AM64*(c_HF1+c_PT_2)</f>
        <v>4.9440587942120064E-3</v>
      </c>
      <c r="CW64">
        <f>AN64*(c_HF2+c_PT_2)</f>
        <v>2.1382885185416154E-3</v>
      </c>
      <c r="CX64">
        <f>AO64*(c_Stroke2+c_HF1+c_PT_2)</f>
        <v>5.6718150149702528E-5</v>
      </c>
      <c r="CY64">
        <f>AP64*(c_Stroke1+c_Stroke2+c_HF2+c_PT_2)</f>
        <v>2.6837344500823743E-4</v>
      </c>
      <c r="CZ64">
        <f>AQ64*(c_Stroke2+c_HF2+c_PT_2)</f>
        <v>-1.5119403895852085E-4</v>
      </c>
      <c r="DA64">
        <f>AR64*(c_DM+c_PT_2)</f>
        <v>0.31726139071246479</v>
      </c>
      <c r="DB64">
        <f>AS64*(c_Other+c_DM+c_PT_2)</f>
        <v>5.9885256655528178E-2</v>
      </c>
      <c r="DC64">
        <f>AT64*(c_Stroke1+c_Stroke2+c_DM+c_PT_2)</f>
        <v>3.5908000862262431E-2</v>
      </c>
      <c r="DD64">
        <f>AU64*(c_Stroke2+c_DM+c_PT_2)</f>
        <v>-1.1861860552252981E-2</v>
      </c>
      <c r="DE64">
        <f>AV64*(c_MI1+c_MI2+c_DM+c_PT_2)</f>
        <v>2.879593697760929E-2</v>
      </c>
      <c r="DF64">
        <f>AW64*(c_MI2+c_DM+c_PT_2)</f>
        <v>1.1833445539242197E-3</v>
      </c>
      <c r="DG64">
        <f>AX64*(c_Stroke1+c_Stroke2+c_MI2+c_DM+c_PT_2)</f>
        <v>1.1118340996574376E-3</v>
      </c>
      <c r="DH64">
        <f>AY64*(c_Stroke2+c_MI1+c_MI2+c_DM+c_PT_2)</f>
        <v>4.5644911626584823E-4</v>
      </c>
      <c r="DI64">
        <f>AZ64*(c_Stroke2+c_MI2+c_DM+c_PT_2)</f>
        <v>-7.7777891591160569E-4</v>
      </c>
      <c r="DJ64">
        <f>BA64*(c_HF1+c_DM+c_PT_2)</f>
        <v>1.7012134176021758E-2</v>
      </c>
      <c r="DK64">
        <f>BB64*(c_HF2+c_DM+c_PT_2)</f>
        <v>2.8486074972933449E-3</v>
      </c>
      <c r="DL64">
        <f>BC64*(c_Stroke2+c_HF1+c_DM+c_PT_2)</f>
        <v>2.5287257083411887E-4</v>
      </c>
      <c r="DM64">
        <f>BD64*(c_Stroke1+c_Stroke2+c_HF2+c_DM+c_PT_2)</f>
        <v>1.2348194941439329E-3</v>
      </c>
      <c r="DN64">
        <f>BE64*(c_Stroke2+c_HF2+c_DM+c_PT_2)</f>
        <v>-2.957584152077268E-3</v>
      </c>
      <c r="DO64">
        <f t="shared" si="53"/>
        <v>0</v>
      </c>
      <c r="DP64">
        <f t="shared" si="54"/>
        <v>0.51982569854744642</v>
      </c>
      <c r="DQ64">
        <f>DP64/(1+r_)^A64</f>
        <v>8.5661769013981509E-2</v>
      </c>
    </row>
    <row r="65" spans="1:121" x14ac:dyDescent="0.3">
      <c r="A65">
        <v>62</v>
      </c>
      <c r="B65">
        <v>107</v>
      </c>
      <c r="C65">
        <f t="shared" si="39"/>
        <v>34.542000000000002</v>
      </c>
      <c r="D65">
        <f t="shared" si="1"/>
        <v>125</v>
      </c>
      <c r="E65">
        <f t="shared" si="41"/>
        <v>5.7</v>
      </c>
      <c r="F65">
        <v>0.46788999999999997</v>
      </c>
      <c r="G65">
        <v>0.49833</v>
      </c>
      <c r="H65">
        <f t="shared" si="42"/>
        <v>0.47397799999999995</v>
      </c>
      <c r="I65">
        <f t="shared" si="43"/>
        <v>4.0096398347168494E-2</v>
      </c>
      <c r="J65">
        <f t="shared" si="21"/>
        <v>0.57403688594935498</v>
      </c>
      <c r="K65">
        <f t="shared" si="22"/>
        <v>0.69735140048192168</v>
      </c>
      <c r="L65">
        <f t="shared" si="23"/>
        <v>0.33235572421502768</v>
      </c>
      <c r="M65">
        <f t="shared" si="24"/>
        <v>0.43209333533900773</v>
      </c>
      <c r="N65">
        <f t="shared" si="25"/>
        <v>0.9247655234943376</v>
      </c>
      <c r="O65">
        <f t="shared" si="26"/>
        <v>0.9741542266444787</v>
      </c>
      <c r="P65">
        <f t="shared" si="27"/>
        <v>0.71989515586121455</v>
      </c>
      <c r="Q65">
        <f t="shared" si="28"/>
        <v>0.83439625336646195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4.698068459114093E-2</v>
      </c>
      <c r="U65">
        <f t="shared" si="29"/>
        <v>0.84390133328542094</v>
      </c>
      <c r="V65">
        <f t="shared" si="30"/>
        <v>0.92580707087264802</v>
      </c>
      <c r="W65">
        <f t="shared" si="31"/>
        <v>0.58489677249131333</v>
      </c>
      <c r="X65">
        <f t="shared" si="32"/>
        <v>0.70810213348321305</v>
      </c>
      <c r="Y65">
        <f t="shared" si="33"/>
        <v>0.98775237996516896</v>
      </c>
      <c r="Z65">
        <f t="shared" si="34"/>
        <v>0.99801189993677797</v>
      </c>
      <c r="AA65">
        <f t="shared" si="35"/>
        <v>0.88530840352941809</v>
      </c>
      <c r="AB65">
        <f t="shared" si="36"/>
        <v>0.95310478119469966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6.9226212446497584E-2</v>
      </c>
      <c r="AD65">
        <f t="shared" si="44"/>
        <v>8.3686926866394709E-6</v>
      </c>
      <c r="AE65">
        <f t="shared" si="45"/>
        <v>5.6013085955520603E-7</v>
      </c>
      <c r="AF65">
        <f t="shared" si="46"/>
        <v>1.9649425081113772E-7</v>
      </c>
      <c r="AG65">
        <f t="shared" si="47"/>
        <v>-1.0500818316133025E-7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1.3693301553178661E-7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4.2967225086603156E-8</v>
      </c>
      <c r="AJ65">
        <f t="shared" si="48"/>
        <v>3.9149080070212152E-9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1.3824985696760971E-9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-4.0398714685860284E-9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8.5912733394622652E-8</v>
      </c>
      <c r="AN65">
        <f t="shared" si="49"/>
        <v>4.6135574075703411E-8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7.8014603505425173E-10</v>
      </c>
      <c r="AP65">
        <f>AM64*T64*p_Stroke*p_Stroke_rec*(1-I64) + AN64*T64*p_Stroke*p_Stroke_rec*(1-I64) + AO64*(p_recur_Stroke*p_Stroke_rec)*(1-I64) + AP64*(p_recur_Stroke*p_Stroke_rec)*(1-I64) + AQ64*(p_recur_Stroke*p_Stroke_rec)*(1-I64)</f>
        <v>2.9928423128477789E-9</v>
      </c>
      <c r="AQ65">
        <f>AO64*(1-p_recur_Stroke-H64*rr_Stroke*rr_HF)*(1-I64) + AP64*(1-p_recur_Stroke-H64*rr_Stroke*rr_HF)*(1-I64) + AQ64*(1-p_recur_Stroke-H64*rr_Stroke*rr_HF)*(1-I64)</f>
        <v>-2.9108099977279129E-9</v>
      </c>
      <c r="AR65">
        <f>AR64*(1-AC64-H64*rr_DM) + AD64*(1-T64-H64)*I64</f>
        <v>1.0392616368714907E-5</v>
      </c>
      <c r="AS65">
        <f>AR64*AC64*p_Other + AD64*T64*p_Other*I64 + AE64*(1-T64*p_Stroke-T64*p_MI-H64*rr_Other)*I64 + AS64*(1-AC64*p_Stroke-AC64*p_MI-H64*rr_Other*rr_DM)</f>
        <v>8.9400732654344155E-7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4.3713899448403339E-7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-2.8792637688253855E-7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3.0571980201443591E-7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4.0864483959826973E-9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1.1461787102117847E-8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3.7903597947793853E-9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-5.3210912980763049E-9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1.8761158916700657E-7</v>
      </c>
      <c r="BB65">
        <f>AM64*(1-T64*p_Stroke - H64*rr_HF)*I64 + AN64*(1-T64*p_Stroke - H64*rr_HF)*I64 + BA64*(1-AC64*p_Stroke - H64*rr_HF*rr_DM) + BB64*(1-AC64*p_Stroke - H64*rr_HF*rr_DM)</f>
        <v>1.8489052157410182E-8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1.7880965691022024E-9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1.6233944967014691E-9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1.1646915128028197E-7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0.94197858406722201</v>
      </c>
      <c r="BG65">
        <f t="shared" si="50"/>
        <v>0.94199999999999995</v>
      </c>
      <c r="BH65">
        <f>(0.9442 - 0.0007*$B65 - dis_BMI*($C65-21.75))*AD65</f>
        <v>6.921631906898969E-6</v>
      </c>
      <c r="BI65">
        <f>0.959*(0.9442 - 0.0007*$B65 - dis_BMI*($C65-21.75))*AE65</f>
        <v>4.4428227489592575E-7</v>
      </c>
      <c r="BJ65">
        <f>(0.943*(0.9442 - 0.0007*$B65 - dis_BMI*($C65-21.75)) - 0.19*0.5)*AF65</f>
        <v>1.3458725851315029E-7</v>
      </c>
      <c r="BK65">
        <f>(0.943*(0.9442 - 0.0007*$B65 - dis_BMI*($C65-21.75)))*AG65</f>
        <v>-8.1900342291102879E-8</v>
      </c>
      <c r="BL65">
        <f>(0.955*(0.9442 - 0.0007*$B65 - dis_BMI*($C65-21.75)) - 0.15*0.5)*AH65</f>
        <v>9.7888964123865664E-8</v>
      </c>
      <c r="BM65">
        <f>(0.955*(0.9442 - 0.0007*$B65 - dis_BMI*($C65-21.75)))*AI65</f>
        <v>3.3938415176699218E-8</v>
      </c>
      <c r="BN65">
        <f>(0.955*0.943*(0.9442 - 0.0007*$B65 - dis_BMI*($C65-21.75)) - 0.19*0.5)*AJ65</f>
        <v>2.5440836436564711E-9</v>
      </c>
      <c r="BO65">
        <f>(0.955*0.943*(0.9442 - 0.0007*$B65 - dis_BMI*($C65-21.75)) - 0.15*0.5)*AK65</f>
        <v>9.2605984263021413E-10</v>
      </c>
      <c r="BP65">
        <f>(0.955*0.943*(0.9442 - 0.0007*$B65 - dis_BMI*($C65-21.75)))*AL65</f>
        <v>-3.009078321827398E-9</v>
      </c>
      <c r="BQ65">
        <f>(0.93*(0.9442 - 0.0007*$B65 - dis_BMI*($C65-21.75)))*AM65</f>
        <v>6.6083245641091973E-8</v>
      </c>
      <c r="BR65">
        <f>(0.93*(0.9442 - 0.0007*$B65 - dis_BMI*($C65-21.75)))*AN65</f>
        <v>3.5487038463012393E-8</v>
      </c>
      <c r="BS65">
        <f>(0.93*0.943*(0.9442 - 0.0007*$B65 - dis_BMI*($C65-21.75)))*AO65</f>
        <v>5.6587619752584162E-10</v>
      </c>
      <c r="BT65">
        <f>(0.93*0.943*(0.9442 - 0.0007*$B65 - dis_BMI*($C65-21.75))-0.19*0.5)*AP65</f>
        <v>1.8865276827496457E-9</v>
      </c>
      <c r="BU65">
        <f>(0.93*0.943*(0.9442 - 0.0007*$B65 - dis_BMI*($C65-21.75)))*AQ65</f>
        <v>-2.1113458496522782E-9</v>
      </c>
      <c r="BV65">
        <f>0.962*(0.9442 - 0.0007*$B65 - dis_BMI*($C65-21.75))*AR65</f>
        <v>8.2689591759401894E-6</v>
      </c>
      <c r="BW65">
        <f>0.962*0.959*(0.9442 - 0.0007*$B65 - dis_BMI*($C65-21.75))*AS65</f>
        <v>6.8215903687036993E-7</v>
      </c>
      <c r="BX65">
        <f>0.962*(0.943*(0.9442 - 0.0007*$B65 - dis_BMI*($C65-21.75)) - 0.19*0.5)*AT65</f>
        <v>2.8803729242257632E-7</v>
      </c>
      <c r="BY65">
        <f>0.962*(0.943*(0.9442 - 0.0007*$B65 - dis_BMI*($C65-21.75)))*AU65</f>
        <v>-2.1603250264081204E-7</v>
      </c>
      <c r="BZ65">
        <f>0.962*(0.955*(0.9442 - 0.0007*$B65 - dis_BMI*($C65-21.75)) - 0.15*0.5)*AV65</f>
        <v>2.1024428637425512E-7</v>
      </c>
      <c r="CA65">
        <f>0.962*(0.955*(0.9442 - 0.0007*$B65 - dis_BMI*($C65-21.75)))*AW65</f>
        <v>3.1050982200080967E-9</v>
      </c>
      <c r="CB65">
        <f>0.962*(0.955*0.943*(0.9442 - 0.0007*$B65 - dis_BMI*($C65-21.75)) - 0.19*0.5)*AX65</f>
        <v>7.1653471115299727E-9</v>
      </c>
      <c r="CC65">
        <f>0.962*(0.955*0.943*(0.9442 - 0.0007*$B65 - dis_BMI*($C65-21.75)) - 0.15*0.5)*AY65</f>
        <v>2.4424735542720533E-9</v>
      </c>
      <c r="CD65">
        <f>0.962*(0.955*0.943*(0.9442 - 0.0007*$B65 - dis_BMI*($C65-21.75)))*AZ65</f>
        <v>-3.8127798211619238E-9</v>
      </c>
      <c r="CE65">
        <f>0.962*(0.93*(0.9442 - 0.0007*$B65 - dis_BMI*($C65-21.75)))*BA65</f>
        <v>1.3882528138684454E-7</v>
      </c>
      <c r="CF65">
        <f>0.962*(0.93*(0.9442 - 0.0007*$B65 - dis_BMI*($C65-21.75)))*BB65</f>
        <v>1.3681179716694721E-8</v>
      </c>
      <c r="CG65">
        <f>0.962*(0.93*0.943*(0.9442 - 0.0007*$B65 - dis_BMI*($C65-21.75)))*BC65</f>
        <v>1.2477039870442082E-9</v>
      </c>
      <c r="CH65">
        <f>0.962*(0.93*0.943*(0.9442 - 0.0007*$B65 - dis_BMI*($C65-21.75))-0.19*0.5)*BD65</f>
        <v>9.8441560265212348E-10</v>
      </c>
      <c r="CI65">
        <f>0.962*(0.93*0.943*(0.9442 - 0.0007*$B65 - dis_BMI*($C65-21.75)))*BE65</f>
        <v>8.1270232788952262E-8</v>
      </c>
      <c r="CJ65">
        <f t="shared" si="51"/>
        <v>0</v>
      </c>
      <c r="CK65">
        <f t="shared" si="52"/>
        <v>1.7131077126130111E-5</v>
      </c>
      <c r="CL65">
        <f>CK65/(1+r_)^A65</f>
        <v>2.7407961692220159E-6</v>
      </c>
      <c r="CM65">
        <f>AD65*c_PT_2</f>
        <v>1.2260134785926824E-2</v>
      </c>
      <c r="CN65">
        <f>AE65*(c_Other+c_PT_2)</f>
        <v>8.8187002528371632E-3</v>
      </c>
      <c r="CO65">
        <f>AF65*(c_Stroke1+c_Stroke2+c_PT_2)</f>
        <v>4.9675711547563731E-3</v>
      </c>
      <c r="CP65">
        <f>AG65*(c_Stroke2 + c_PT_2)</f>
        <v>-8.3639017887999546E-4</v>
      </c>
      <c r="CQ65">
        <f>AH65*(c_MI1+c_MI2 + c_PT_2)</f>
        <v>4.1923412035211787E-3</v>
      </c>
      <c r="CR65">
        <f>AI65*(c_MI2+c_PT_2)</f>
        <v>1.9687582534681566E-4</v>
      </c>
      <c r="CS65">
        <f>AJ65*(c_Stroke1+c_Stroke2+c_MI2+c_PT_2)</f>
        <v>1.1117555758338847E-4</v>
      </c>
      <c r="CT65">
        <f>AK65*(c_Stroke2+c_MI1+c_MI2+c_PT_2)</f>
        <v>5.1312816912098018E-5</v>
      </c>
      <c r="CU65">
        <f>AL65*(c_Stroke2+c_MI2+c_PT_2)</f>
        <v>-4.4769855614870368E-5</v>
      </c>
      <c r="CV65">
        <f>AM65*(c_HF1+c_PT_2)</f>
        <v>2.4480833380797723E-3</v>
      </c>
      <c r="CW65">
        <f>AN65*(c_HF2+c_PT_2)</f>
        <v>7.875342494722572E-4</v>
      </c>
      <c r="CX65">
        <f>AO65*(c_Stroke2+c_HF1+c_PT_2)</f>
        <v>2.7301210496723538E-5</v>
      </c>
      <c r="CY65">
        <f>AP65*(c_Stroke1+c_Stroke2+c_HF2+c_PT_2)</f>
        <v>1.2236535080309429E-4</v>
      </c>
      <c r="CZ65">
        <f>AQ65*(c_Stroke2+c_HF2+c_PT_2)</f>
        <v>-6.8607791646446912E-5</v>
      </c>
      <c r="DA65">
        <f>AR65*(c_DM+c_PT_2)</f>
        <v>0.13396082499273515</v>
      </c>
      <c r="DB65">
        <f>AS65*(c_Other+c_DM+c_PT_2)</f>
        <v>2.4289285054858764E-2</v>
      </c>
      <c r="DC65">
        <f>AT65*(c_Stroke1+c_Stroke2+c_DM+c_PT_2)</f>
        <v>1.6045623931530931E-2</v>
      </c>
      <c r="DD65">
        <f>AU65*(c_Stroke2+c_DM+c_PT_2)</f>
        <v>-5.5828924477524227E-3</v>
      </c>
      <c r="DE65">
        <f>AV65*(c_MI1+c_MI2+c_DM+c_PT_2)</f>
        <v>1.28527661964889E-2</v>
      </c>
      <c r="DF65">
        <f>AW65*(c_MI2+c_DM+c_PT_2)</f>
        <v>6.5411779474495042E-5</v>
      </c>
      <c r="DG65">
        <f>AX65*(c_Stroke1+c_Stroke2+c_MI2+c_DM+c_PT_2)</f>
        <v>4.5644274776763903E-4</v>
      </c>
      <c r="DH65">
        <f>AY65*(c_Stroke2+c_MI1+c_MI2+c_DM+c_PT_2)</f>
        <v>1.8398785479838614E-4</v>
      </c>
      <c r="DI65">
        <f>AZ65*(c_Stroke2+c_MI2+c_DM+c_PT_2)</f>
        <v>-1.197618018458034E-4</v>
      </c>
      <c r="DJ65">
        <f>BA65*(c_HF1+c_DM+c_PT_2)</f>
        <v>7.489454639546902E-3</v>
      </c>
      <c r="DK65">
        <f>BB65*(c_HF2+c_DM+c_PT_2)</f>
        <v>5.2684554122540311E-4</v>
      </c>
      <c r="DL65">
        <f>BC65*(c_Stroke2+c_HF1+c_DM+c_PT_2)</f>
        <v>8.300344273772424E-5</v>
      </c>
      <c r="DM65">
        <f>BD65*(c_Stroke1+c_Stroke2+c_HF2+c_DM+c_PT_2)</f>
        <v>8.492138951695055E-5</v>
      </c>
      <c r="DN65">
        <f>BE65*(c_Stroke2+c_HF2+c_DM+c_PT_2)</f>
        <v>4.0758379490534674E-3</v>
      </c>
      <c r="DO65">
        <f t="shared" si="53"/>
        <v>0</v>
      </c>
      <c r="DP65">
        <f t="shared" si="54"/>
        <v>0.22744537918973085</v>
      </c>
      <c r="DQ65">
        <f>DP65/(1+r_)^A65</f>
        <v>3.6388921688970545E-2</v>
      </c>
    </row>
    <row r="66" spans="1:121" x14ac:dyDescent="0.3">
      <c r="A66">
        <v>63</v>
      </c>
      <c r="B66">
        <v>108</v>
      </c>
      <c r="C66">
        <f t="shared" si="39"/>
        <v>34.542000000000002</v>
      </c>
      <c r="D66">
        <f t="shared" si="1"/>
        <v>125</v>
      </c>
      <c r="E66">
        <f t="shared" si="41"/>
        <v>5.7</v>
      </c>
      <c r="F66">
        <v>0.48608000000000001</v>
      </c>
      <c r="G66">
        <v>0.51426000000000005</v>
      </c>
      <c r="H66">
        <f t="shared" si="42"/>
        <v>0.49171600000000004</v>
      </c>
      <c r="I66">
        <f t="shared" si="43"/>
        <v>4.0096398347168494E-2</v>
      </c>
      <c r="J66">
        <f t="shared" si="21"/>
        <v>0.58325466850373453</v>
      </c>
      <c r="K66">
        <f t="shared" si="22"/>
        <v>0.70648368258514527</v>
      </c>
      <c r="L66">
        <f t="shared" si="23"/>
        <v>0.33923466789664047</v>
      </c>
      <c r="M66">
        <f t="shared" si="24"/>
        <v>0.44027111145559306</v>
      </c>
      <c r="N66">
        <f t="shared" si="25"/>
        <v>0.93027249884104879</v>
      </c>
      <c r="O66">
        <f t="shared" si="26"/>
        <v>0.97678638334426504</v>
      </c>
      <c r="P66">
        <f t="shared" si="27"/>
        <v>0.73017514657932869</v>
      </c>
      <c r="Q66">
        <f t="shared" si="28"/>
        <v>0.84291847909578899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4.7731149474087298E-2</v>
      </c>
      <c r="U66">
        <f t="shared" si="29"/>
        <v>0.85115935456331349</v>
      </c>
      <c r="V66">
        <f t="shared" si="30"/>
        <v>0.9305929401007087</v>
      </c>
      <c r="W66">
        <f t="shared" si="31"/>
        <v>0.59414833221946362</v>
      </c>
      <c r="X66">
        <f t="shared" si="32"/>
        <v>0.71717237576434589</v>
      </c>
      <c r="Y66">
        <f t="shared" si="33"/>
        <v>0.98923843635226316</v>
      </c>
      <c r="Z66">
        <f t="shared" si="34"/>
        <v>0.9983439947361552</v>
      </c>
      <c r="AA66">
        <f t="shared" si="35"/>
        <v>0.89237850503589444</v>
      </c>
      <c r="AB66">
        <f t="shared" si="36"/>
        <v>0.95713685428435324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6.9979933575460132E-2</v>
      </c>
      <c r="AD66">
        <f t="shared" si="44"/>
        <v>3.8482051146350828E-6</v>
      </c>
      <c r="AE66">
        <f t="shared" si="45"/>
        <v>2.4967123703433334E-7</v>
      </c>
      <c r="AF66">
        <f t="shared" si="46"/>
        <v>9.4898474083917942E-8</v>
      </c>
      <c r="AG66">
        <f t="shared" si="47"/>
        <v>-5.3910199766151324E-8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6.6100967451338637E-8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1.4887198982552524E-8</v>
      </c>
      <c r="AJ66">
        <f t="shared" si="48"/>
        <v>1.8499650697205862E-9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6.5011570369613156E-10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-1.9532417413113655E-9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4.0985287426978193E-8</v>
      </c>
      <c r="AN66">
        <f t="shared" si="49"/>
        <v>1.6041242071611665E-8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3.6379447165688211E-10</v>
      </c>
      <c r="AP66">
        <f>AM65*T65*p_Stroke*p_Stroke_rec*(1-I65) + AN65*T65*p_Stroke*p_Stroke_rec*(1-I65) + AO65*(p_recur_Stroke*p_Stroke_rec)*(1-I65) + AP65*(p_recur_Stroke*p_Stroke_rec)*(1-I65) + AQ65*(p_recur_Stroke*p_Stroke_rec)*(1-I65)</f>
        <v>1.3514402342078327E-9</v>
      </c>
      <c r="AQ66">
        <f>AO65*(1-p_recur_Stroke-H65*rr_Stroke*rr_HF)*(1-I65) + AP65*(1-p_recur_Stroke-H65*rr_Stroke*rr_HF)*(1-I65) + AQ65*(1-p_recur_Stroke-H65*rr_Stroke*rr_HF)*(1-I65)</f>
        <v>-1.5062989497662145E-9</v>
      </c>
      <c r="AR66">
        <f>AR65*(1-AC65-H65*rr_DM) + AD65*(1-T65-H65)*I65</f>
        <v>4.1691670889321224E-6</v>
      </c>
      <c r="AS66">
        <f>AR65*AC65*p_Other + AD65*T65*p_Other*I65 + AE65*(1-T65*p_Stroke-T65*p_MI-H65*rr_Other)*I65 + AS65*(1-AC65*p_Stroke-AC65*p_MI-H65*rr_Other*rr_DM)</f>
        <v>3.4640781385362985E-7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1.8576657572219047E-7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-1.2778649899552969E-7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1.2980285838127095E-7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-9.0565069609878028E-9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5.7117884757683285E-9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1.9886098689221558E-9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-1.9642912970424685E-8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7.8716117320264179E-8</v>
      </c>
      <c r="BB66">
        <f>AM65*(1-T65*p_Stroke - H65*rr_HF)*I65 + AN65*(1-T65*p_Stroke - H65*rr_HF)*I65 + BA65*(1-AC65*p_Stroke - H65*rr_HF*rr_DM) + BB65*(1-AC65*p_Stroke - H65*rr_HF*rr_DM)</f>
        <v>-9.7008222053859817E-10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1.6159223147469291E-9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1.6310291429130011E-8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-2.6680604491398909E-7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0.94199121113988304</v>
      </c>
      <c r="BG66">
        <f t="shared" si="50"/>
        <v>0.94199999999999995</v>
      </c>
      <c r="BH66">
        <f>(0.9442 - 0.0007*$B66 - dis_BMI*($C66-21.75))*AD66</f>
        <v>3.1801043711448737E-6</v>
      </c>
      <c r="BI66">
        <f>0.959*(0.9442 - 0.0007*$B66 - dis_BMI*($C66-21.75))*AE66</f>
        <v>1.9786559325133909E-7</v>
      </c>
      <c r="BJ66">
        <f>(0.943*(0.9442 - 0.0007*$B66 - dis_BMI*($C66-21.75)) - 0.19*0.5)*AF66</f>
        <v>6.4937353248999011E-8</v>
      </c>
      <c r="BK66">
        <f>(0.943*(0.9442 - 0.0007*$B66 - dis_BMI*($C66-21.75)))*AG66</f>
        <v>-4.2011268521272888E-8</v>
      </c>
      <c r="BL66">
        <f>(0.955*(0.9442 - 0.0007*$B66 - dis_BMI*($C66-21.75)) - 0.15*0.5)*AH66</f>
        <v>4.7209245645990225E-8</v>
      </c>
      <c r="BM66">
        <f>(0.955*(0.9442 - 0.0007*$B66 - dis_BMI*($C66-21.75)))*AI66</f>
        <v>1.1748962728477859E-8</v>
      </c>
      <c r="BN66">
        <f>(0.955*0.943*(0.9442 - 0.0007*$B66 - dis_BMI*($C66-21.75)) - 0.19*0.5)*AJ66</f>
        <v>1.2010244591348364E-9</v>
      </c>
      <c r="BO66">
        <f>(0.955*0.943*(0.9442 - 0.0007*$B66 - dis_BMI*($C66-21.75)) - 0.15*0.5)*AK66</f>
        <v>4.3506696501602968E-10</v>
      </c>
      <c r="BP66">
        <f>(0.955*0.943*(0.9442 - 0.0007*$B66 - dis_BMI*($C66-21.75)))*AL66</f>
        <v>-1.4536311546510042E-9</v>
      </c>
      <c r="BQ66">
        <f>(0.93*(0.9442 - 0.0007*$B66 - dis_BMI*($C66-21.75)))*AM66</f>
        <v>3.1498806240663574E-8</v>
      </c>
      <c r="BR66">
        <f>(0.93*(0.9442 - 0.0007*$B66 - dis_BMI*($C66-21.75)))*AN66</f>
        <v>1.2328325786991568E-8</v>
      </c>
      <c r="BS66">
        <f>(0.93*0.943*(0.9442 - 0.0007*$B66 - dis_BMI*($C66-21.75)))*AO66</f>
        <v>2.6365371656038593E-10</v>
      </c>
      <c r="BT66">
        <f>(0.93*0.943*(0.9442 - 0.0007*$B66 - dis_BMI*($C66-21.75))-0.19*0.5)*AP66</f>
        <v>8.5104598450877753E-10</v>
      </c>
      <c r="BU66">
        <f>(0.93*0.943*(0.9442 - 0.0007*$B66 - dis_BMI*($C66-21.75)))*AQ66</f>
        <v>-1.0916639677016256E-9</v>
      </c>
      <c r="BV66">
        <f>0.962*(0.9442 - 0.0007*$B66 - dis_BMI*($C66-21.75))*AR66</f>
        <v>3.3144199483194948E-6</v>
      </c>
      <c r="BW66">
        <f>0.962*0.959*(0.9442 - 0.0007*$B66 - dis_BMI*($C66-21.75))*AS66</f>
        <v>2.6409763995909842E-7</v>
      </c>
      <c r="BX66">
        <f>0.962*(0.943*(0.9442 - 0.0007*$B66 - dis_BMI*($C66-21.75)) - 0.19*0.5)*AT66</f>
        <v>1.2228635550856902E-7</v>
      </c>
      <c r="BY66">
        <f>0.962*(0.943*(0.9442 - 0.0007*$B66 - dis_BMI*($C66-21.75)))*AU66</f>
        <v>-9.5797659330411091E-8</v>
      </c>
      <c r="BZ66">
        <f>0.962*(0.955*(0.9442 - 0.0007*$B66 - dis_BMI*($C66-21.75)) - 0.15*0.5)*AV66</f>
        <v>8.9182280428673813E-8</v>
      </c>
      <c r="CA66">
        <f>0.962*(0.955*(0.9442 - 0.0007*$B66 - dis_BMI*($C66-21.75)))*AW66</f>
        <v>-6.8757856646429548E-9</v>
      </c>
      <c r="CB66">
        <f>0.962*(0.955*0.943*(0.9442 - 0.0007*$B66 - dis_BMI*($C66-21.75)) - 0.19*0.5)*AX66</f>
        <v>3.5672661400771776E-9</v>
      </c>
      <c r="CC66">
        <f>0.962*(0.955*0.943*(0.9442 - 0.0007*$B66 - dis_BMI*($C66-21.75)) - 0.15*0.5)*AY66</f>
        <v>1.2802362318747195E-9</v>
      </c>
      <c r="CD66">
        <f>0.962*(0.955*0.943*(0.9442 - 0.0007*$B66 - dis_BMI*($C66-21.75)))*AZ66</f>
        <v>-1.4063039290524965E-8</v>
      </c>
      <c r="CE66">
        <f>0.962*(0.93*(0.9442 - 0.0007*$B66 - dis_BMI*($C66-21.75)))*BA66</f>
        <v>5.8197569312975492E-8</v>
      </c>
      <c r="CF66">
        <f>0.962*(0.93*(0.9442 - 0.0007*$B66 - dis_BMI*($C66-21.75)))*BB66</f>
        <v>-7.1721559943539616E-10</v>
      </c>
      <c r="CG66">
        <f>0.962*(0.93*0.943*(0.9442 - 0.0007*$B66 - dis_BMI*($C66-21.75)))*BC66</f>
        <v>1.1266093543942734E-9</v>
      </c>
      <c r="CH66">
        <f>0.962*(0.93*0.943*(0.9442 - 0.0007*$B66 - dis_BMI*($C66-21.75))-0.19*0.5)*BD66</f>
        <v>9.8808197239539674E-9</v>
      </c>
      <c r="CI66">
        <f>0.962*(0.93*0.943*(0.9442 - 0.0007*$B66 - dis_BMI*($C66-21.75)))*BE66</f>
        <v>-1.8601524545201532E-7</v>
      </c>
      <c r="CJ66">
        <f t="shared" si="51"/>
        <v>0</v>
      </c>
      <c r="CK66">
        <f t="shared" si="52"/>
        <v>7.0644566651710114E-6</v>
      </c>
      <c r="CL66">
        <f>CK66/(1+r_)^A66</f>
        <v>1.0973207938181754E-6</v>
      </c>
      <c r="CM66">
        <f>AD66*c_PT_2</f>
        <v>5.6376204929403963E-3</v>
      </c>
      <c r="CN66">
        <f>AE66*(c_Other+c_PT_2)</f>
        <v>3.930823955868544E-3</v>
      </c>
      <c r="CO66">
        <f>AF66*(c_Stroke1+c_Stroke2+c_PT_2)</f>
        <v>2.3991283233155297E-3</v>
      </c>
      <c r="CP66">
        <f>AG66*(c_Stroke2 + c_PT_2)</f>
        <v>-4.2939474113739531E-4</v>
      </c>
      <c r="CQ66">
        <f>AH66*(c_MI1+c_MI2 + c_PT_2)</f>
        <v>2.0237472194901836E-3</v>
      </c>
      <c r="CR66">
        <f>AI66*(c_MI2+c_PT_2)</f>
        <v>6.8213145738055662E-5</v>
      </c>
      <c r="CS66">
        <f>AJ66*(c_Stroke1+c_Stroke2+c_MI2+c_PT_2)</f>
        <v>5.2535308049925206E-5</v>
      </c>
      <c r="CT66">
        <f>AK66*(c_Stroke2+c_MI1+c_MI2+c_PT_2)</f>
        <v>2.4129694458385619E-5</v>
      </c>
      <c r="CU66">
        <f>AL66*(c_Stroke2+c_MI2+c_PT_2)</f>
        <v>-2.1645824977212551E-5</v>
      </c>
      <c r="CV66">
        <f>AM66*(c_HF1+c_PT_2)</f>
        <v>1.1678757652317437E-3</v>
      </c>
      <c r="CW66">
        <f>AN66*(c_HF2+c_PT_2)</f>
        <v>2.7382400216241113E-4</v>
      </c>
      <c r="CX66">
        <f>AO66*(c_Stroke2+c_HF1+c_PT_2)</f>
        <v>1.2730987535632589E-5</v>
      </c>
      <c r="CY66">
        <f>AP66*(c_Stroke1+c_Stroke2+c_HF2+c_PT_2)</f>
        <v>5.5254985415821448E-5</v>
      </c>
      <c r="CZ66">
        <f>AQ66*(c_Stroke2+c_HF2+c_PT_2)</f>
        <v>-3.5503466245989674E-5</v>
      </c>
      <c r="DA66">
        <f>AR66*(c_DM+c_PT_2)</f>
        <v>5.3740563776335057E-2</v>
      </c>
      <c r="DB66">
        <f>AS66*(c_Other+c_DM+c_PT_2)</f>
        <v>9.4115538945892686E-3</v>
      </c>
      <c r="DC66">
        <f>AT66*(c_Stroke1+c_Stroke2+c_DM+c_PT_2)</f>
        <v>6.8187479284587231E-3</v>
      </c>
      <c r="DD66">
        <f>AU66*(c_Stroke2+c_DM+c_PT_2)</f>
        <v>-2.4777802155233207E-3</v>
      </c>
      <c r="DE66">
        <f>AV66*(c_MI1+c_MI2+c_DM+c_PT_2)</f>
        <v>5.4570419692070117E-3</v>
      </c>
      <c r="DF66">
        <f>AW66*(c_MI2+c_DM+c_PT_2)</f>
        <v>-1.4496750692453175E-4</v>
      </c>
      <c r="DG66">
        <f>AX66*(c_Stroke1+c_Stroke2+c_MI2+c_DM+c_PT_2)</f>
        <v>2.2746055247052215E-4</v>
      </c>
      <c r="DH66">
        <f>AY66*(c_Stroke2+c_MI1+c_MI2+c_DM+c_PT_2)</f>
        <v>9.6529111647350365E-5</v>
      </c>
      <c r="DI66">
        <f>AZ66*(c_Stroke2+c_MI2+c_DM+c_PT_2)</f>
        <v>-4.4210304222534839E-4</v>
      </c>
      <c r="DJ66">
        <f>BA66*(c_HF1+c_DM+c_PT_2)</f>
        <v>3.142347403424946E-3</v>
      </c>
      <c r="DK66">
        <f>BB66*(c_HF2+c_DM+c_PT_2)</f>
        <v>-2.7642492874247353E-5</v>
      </c>
      <c r="DL66">
        <f>BC66*(c_Stroke2+c_HF1+c_DM+c_PT_2)</f>
        <v>7.5011113850552443E-5</v>
      </c>
      <c r="DM66">
        <f>BD66*(c_Stroke1+c_Stroke2+c_HF2+c_DM+c_PT_2)</f>
        <v>8.5320765494922E-4</v>
      </c>
      <c r="DN66">
        <f>BE66*(c_Stroke2+c_HF2+c_DM+c_PT_2)</f>
        <v>-9.3368775417650481E-3</v>
      </c>
      <c r="DO66">
        <f t="shared" si="53"/>
        <v>0</v>
      </c>
      <c r="DP66">
        <f t="shared" si="54"/>
        <v>8.2552432453466218E-2</v>
      </c>
      <c r="DQ66">
        <f>DP66/(1+r_)^A66</f>
        <v>1.2822854609338311E-2</v>
      </c>
    </row>
    <row r="67" spans="1:121" x14ac:dyDescent="0.3">
      <c r="A67">
        <v>64</v>
      </c>
      <c r="B67">
        <v>109</v>
      </c>
      <c r="C67">
        <f t="shared" si="39"/>
        <v>34.542000000000002</v>
      </c>
      <c r="D67">
        <f t="shared" ref="D67" si="55">SBP_BL</f>
        <v>125</v>
      </c>
      <c r="E67">
        <f t="shared" si="41"/>
        <v>5.7</v>
      </c>
      <c r="F67">
        <v>0.50319000000000003</v>
      </c>
      <c r="G67">
        <v>0.52910000000000001</v>
      </c>
      <c r="H67">
        <f t="shared" si="42"/>
        <v>0.50837200000000005</v>
      </c>
      <c r="I67">
        <f t="shared" si="43"/>
        <v>4.0096398347168494E-2</v>
      </c>
      <c r="J67">
        <f t="shared" si="21"/>
        <v>0.5924162412855748</v>
      </c>
      <c r="K67">
        <f t="shared" si="22"/>
        <v>0.71548046949985411</v>
      </c>
      <c r="L67">
        <f t="shared" si="23"/>
        <v>0.34615152284631534</v>
      </c>
      <c r="M67">
        <f t="shared" si="24"/>
        <v>0.44845964930941484</v>
      </c>
      <c r="N67">
        <f t="shared" si="25"/>
        <v>0.93547336002858783</v>
      </c>
      <c r="O67">
        <f t="shared" si="26"/>
        <v>0.97919467688254302</v>
      </c>
      <c r="P67">
        <f t="shared" si="27"/>
        <v>0.7402698027037915</v>
      </c>
      <c r="Q67">
        <f t="shared" si="28"/>
        <v>0.85115758726518265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4.8477670714133371E-2</v>
      </c>
      <c r="U67">
        <f t="shared" si="29"/>
        <v>0.85818840560315013</v>
      </c>
      <c r="V67">
        <f t="shared" si="30"/>
        <v>0.93513960379015604</v>
      </c>
      <c r="W67">
        <f t="shared" si="31"/>
        <v>0.60333734206260115</v>
      </c>
      <c r="X67">
        <f t="shared" si="32"/>
        <v>0.72609969626481519</v>
      </c>
      <c r="Y67">
        <f t="shared" si="33"/>
        <v>0.99056831794634392</v>
      </c>
      <c r="Z67">
        <f t="shared" si="34"/>
        <v>0.99862558809142987</v>
      </c>
      <c r="AA67">
        <f t="shared" si="35"/>
        <v>0.89913964465618279</v>
      </c>
      <c r="AB67">
        <f t="shared" si="36"/>
        <v>0.96089177593938524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7.0719614936686589E-2</v>
      </c>
      <c r="AD67">
        <f t="shared" si="44"/>
        <v>1.7012389145878672E-6</v>
      </c>
      <c r="AE67">
        <f t="shared" si="45"/>
        <v>1.075804127656245E-7</v>
      </c>
      <c r="AF67">
        <f t="shared" si="46"/>
        <v>4.4072335182743643E-8</v>
      </c>
      <c r="AG67">
        <f t="shared" si="47"/>
        <v>-2.6344168524225596E-8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3.0687290454014803E-8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4.5097888965293272E-9</v>
      </c>
      <c r="AJ67">
        <f t="shared" si="48"/>
        <v>8.4312587693438739E-10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2.9473654087077882E-10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-8.9541313798070886E-10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1.8833060847791422E-8</v>
      </c>
      <c r="AN67">
        <f t="shared" si="49"/>
        <v>5.1509609694471006E-9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1.6314239621073293E-10</v>
      </c>
      <c r="AP67">
        <f>AM66*T66*p_Stroke*p_Stroke_rec*(1-I66) + AN66*T66*p_Stroke*p_Stroke_rec*(1-I66) + AO66*(p_recur_Stroke*p_Stroke_rec)*(1-I66) + AP66*(p_recur_Stroke*p_Stroke_rec)*(1-I66) + AQ66*(p_recur_Stroke*p_Stroke_rec)*(1-I66)</f>
        <v>5.7501047192380341E-10</v>
      </c>
      <c r="AQ67">
        <f>AO66*(1-p_recur_Stroke-H66*rr_Stroke*rr_HF)*(1-I66) + AP66*(1-p_recur_Stroke-H66*rr_Stroke*rr_HF)*(1-I66) + AQ66*(1-p_recur_Stroke-H66*rr_Stroke*rr_HF)*(1-I66)</f>
        <v>-3.8529420715358296E-10</v>
      </c>
      <c r="AR67">
        <f>AR66*(1-AC66-H66*rr_DM) + AD66*(1-T66-H66)*I66</f>
        <v>1.5909188844028247E-6</v>
      </c>
      <c r="AS67">
        <f>AR66*AC66*p_Other + AD66*T66*p_Other*I66 + AE66*(1-T66*p_Stroke-T66*p_MI-H66*rr_Other)*I66 + AS66*(1-AC66*p_Stroke-AC66*p_MI-H66*rr_Other*rr_DM)</f>
        <v>1.2827941849116602E-7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7.5107480229395534E-8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-5.3591377440931178E-8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5.2442477085396807E-8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-7.4963234793405574E-9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5.0474709062365076E-10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1.7329892523686387E-11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2.4690674514104647E-8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3.1475605029257722E-8</v>
      </c>
      <c r="BB67">
        <f>AM66*(1-T66*p_Stroke - H66*rr_HF)*I66 + AN66*(1-T66*p_Stroke - H66*rr_HF)*I66 + BA66*(1-AC66*p_Stroke - H66*rr_HF*rr_DM) + BB66*(1-AC66*p_Stroke - H66*rr_HF*rr_DM)</f>
        <v>-3.3033879770886169E-9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-9.465237379499417E-10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-2.6301070282090914E-8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5.8268022423908552E-7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0.94199571919793879</v>
      </c>
      <c r="BG67">
        <f t="shared" si="50"/>
        <v>0.94199999999999995</v>
      </c>
      <c r="BH67">
        <f>(0.9442 - 0.0007*$B67 - dis_BMI*($C67-21.75))*AD67</f>
        <v>1.4046898349259635E-6</v>
      </c>
      <c r="BI67">
        <f>0.959*(0.9442 - 0.0007*$B67 - dis_BMI*($C67-21.75))*AE67</f>
        <v>8.5185748694157084E-8</v>
      </c>
      <c r="BJ67">
        <f>(0.943*(0.9442 - 0.0007*$B67 - dis_BMI*($C67-21.75)) - 0.19*0.5)*AF67</f>
        <v>3.0128830051004218E-8</v>
      </c>
      <c r="BK67">
        <f>(0.943*(0.9442 - 0.0007*$B67 - dis_BMI*($C67-21.75)))*AG67</f>
        <v>-2.0512156434584761E-8</v>
      </c>
      <c r="BL67">
        <f>(0.955*(0.9442 - 0.0007*$B67 - dis_BMI*($C67-21.75)) - 0.15*0.5)*AH67</f>
        <v>2.1896318069545897E-8</v>
      </c>
      <c r="BM67">
        <f>(0.955*(0.9442 - 0.0007*$B67 - dis_BMI*($C67-21.75)))*AI67</f>
        <v>3.5561061475921856E-9</v>
      </c>
      <c r="BN67">
        <f>(0.955*0.943*(0.9442 - 0.0007*$B67 - dis_BMI*($C67-21.75)) - 0.19*0.5)*AJ67</f>
        <v>5.4683818378384197E-10</v>
      </c>
      <c r="BO67">
        <f>(0.955*0.943*(0.9442 - 0.0007*$B67 - dis_BMI*($C67-21.75)) - 0.15*0.5)*AK67</f>
        <v>1.9705621585039294E-10</v>
      </c>
      <c r="BP67">
        <f>(0.955*0.943*(0.9442 - 0.0007*$B67 - dis_BMI*($C67-21.75)))*AL67</f>
        <v>-6.6581512707527806E-10</v>
      </c>
      <c r="BQ67">
        <f>(0.93*(0.9442 - 0.0007*$B67 - dis_BMI*($C67-21.75)))*AM67</f>
        <v>1.446168805752628E-8</v>
      </c>
      <c r="BR67">
        <f>(0.93*(0.9442 - 0.0007*$B67 - dis_BMI*($C67-21.75)))*AN67</f>
        <v>3.9553629300450564E-9</v>
      </c>
      <c r="BS67">
        <f>(0.93*0.943*(0.9442 - 0.0007*$B67 - dis_BMI*($C67-21.75)))*AO67</f>
        <v>1.1813446245883808E-10</v>
      </c>
      <c r="BT67">
        <f>(0.93*0.943*(0.9442 - 0.0007*$B67 - dis_BMI*($C67-21.75))-0.19*0.5)*AP67</f>
        <v>3.6174984974645665E-10</v>
      </c>
      <c r="BU67">
        <f>(0.93*0.943*(0.9442 - 0.0007*$B67 - dis_BMI*($C67-21.75)))*AQ67</f>
        <v>-2.7899874654163172E-10</v>
      </c>
      <c r="BV67">
        <f>0.962*(0.9442 - 0.0007*$B67 - dis_BMI*($C67-21.75))*AR67</f>
        <v>1.2636832830731103E-6</v>
      </c>
      <c r="BW67">
        <f>0.962*0.959*(0.9442 - 0.0007*$B67 - dis_BMI*($C67-21.75))*AS67</f>
        <v>9.7716025253471695E-8</v>
      </c>
      <c r="BX67">
        <f>0.962*(0.943*(0.9442 - 0.0007*$B67 - dis_BMI*($C67-21.75)) - 0.19*0.5)*AT67</f>
        <v>4.939403095123798E-8</v>
      </c>
      <c r="BY67">
        <f>0.962*(0.943*(0.9442 - 0.0007*$B67 - dis_BMI*($C67-21.75)))*AU67</f>
        <v>-4.0141797505261719E-8</v>
      </c>
      <c r="BZ67">
        <f>0.962*(0.955*(0.9442 - 0.0007*$B67 - dis_BMI*($C67-21.75)) - 0.15*0.5)*AV67</f>
        <v>3.5997373839330378E-8</v>
      </c>
      <c r="CA67">
        <f>0.962*(0.955*(0.9442 - 0.0007*$B67 - dis_BMI*($C67-21.75)))*AW67</f>
        <v>-5.6864587592133133E-9</v>
      </c>
      <c r="CB67">
        <f>0.962*(0.955*0.943*(0.9442 - 0.0007*$B67 - dis_BMI*($C67-21.75)) - 0.19*0.5)*AX67</f>
        <v>3.1493092578846319E-10</v>
      </c>
      <c r="CC67">
        <f>0.962*(0.955*0.943*(0.9442 - 0.0007*$B67 - dis_BMI*($C67-21.75)) - 0.15*0.5)*AY67</f>
        <v>1.1146206834473023E-11</v>
      </c>
      <c r="CD67">
        <f>0.962*(0.955*0.943*(0.9442 - 0.0007*$B67 - dis_BMI*($C67-21.75)))*AZ67</f>
        <v>1.7661932558258582E-8</v>
      </c>
      <c r="CE67">
        <f>0.962*(0.93*(0.9442 - 0.0007*$B67 - dis_BMI*($C67-21.75)))*BA67</f>
        <v>2.3251299956103081E-8</v>
      </c>
      <c r="CF67">
        <f>0.962*(0.93*(0.9442 - 0.0007*$B67 - dis_BMI*($C67-21.75)))*BB67</f>
        <v>-2.4402410900529507E-9</v>
      </c>
      <c r="CG67">
        <f>0.962*(0.93*0.943*(0.9442 - 0.0007*$B67 - dis_BMI*($C67-21.75)))*BC67</f>
        <v>-6.5935052268561913E-10</v>
      </c>
      <c r="CH67">
        <f>0.962*(0.93*0.943*(0.9442 - 0.0007*$B67 - dis_BMI*($C67-21.75))-0.19*0.5)*BD67</f>
        <v>-1.5917728732194292E-8</v>
      </c>
      <c r="CI67">
        <f>0.962*(0.93*0.943*(0.9442 - 0.0007*$B67 - dis_BMI*($C67-21.75)))*BE67</f>
        <v>4.0589632885776954E-7</v>
      </c>
      <c r="CJ67">
        <f t="shared" si="51"/>
        <v>0</v>
      </c>
      <c r="CK67">
        <f t="shared" si="52"/>
        <v>3.3727214722919675E-6</v>
      </c>
      <c r="CL67">
        <f>CK67/(1+r_)^A67</f>
        <v>5.0862546092094781E-7</v>
      </c>
      <c r="CM67">
        <f>AD67*c_PT_2</f>
        <v>2.4923150098712255E-3</v>
      </c>
      <c r="CN67">
        <f>AE67*(c_Other+c_PT_2)</f>
        <v>1.6937460185819922E-3</v>
      </c>
      <c r="CO67">
        <f>AF67*(c_Stroke1+c_Stroke2+c_PT_2)</f>
        <v>1.1141927057549421E-3</v>
      </c>
      <c r="CP67">
        <f>AG67*(c_Stroke2 + c_PT_2)</f>
        <v>-2.0983130229545687E-4</v>
      </c>
      <c r="CQ67">
        <f>AH67*(c_MI1+c_MI2 + c_PT_2)</f>
        <v>9.3952208454011724E-4</v>
      </c>
      <c r="CR67">
        <f>AI67*(c_MI2+c_PT_2)</f>
        <v>2.0663852723897378E-5</v>
      </c>
      <c r="CS67">
        <f>AJ67*(c_Stroke1+c_Stroke2+c_MI2+c_PT_2)</f>
        <v>2.3943088653182734E-5</v>
      </c>
      <c r="CT67">
        <f>AK67*(c_Stroke2+c_MI1+c_MI2+c_PT_2)</f>
        <v>1.0939441450959827E-5</v>
      </c>
      <c r="CU67">
        <f>AL67*(c_Stroke2+c_MI2+c_PT_2)</f>
        <v>-9.9229683951022152E-6</v>
      </c>
      <c r="CV67">
        <f>AM67*(c_HF1+c_PT_2)</f>
        <v>5.3664806885781661E-4</v>
      </c>
      <c r="CW67">
        <f>AN67*(c_HF2+c_PT_2)</f>
        <v>8.792690374846201E-5</v>
      </c>
      <c r="CX67">
        <f>AO67*(c_Stroke2+c_HF1+c_PT_2)</f>
        <v>5.7091681553945989E-6</v>
      </c>
      <c r="CY67">
        <f>AP67*(c_Stroke1+c_Stroke2+c_HF2+c_PT_2)</f>
        <v>2.3509878155076625E-5</v>
      </c>
      <c r="CZ67">
        <f>AQ67*(c_Stroke2+c_HF2+c_PT_2)</f>
        <v>-9.0813844626099499E-6</v>
      </c>
      <c r="DA67">
        <f>AR67*(c_DM+c_PT_2)</f>
        <v>2.0506944419952409E-2</v>
      </c>
      <c r="DB67">
        <f>AS67*(c_Other+c_DM+c_PT_2)</f>
        <v>3.4852235209864896E-3</v>
      </c>
      <c r="DC67">
        <f>AT67*(c_Stroke1+c_Stroke2+c_DM+c_PT_2)</f>
        <v>2.7568951693001924E-3</v>
      </c>
      <c r="DD67">
        <f>AU67*(c_Stroke2+c_DM+c_PT_2)</f>
        <v>-1.0391368085796555E-3</v>
      </c>
      <c r="DE67">
        <f>AV67*(c_MI1+c_MI2+c_DM+c_PT_2)</f>
        <v>2.204734179147167E-3</v>
      </c>
      <c r="DF67">
        <f>AW67*(c_MI2+c_DM+c_PT_2)</f>
        <v>-1.199936499338043E-4</v>
      </c>
      <c r="DG67">
        <f>AX67*(c_Stroke1+c_Stroke2+c_MI2+c_DM+c_PT_2)</f>
        <v>2.0100543389905643E-5</v>
      </c>
      <c r="DH67">
        <f>AY67*(c_Stroke2+c_MI1+c_MI2+c_DM+c_PT_2)</f>
        <v>8.412103129922609E-7</v>
      </c>
      <c r="DI67">
        <f>AZ67*(c_Stroke2+c_MI2+c_DM+c_PT_2)</f>
        <v>5.5571301128895328E-4</v>
      </c>
      <c r="DJ67">
        <f>BA67*(c_HF1+c_DM+c_PT_2)</f>
        <v>1.2565061527679683E-3</v>
      </c>
      <c r="DK67">
        <f>BB67*(c_HF2+c_DM+c_PT_2)</f>
        <v>-9.413004040714014E-5</v>
      </c>
      <c r="DL67">
        <f>BC67*(c_Stroke2+c_HF1+c_DM+c_PT_2)</f>
        <v>-4.3937631915636296E-5</v>
      </c>
      <c r="DM67">
        <f>BD67*(c_Stroke1+c_Stroke2+c_HF2+c_DM+c_PT_2)</f>
        <v>-1.3758352875264579E-3</v>
      </c>
      <c r="DN67">
        <f>BE67*(c_Stroke2+c_HF2+c_DM+c_PT_2)</f>
        <v>2.0390894447246798E-2</v>
      </c>
      <c r="DO67">
        <f t="shared" si="53"/>
        <v>0</v>
      </c>
      <c r="DP67">
        <f t="shared" si="54"/>
        <v>5.5225099801370067E-2</v>
      </c>
      <c r="DQ67">
        <f>DP67/(1+r_)^A67</f>
        <v>8.3282571868554256E-3</v>
      </c>
    </row>
    <row r="68" spans="1:121" x14ac:dyDescent="0.3">
      <c r="CF68" s="6" t="s">
        <v>192</v>
      </c>
      <c r="CG68" s="6"/>
      <c r="CH68" s="6"/>
      <c r="CI68" s="6"/>
      <c r="CJ68" s="6"/>
      <c r="CK68">
        <f>SUM(CK3:CK67)</f>
        <v>26.486891190432946</v>
      </c>
      <c r="CL68">
        <f>SUM(CL3:CL67)</f>
        <v>16.553551129248167</v>
      </c>
      <c r="DK68" s="6" t="s">
        <v>196</v>
      </c>
      <c r="DL68" s="6"/>
      <c r="DM68" s="6"/>
      <c r="DN68" s="6"/>
      <c r="DO68" s="6"/>
      <c r="DP68" s="11">
        <f>SUM(DP3:DP67)</f>
        <v>295731.82778670505</v>
      </c>
      <c r="DQ68" s="11">
        <f>SUM(DQ3:DQ67)</f>
        <v>153556.83691386911</v>
      </c>
    </row>
    <row r="69" spans="1:121" x14ac:dyDescent="0.3">
      <c r="CF69" s="6" t="s">
        <v>193</v>
      </c>
      <c r="CG69" s="6"/>
      <c r="CH69" s="6"/>
      <c r="CI69" s="6"/>
      <c r="CJ69" s="6"/>
      <c r="CK69">
        <f>disc_SEM*TRT_DISC!CK68</f>
        <v>1.1481115278652145</v>
      </c>
      <c r="CL69">
        <f>disc_SEM*TRT_DISC!CL68</f>
        <v>0.72132338569124266</v>
      </c>
      <c r="DK69" s="6" t="s">
        <v>195</v>
      </c>
      <c r="DL69" s="6"/>
      <c r="DM69" s="6"/>
      <c r="DN69" s="6"/>
      <c r="DO69" s="6"/>
      <c r="DP69" s="11">
        <f>disc_SEM*TRT_DISC!DP68</f>
        <v>12848.998553664591</v>
      </c>
      <c r="DQ69" s="11">
        <f>disc_SEM*TRT_DISC!DQ68</f>
        <v>6583.4149256766477</v>
      </c>
    </row>
    <row r="70" spans="1:121" x14ac:dyDescent="0.3">
      <c r="CI70" s="6" t="s">
        <v>194</v>
      </c>
      <c r="CJ70" s="6"/>
      <c r="CK70">
        <f>CK68+CK69</f>
        <v>27.635002718298161</v>
      </c>
      <c r="CL70">
        <f>CL68+CL69</f>
        <v>17.274874514939409</v>
      </c>
      <c r="DN70" s="6" t="s">
        <v>197</v>
      </c>
      <c r="DO70" s="6"/>
      <c r="DP70" s="11">
        <f>DP68+DP69</f>
        <v>308580.82634036965</v>
      </c>
      <c r="DQ70" s="11">
        <f>DQ68+DQ69</f>
        <v>160140.25183954576</v>
      </c>
    </row>
  </sheetData>
  <mergeCells count="11">
    <mergeCell ref="CF69:CJ69"/>
    <mergeCell ref="DK69:DO69"/>
    <mergeCell ref="CI70:CJ70"/>
    <mergeCell ref="DN70:DO70"/>
    <mergeCell ref="CF68:CJ68"/>
    <mergeCell ref="DK68:DO68"/>
    <mergeCell ref="J1:T1"/>
    <mergeCell ref="U1:AC1"/>
    <mergeCell ref="AD1:BF1"/>
    <mergeCell ref="BH1:CL1"/>
    <mergeCell ref="CM1:DQ1"/>
  </mergeCells>
  <conditionalFormatting sqref="BG3:BG67">
    <cfRule type="cellIs" dxfId="3" priority="2" operator="equal">
      <formula>"$AB$3"</formula>
    </cfRule>
  </conditionalFormatting>
  <conditionalFormatting sqref="BG3:BG67">
    <cfRule type="cellIs" dxfId="2" priority="1" operator="equal">
      <formula>$AD$3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A62-2614-49F7-BA45-941BA26C1D9F}">
  <dimension ref="A1:EV70"/>
  <sheetViews>
    <sheetView topLeftCell="BZ43" workbookViewId="0">
      <selection activeCell="CF68" sqref="CF68:CL70"/>
    </sheetView>
  </sheetViews>
  <sheetFormatPr defaultRowHeight="14.4" x14ac:dyDescent="0.3"/>
  <cols>
    <col min="6" max="6" width="17" customWidth="1"/>
    <col min="7" max="9" width="18" customWidth="1"/>
    <col min="10" max="10" width="15.33203125" customWidth="1"/>
    <col min="11" max="11" width="14" customWidth="1"/>
    <col min="12" max="12" width="15.33203125" customWidth="1"/>
    <col min="13" max="13" width="12.6640625" customWidth="1"/>
    <col min="14" max="14" width="12.5546875" customWidth="1"/>
    <col min="15" max="15" width="12.21875" customWidth="1"/>
    <col min="16" max="16" width="13.33203125" customWidth="1"/>
    <col min="17" max="19" width="12.77734375" customWidth="1"/>
    <col min="20" max="20" width="13.33203125" customWidth="1"/>
    <col min="22" max="22" width="10.5546875" bestFit="1" customWidth="1"/>
    <col min="24" max="24" width="11.77734375" bestFit="1" customWidth="1"/>
    <col min="25" max="25" width="13.6640625" bestFit="1" customWidth="1"/>
    <col min="26" max="26" width="10.5546875" bestFit="1" customWidth="1"/>
    <col min="27" max="27" width="18.21875" bestFit="1" customWidth="1"/>
    <col min="28" max="28" width="10.44140625" bestFit="1" customWidth="1"/>
    <col min="29" max="29" width="18.109375" bestFit="1" customWidth="1"/>
    <col min="55" max="56" width="12" bestFit="1" customWidth="1"/>
    <col min="59" max="59" width="14.6640625" bestFit="1" customWidth="1"/>
    <col min="120" max="121" width="11" bestFit="1" customWidth="1"/>
  </cols>
  <sheetData>
    <row r="1" spans="1:121" x14ac:dyDescent="0.3">
      <c r="J1" s="6" t="s">
        <v>29</v>
      </c>
      <c r="K1" s="6"/>
      <c r="L1" s="6"/>
      <c r="M1" s="6"/>
      <c r="N1" s="6"/>
      <c r="O1" s="6"/>
      <c r="P1" s="6"/>
      <c r="Q1" s="6"/>
      <c r="R1" s="6"/>
      <c r="S1" s="6"/>
      <c r="T1" s="6"/>
      <c r="U1" s="6" t="s">
        <v>28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H1" s="6" t="s">
        <v>114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 t="s">
        <v>123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 spans="1:121" ht="72" x14ac:dyDescent="0.3">
      <c r="A2" s="2" t="s">
        <v>15</v>
      </c>
      <c r="B2" s="2" t="s">
        <v>22</v>
      </c>
      <c r="C2" s="2" t="s">
        <v>6</v>
      </c>
      <c r="D2" s="2" t="s">
        <v>27</v>
      </c>
      <c r="E2" s="2" t="s">
        <v>12</v>
      </c>
      <c r="F2" s="2" t="s">
        <v>24</v>
      </c>
      <c r="G2" s="2" t="s">
        <v>23</v>
      </c>
      <c r="H2" s="2" t="s">
        <v>25</v>
      </c>
      <c r="I2" s="2" t="s">
        <v>83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199</v>
      </c>
      <c r="S2" s="2" t="s">
        <v>198</v>
      </c>
      <c r="T2" s="2" t="s">
        <v>26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26</v>
      </c>
      <c r="AD2" s="4" t="s">
        <v>16</v>
      </c>
      <c r="AE2" s="4" t="s">
        <v>17</v>
      </c>
      <c r="AF2" s="4" t="s">
        <v>87</v>
      </c>
      <c r="AG2" s="4" t="s">
        <v>88</v>
      </c>
      <c r="AH2" s="4" t="s">
        <v>85</v>
      </c>
      <c r="AI2" s="4" t="s">
        <v>86</v>
      </c>
      <c r="AJ2" s="4" t="s">
        <v>89</v>
      </c>
      <c r="AK2" s="4" t="s">
        <v>105</v>
      </c>
      <c r="AL2" s="4" t="s">
        <v>90</v>
      </c>
      <c r="AM2" s="4" t="s">
        <v>68</v>
      </c>
      <c r="AN2" s="4" t="s">
        <v>69</v>
      </c>
      <c r="AO2" s="4" t="s">
        <v>118</v>
      </c>
      <c r="AP2" s="4" t="s">
        <v>117</v>
      </c>
      <c r="AQ2" s="4" t="s">
        <v>119</v>
      </c>
      <c r="AR2" s="4" t="s">
        <v>18</v>
      </c>
      <c r="AS2" s="4" t="s">
        <v>19</v>
      </c>
      <c r="AT2" s="4" t="s">
        <v>91</v>
      </c>
      <c r="AU2" s="4" t="s">
        <v>92</v>
      </c>
      <c r="AV2" s="4" t="s">
        <v>93</v>
      </c>
      <c r="AW2" s="4" t="s">
        <v>94</v>
      </c>
      <c r="AX2" s="4" t="s">
        <v>95</v>
      </c>
      <c r="AY2" s="4" t="s">
        <v>96</v>
      </c>
      <c r="AZ2" s="4" t="s">
        <v>97</v>
      </c>
      <c r="BA2" s="4" t="s">
        <v>71</v>
      </c>
      <c r="BB2" s="4" t="s">
        <v>70</v>
      </c>
      <c r="BC2" s="4" t="s">
        <v>120</v>
      </c>
      <c r="BD2" s="4" t="s">
        <v>121</v>
      </c>
      <c r="BE2" s="4" t="s">
        <v>122</v>
      </c>
      <c r="BF2" s="4" t="s">
        <v>20</v>
      </c>
      <c r="BG2" s="4" t="s">
        <v>113</v>
      </c>
      <c r="BH2" s="7" t="s">
        <v>16</v>
      </c>
      <c r="BI2" s="7" t="s">
        <v>17</v>
      </c>
      <c r="BJ2" s="7" t="s">
        <v>87</v>
      </c>
      <c r="BK2" s="7" t="s">
        <v>88</v>
      </c>
      <c r="BL2" s="7" t="s">
        <v>85</v>
      </c>
      <c r="BM2" s="7" t="s">
        <v>86</v>
      </c>
      <c r="BN2" s="7" t="s">
        <v>89</v>
      </c>
      <c r="BO2" s="7" t="s">
        <v>105</v>
      </c>
      <c r="BP2" s="7" t="s">
        <v>90</v>
      </c>
      <c r="BQ2" s="7" t="s">
        <v>68</v>
      </c>
      <c r="BR2" s="7" t="s">
        <v>69</v>
      </c>
      <c r="BS2" s="7" t="s">
        <v>118</v>
      </c>
      <c r="BT2" s="7" t="s">
        <v>117</v>
      </c>
      <c r="BU2" s="7" t="s">
        <v>119</v>
      </c>
      <c r="BV2" s="7" t="s">
        <v>18</v>
      </c>
      <c r="BW2" s="7" t="s">
        <v>19</v>
      </c>
      <c r="BX2" s="7" t="s">
        <v>91</v>
      </c>
      <c r="BY2" s="7" t="s">
        <v>92</v>
      </c>
      <c r="BZ2" s="7" t="s">
        <v>93</v>
      </c>
      <c r="CA2" s="7" t="s">
        <v>94</v>
      </c>
      <c r="CB2" s="7" t="s">
        <v>95</v>
      </c>
      <c r="CC2" s="7" t="s">
        <v>96</v>
      </c>
      <c r="CD2" s="7" t="s">
        <v>97</v>
      </c>
      <c r="CE2" s="7" t="s">
        <v>71</v>
      </c>
      <c r="CF2" s="7" t="s">
        <v>70</v>
      </c>
      <c r="CG2" s="7" t="s">
        <v>120</v>
      </c>
      <c r="CH2" s="7" t="s">
        <v>121</v>
      </c>
      <c r="CI2" s="7" t="s">
        <v>122</v>
      </c>
      <c r="CJ2" s="7" t="s">
        <v>20</v>
      </c>
      <c r="CK2" s="7" t="s">
        <v>115</v>
      </c>
      <c r="CL2" s="7" t="s">
        <v>116</v>
      </c>
      <c r="CM2" s="8" t="s">
        <v>16</v>
      </c>
      <c r="CN2" s="8" t="s">
        <v>17</v>
      </c>
      <c r="CO2" s="8" t="s">
        <v>87</v>
      </c>
      <c r="CP2" s="8" t="s">
        <v>88</v>
      </c>
      <c r="CQ2" s="8" t="s">
        <v>85</v>
      </c>
      <c r="CR2" s="8" t="s">
        <v>86</v>
      </c>
      <c r="CS2" s="8" t="s">
        <v>89</v>
      </c>
      <c r="CT2" s="8" t="s">
        <v>105</v>
      </c>
      <c r="CU2" s="8" t="s">
        <v>90</v>
      </c>
      <c r="CV2" s="8" t="s">
        <v>68</v>
      </c>
      <c r="CW2" s="8" t="s">
        <v>69</v>
      </c>
      <c r="CX2" s="8" t="s">
        <v>118</v>
      </c>
      <c r="CY2" s="8" t="s">
        <v>117</v>
      </c>
      <c r="CZ2" s="8" t="s">
        <v>119</v>
      </c>
      <c r="DA2" s="8" t="s">
        <v>18</v>
      </c>
      <c r="DB2" s="8" t="s">
        <v>19</v>
      </c>
      <c r="DC2" s="8" t="s">
        <v>91</v>
      </c>
      <c r="DD2" s="8" t="s">
        <v>92</v>
      </c>
      <c r="DE2" s="8" t="s">
        <v>93</v>
      </c>
      <c r="DF2" s="8" t="s">
        <v>94</v>
      </c>
      <c r="DG2" s="8" t="s">
        <v>95</v>
      </c>
      <c r="DH2" s="8" t="s">
        <v>96</v>
      </c>
      <c r="DI2" s="8" t="s">
        <v>97</v>
      </c>
      <c r="DJ2" s="8" t="s">
        <v>71</v>
      </c>
      <c r="DK2" s="8" t="s">
        <v>70</v>
      </c>
      <c r="DL2" s="8" t="s">
        <v>120</v>
      </c>
      <c r="DM2" s="8" t="s">
        <v>121</v>
      </c>
      <c r="DN2" s="8" t="s">
        <v>122</v>
      </c>
      <c r="DO2" s="8" t="s">
        <v>20</v>
      </c>
      <c r="DP2" s="8" t="s">
        <v>115</v>
      </c>
      <c r="DQ2" s="8" t="s">
        <v>116</v>
      </c>
    </row>
    <row r="3" spans="1:121" x14ac:dyDescent="0.3">
      <c r="A3">
        <v>0</v>
      </c>
      <c r="B3">
        <f>AGE_BL</f>
        <v>45</v>
      </c>
      <c r="C3">
        <f t="shared" ref="C3:C44" si="0">BMI_BL</f>
        <v>38</v>
      </c>
      <c r="D3">
        <f t="shared" ref="D3:D66" si="1">SBP_BL</f>
        <v>125</v>
      </c>
      <c r="E3">
        <f t="shared" ref="E3:E44" si="2">HbA1C_BL</f>
        <v>5.7</v>
      </c>
      <c r="F3">
        <v>2.0300000000000001E-3</v>
      </c>
      <c r="G3">
        <v>3.3300000000000001E-3</v>
      </c>
      <c r="H3">
        <f t="shared" ref="H3:H44" si="3">(PREV_FEMALE*F3 + (1-PREV_FEMALE)*G3)</f>
        <v>2.2899999999999999E-3</v>
      </c>
      <c r="I3">
        <f>0.00000146 * EXP(1.87 * E3) * 0.0197 * EXP(0.101*C3)</f>
        <v>5.6857293942168513E-2</v>
      </c>
      <c r="J3">
        <f>1 - 0.94833 ^ (EXP(2.72107*(LN($B3)-3.8686) + 0.51125*(LN($C3)-LN(21.75)) + 2.81291*(LN($D3)*(1-0) - 4.24) + 2.88267*(LN($D3)*0 - 0.5826) + 0.61868*(1-0.3423) + 0.77763*(0-0.0376)))</f>
        <v>8.1367510283469002E-2</v>
      </c>
      <c r="K3">
        <f>1 - 0.94833 ^ (EXP(2.72107*(LN($B3)-3.8686) + 0.51125*(LN($C3)-LN(21.75)) + 2.81291*(LN($D3)*(1-1) - 4.24) + 2.88267*(LN($D3)*1 - 0.5826) + 0.61868*(1-0.3423) + 0.77763*(0-0.0376)))</f>
        <v>0.11206656398030701</v>
      </c>
      <c r="L3">
        <f>1 - 0.94833 ^ (EXP(2.72107*(LN($B3)-3.8686) + 0.51125*(LN($C3)-LN(28)) + 2.81291*(LN($D3)*(1-0) - 4.24) + 2.88267*(LN($D3)*0 - 0.5826) + 0.61868*(0-0.3423) + 0.77763*(0-0.0376)))</f>
        <v>3.9380559753545485E-2</v>
      </c>
      <c r="M3">
        <f>1 - 0.94833 ^ (EXP(2.72107*(LN($B3)-3.8686) + 0.51125*(LN($C3)-LN(28)) + 2.81291*(LN($D3)*(1-1) - 4.24) + 2.88267*(LN($D3)*1 - 0.5826) + 0.61868*(0-0.3423) + 0.77763*(0-0.0376)))</f>
        <v>5.4713739079456869E-2</v>
      </c>
      <c r="N3">
        <f>1 - 0.8843 ^ (EXP(3.113*(LN($B3)-3.856) + 0.7928*(LN($C3)-LN(28)) + 1.8551*(LN($D3)*(1-0) - 4.3544) + 1.9267*(LN($D3)*0 - 0.5019) + 0.7095*(1-0.3522) + 0.5316*(0-0.065)))</f>
        <v>0.17156201208969857</v>
      </c>
      <c r="O3">
        <f>1 - 0.8843 ^ (EXP(3.113*(LN($B3)-3.856) + 0.7928*(LN($C3)-LN(28)) + 1.8551*(LN($D3)*(1-1) - 4.3544) + 1.9267*(LN($D3)*1 - 0.5019) + 0.7095*(1-0.3522) + 0.5316*(0-0.065)))</f>
        <v>0.23351741320871933</v>
      </c>
      <c r="P3">
        <f>1 - 0.8843 ^ (EXP(3.113*(LN($B3)-3.856) + 0.7928*(LN($C3)-LN(28)) + 1.8551*(LN($D3)*(1-0) - 4.3544) + 1.9267*(LN($D3)*0 - 0.5019) + 0.7095*(0-0.3522) + 0.5316*(0-0.065)))</f>
        <v>8.8423947966266958E-2</v>
      </c>
      <c r="Q3">
        <f>1 - 0.8843 ^ (EXP(3.113*(LN($B3)-3.856) + 0.7928*(LN($C3)-LN(28)) + 1.8551*(LN($D3)*(1-1) - 4.3544) + 1.9267*(LN($D3)*1 - 0.5019) + 0.7095*(0-0.3522) + 0.5316*(0-0.065)))</f>
        <v>0.12261981192392346</v>
      </c>
      <c r="R3">
        <f>PREV_HT</f>
        <v>0.35</v>
      </c>
      <c r="S3">
        <f>PREV_HT</f>
        <v>0.35</v>
      </c>
      <c r="T3">
        <f>PREV_FEMALE*PREV_SMOKE*(1-R3)*(1-EXP(-J3/10))+PREV_FEMALE*PREV_SMOKE*R3*(1-EXP(-K3/10))+PREV_FEMALE*(1-PREV_SMOKE)*(1-R3)*(1-EXP(-L3/10))+PREV_FEMALE*(1-PREV_SMOKE)*R3*(1-EXP(-M3/10))+(1-PREV_FEMALE)*PREV_SMOKE*(1-S3)*(1-EXP(-N3/10))+(1-PREV_FEMALE)*PREV_SMOKE*S3*(1-EXP(-O3/10))+(1-PREV_FEMALE)*(1-PREV_SMOKE)*(1-S3)*(1-EXP(-P3/10))+(1-PREV_FEMALE)*(1-PREV_SMOKE)*S3*(1-EXP(-Q3/10))</f>
        <v>6.2681242772788283E-3</v>
      </c>
      <c r="U3">
        <f>1 - 0.94833 ^ (EXP(2.72107*(LN($B3)-3.8686) + 0.51125*(LN($C3)-LN(21.75)) + 2.81291*(LN($D3)*(1-0) - 4.24) + 2.88267*(LN($D3)*0 - 0.5826) + 0.61868*(1-0.3423) + 0.77763*(1-0.0376)))</f>
        <v>0.16864752084094603</v>
      </c>
      <c r="V3">
        <f>1 - 0.94833 ^ (EXP(2.72107*(LN($B3)-3.8686) + 0.51125*(LN($C3)-LN(21.75)) + 2.81291*(LN($D3)*(1-1) - 4.24) + 2.88267*(LN($D3)*1 - 0.5826) + 0.61868*(1-0.3423) + 0.77763*(1-0.0376)))</f>
        <v>0.22792434572589926</v>
      </c>
      <c r="W3">
        <f>1 - 0.94833 ^ (EXP(2.72107*(LN($B3)-3.8686) + 0.51125*(LN($C3)-LN(28)) + 2.81291*(LN($D3)*(1-0) - 4.24) + 2.88267*(LN($D3)*0 - 0.5826) + 0.61868*(0-0.3423) + 0.77763*(1-0.0376)))</f>
        <v>8.3723803121629192E-2</v>
      </c>
      <c r="X3">
        <f>1 - 0.94833 ^ (EXP(2.72107*(LN($B3)-3.8686) + 0.51125*(LN($C3)-LN(28)) + 2.81291*(LN($D3)*(1-1) - 4.24) + 2.88267*(LN($D3)*1 - 0.5826) + 0.61868*(0-0.3423) + 0.77763*(1-0.0376)))</f>
        <v>0.11525461362704936</v>
      </c>
      <c r="Y3">
        <f>1 - 0.8843 ^ (EXP(3.113*(LN($B3)-3.856) + 0.7928*(LN($C3)-LN(28)) + 1.8551*(LN($D3)*(1-0) - 4.3544) + 1.9267*(LN($D3)*0 - 0.5019) + 0.7095*(1-0.3522) + 0.5316*(1-0.065)))</f>
        <v>0.2740496634575037</v>
      </c>
      <c r="Z3">
        <f>1 - 0.8843 ^ (EXP(3.113*(LN($B3)-3.856) + 0.7928*(LN($C3)-LN(28)) + 1.8551*(LN($D3)*(1-1) - 4.3544) + 1.9267*(LN($D3)*1 - 0.5019) + 0.7095*(1-0.3522) + 0.5316*(1-0.065)))</f>
        <v>0.36399137384752422</v>
      </c>
      <c r="AA3">
        <f>1 - 0.8843 ^ (EXP(3.113*(LN($B3)-3.856) + 0.7928*(LN($C3)-LN(28)) + 1.8551*(LN($D3)*(1-0) - 4.3544) + 1.9267*(LN($D3)*0 - 0.5019) + 0.7095*(0-0.3522) + 0.5316*(1-0.065)))</f>
        <v>0.14575688112990093</v>
      </c>
      <c r="AB3">
        <f>1 - 0.8843 ^ (EXP(3.113*(LN($B3)-3.856) + 0.7928*(LN($C3)-LN(28)) + 1.8551*(LN($D3)*(1-1) - 4.3544) + 1.9267*(LN($D3)*1 - 0.5019) + 0.7095*(0-0.3522) + 0.5316*(1-0.065)))</f>
        <v>0.19956623179474475</v>
      </c>
      <c r="AC3">
        <f t="shared" ref="AC3" si="4">PREV_FEMALE*PREV_SMOKE*(1-PREV_HT)*(1-EXP(-U3/10))+PREV_FEMALE*PREV_SMOKE*PREV_HT*(1-EXP(-V3/10))+PREV_FEMALE*(1-PREV_SMOKE)*(1-PREV_HT)*(1-EXP(-W3/10))+PREV_FEMALE*(1-PREV_SMOKE)*PREV_HT*(1-EXP(-X3/10))+(1-PREV_FEMALE)*PREV_SMOKE*(1-PREV_HT)*(1-EXP(-Y3/10))+(1-PREV_FEMALE)*PREV_SMOKE*PREV_HT*(1-EXP(-Z3/10))+(1-PREV_FEMALE)*(1-PREV_SMOKE)*(1-PREV_HT)*(1-EXP(-AA3/10))+(1-PREV_FEMALE)*(1-PREV_SMOKE)*PREV_HT*(1-EXP(-AB3/10))</f>
        <v>1.2085024595910002E-2</v>
      </c>
      <c r="AD3">
        <f>1-disc_BN</f>
        <v>0.94699999999999995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f>SUM(AD3:BF3)</f>
        <v>0.94699999999999995</v>
      </c>
      <c r="BH3">
        <f>(0.9442 - 0.0007*$B3 - dis_BMI*($C3-21.75))*AD3</f>
        <v>0.813544025</v>
      </c>
      <c r="BI3">
        <f>0.959*(0.9442 - 0.0007*$B3 - dis_BMI*($C3-21.75))*AE3</f>
        <v>0</v>
      </c>
      <c r="BJ3">
        <f>(0.943*(0.9442 - 0.0007*$B3 - dis_BMI*($C3-21.75)) - 0.19*0.5)*AF3</f>
        <v>0</v>
      </c>
      <c r="BK3">
        <f>(0.943*(0.9442 - 0.0007*$B3 - dis_BMI*($C3-21.75)))*AG3</f>
        <v>0</v>
      </c>
      <c r="BL3">
        <f>(0.955*(0.9442 - 0.0007*$B3 - dis_BMI*($C3-21.75)) - 0.15*0.5)*AH3</f>
        <v>0</v>
      </c>
      <c r="BM3">
        <f>(0.955*(0.9442 - 0.0007*$B3 - dis_BMI*($C3-21.75)))*AI3</f>
        <v>0</v>
      </c>
      <c r="BN3">
        <f>(0.955*0.943*(0.9442 - 0.0007*$B3 - dis_BMI*($C3-21.75)) - 0.19*0.5)*AJ3</f>
        <v>0</v>
      </c>
      <c r="BO3">
        <f>(0.955*0.943*(0.9442 - 0.0007*$B3 - dis_BMI*($C3-21.75)) - 0.15*0.5)*AK3</f>
        <v>0</v>
      </c>
      <c r="BP3">
        <f>(0.955*0.943*(0.9442 - 0.0007*$B3 - dis_BMI*($C3-21.75)))*AL3</f>
        <v>0</v>
      </c>
      <c r="BQ3">
        <f>(0.93*(0.9442 - 0.0007*$B3 - dis_BMI*($C3-21.75)))*AM3</f>
        <v>0</v>
      </c>
      <c r="BR3">
        <f>(0.93*(0.9442 - 0.0007*$B3 - dis_BMI*($C3-21.75)))*AN3</f>
        <v>0</v>
      </c>
      <c r="BS3">
        <f>(0.93*0.943*(0.9442 - 0.0007*$B3 - dis_BMI*($C3-21.75)))*AO3</f>
        <v>0</v>
      </c>
      <c r="BT3">
        <f>(0.93*0.943*(0.9442 - 0.0007*$B3 - dis_BMI*($C3-21.75))-0.19*0.5)*AP3</f>
        <v>0</v>
      </c>
      <c r="BU3">
        <f>(0.93*0.943*(0.9442 - 0.0007*$B3 - dis_BMI*($C3-21.75)))*AQ3</f>
        <v>0</v>
      </c>
      <c r="BV3">
        <f>0.962*(0.9442 - 0.0007*$B3 - dis_BMI*($C3-21.75))*AR3</f>
        <v>0</v>
      </c>
      <c r="BW3">
        <f>0.962*0.959*(0.9442 - 0.0007*$B3 - dis_BMI*($C3-21.75))*AS3</f>
        <v>0</v>
      </c>
      <c r="BX3">
        <f>0.962*(0.943*(0.9442 - 0.0007*$B3 - dis_BMI*($C3-21.75)) - 0.19*0.5)*AT3</f>
        <v>0</v>
      </c>
      <c r="BY3">
        <f>0.962*(0.943*(0.9442 - 0.0007*$B3 - dis_BMI*($C3-21.75)))*AU3</f>
        <v>0</v>
      </c>
      <c r="BZ3">
        <f>0.962*(0.955*(0.9442 - 0.0007*$B3 - dis_BMI*($C3-21.75)) - 0.15*0.5)*AV3</f>
        <v>0</v>
      </c>
      <c r="CA3">
        <f>0.962*(0.955*(0.9442 - 0.0007*$B3 - dis_BMI*($C3-21.75)))*AW3</f>
        <v>0</v>
      </c>
      <c r="CB3">
        <f>0.962*(0.955*0.943*(0.9442 - 0.0007*$B3 - dis_BMI*($C3-21.75)) - 0.19*0.5)*AX3</f>
        <v>0</v>
      </c>
      <c r="CC3">
        <f>0.962*(0.955*0.943*(0.9442 - 0.0007*$B3 - dis_BMI*($C3-21.75)) - 0.15*0.5)*AY3</f>
        <v>0</v>
      </c>
      <c r="CD3">
        <f>0.962*(0.955*0.943*(0.9442 - 0.0007*$B3 - dis_BMI*($C3-21.75)))*AZ3</f>
        <v>0</v>
      </c>
      <c r="CE3">
        <f>0.962*(0.93*(0.9442 - 0.0007*$B3 - dis_BMI*($C3-21.75)))*BA3</f>
        <v>0</v>
      </c>
      <c r="CF3">
        <f>0.962*(0.93*(0.9442 - 0.0007*$B3 - dis_BMI*($C3-21.75)))*BB3</f>
        <v>0</v>
      </c>
      <c r="CG3">
        <f>0.962*(0.93*0.943*(0.9442 - 0.0007*$B3 - dis_BMI*($C3-21.75)))*BC3</f>
        <v>0</v>
      </c>
      <c r="CH3">
        <f>0.962*(0.93*0.943*(0.9442 - 0.0007*$B3 - dis_BMI*($C3-21.75))-0.19*0.5)*BD3</f>
        <v>0</v>
      </c>
      <c r="CI3">
        <f>0.962*(0.93*0.943*(0.9442 - 0.0007*$B3 - dis_BMI*($C3-21.75)))*BE3</f>
        <v>0</v>
      </c>
      <c r="CJ3">
        <f>0*BF3</f>
        <v>0</v>
      </c>
      <c r="CK3">
        <f>SUM(BH3:CJ3)</f>
        <v>0.813544025</v>
      </c>
      <c r="CL3">
        <f>CK3/(1+r_)^A3</f>
        <v>0.813544025</v>
      </c>
      <c r="CM3">
        <f>AD3*c_BN_1</f>
        <v>1926.1979999999999</v>
      </c>
      <c r="CN3">
        <f>AE3*(c_Other+c_BN_1)</f>
        <v>0</v>
      </c>
      <c r="CO3">
        <f>AF3*(c_Stroke1+c_Stroke2+c_BN_1)</f>
        <v>0</v>
      </c>
      <c r="CP3">
        <f>AG3*(c_Stroke2 + c_BN_1)</f>
        <v>0</v>
      </c>
      <c r="CQ3">
        <f>AH3*(c_MI1+c_MI2 + c_BN_1)</f>
        <v>0</v>
      </c>
      <c r="CR3">
        <f>AI3*(c_MI2+c_BN_1)</f>
        <v>0</v>
      </c>
      <c r="CS3">
        <f>AJ3*(c_Stroke1+c_Stroke2+c_MI2+c_BN_1)</f>
        <v>0</v>
      </c>
      <c r="CT3">
        <f>AK3*(c_Stroke2+c_MI1+c_MI2+c_BN_1)</f>
        <v>0</v>
      </c>
      <c r="CU3">
        <f>AL3*(c_Stroke2+c_MI2+c_BN_1)</f>
        <v>0</v>
      </c>
      <c r="CV3">
        <f>AM3*(c_HF1+c_BN_1)</f>
        <v>0</v>
      </c>
      <c r="CW3">
        <f>AN3*(c_HF2+c_BN_1)</f>
        <v>0</v>
      </c>
      <c r="CX3">
        <f>AO3*(c_Stroke2+c_HF1+c_BN_1)</f>
        <v>0</v>
      </c>
      <c r="CY3">
        <f>AP3*(c_Stroke1+c_Stroke2+c_HF2+c_BN_1)</f>
        <v>0</v>
      </c>
      <c r="CZ3">
        <f>AQ3*(c_Stroke2+c_HF2+c_BN_1)</f>
        <v>0</v>
      </c>
      <c r="DA3">
        <f>AR3*(c_DM+c_BN_1)</f>
        <v>0</v>
      </c>
      <c r="DB3">
        <f>AS3*(c_Other+c_DM+c_BN_1)</f>
        <v>0</v>
      </c>
      <c r="DC3">
        <f>AT3*(c_Stroke1+c_Stroke2+c_DM+c_BN_1)</f>
        <v>0</v>
      </c>
      <c r="DD3">
        <f>AU3*(c_Stroke2+c_DM+c_BN_1)</f>
        <v>0</v>
      </c>
      <c r="DE3">
        <f>AV3*(c_MI1+c_MI2+c_DM+c_BN_1)</f>
        <v>0</v>
      </c>
      <c r="DF3">
        <f>AW3*(c_MI2+c_DM+c_BN_1)</f>
        <v>0</v>
      </c>
      <c r="DG3">
        <f>AX3*(c_Stroke1+c_Stroke2+c_MI2+c_DM+c_BN_1)</f>
        <v>0</v>
      </c>
      <c r="DH3">
        <f>AY3*(c_Stroke2+c_MI1+c_MI2+c_DM+c_BN_1)</f>
        <v>0</v>
      </c>
      <c r="DI3">
        <f>AZ3*(c_Stroke2+c_MI2+c_DM+c_BN_1)</f>
        <v>0</v>
      </c>
      <c r="DJ3">
        <f>BA3*(c_HF1+c_DM+c_BN_1)</f>
        <v>0</v>
      </c>
      <c r="DK3">
        <f>BB3*(c_HF2+c_DM+c_BN_1)</f>
        <v>0</v>
      </c>
      <c r="DL3">
        <f>BC3*(c_Stroke2+c_HF1+c_DM+c_BN_1)</f>
        <v>0</v>
      </c>
      <c r="DM3">
        <f>BD3*(c_Stroke1+c_Stroke2+c_HF2+c_DM+c_BN_1)</f>
        <v>0</v>
      </c>
      <c r="DN3">
        <f>BE3*(c_Stroke2+c_HF2+c_DM+c_BN_1)</f>
        <v>0</v>
      </c>
      <c r="DO3">
        <f t="shared" ref="DO3:DO44" si="5">BF3*0</f>
        <v>0</v>
      </c>
      <c r="DP3">
        <f>SUM(CM3:DO3)</f>
        <v>1926.1979999999999</v>
      </c>
      <c r="DQ3">
        <f>DP3/(1+r_)^A3</f>
        <v>1926.1979999999999</v>
      </c>
    </row>
    <row r="4" spans="1:121" x14ac:dyDescent="0.3">
      <c r="A4">
        <v>1</v>
      </c>
      <c r="B4">
        <v>46</v>
      </c>
      <c r="C4">
        <f>C3*(1+w_red_LSM+w_red_BN)</f>
        <v>36.251999999999995</v>
      </c>
      <c r="D4">
        <f t="shared" si="1"/>
        <v>125</v>
      </c>
      <c r="E4">
        <f>E3+h_red_LSM+h_red_BN</f>
        <v>5.7</v>
      </c>
      <c r="F4">
        <v>2.2300000000000002E-3</v>
      </c>
      <c r="G4">
        <v>3.62E-3</v>
      </c>
      <c r="H4">
        <f t="shared" si="3"/>
        <v>2.5079999999999998E-3</v>
      </c>
      <c r="I4">
        <f>0.00000146 * EXP(1.87 * E4) * 0.0197 * EXP(0.101*C4)</f>
        <v>4.7655426853004217E-2</v>
      </c>
      <c r="J4">
        <f>1 - 0.94833 ^ (EXP(2.72107*(LN($B4)-3.8686) + 0.51125*(LN($C4)-LN(21.75)) + 2.81291*(LN($D4)*(1-0) - 4.24) + 2.88267*(LN($D4)*0 - 0.5826) + 0.61868*(1-0.3423) + 0.77763*(0-0.0376)))</f>
        <v>8.419918323165998E-2</v>
      </c>
      <c r="K4">
        <f>1 - 0.94833 ^ (EXP(2.72107*(LN($B4)-3.8686) + 0.51125*(LN($C4)-LN(21.75)) + 2.81291*(LN($D4)*(1-1) - 4.24) + 2.88267*(LN($D4)*1 - 0.5826) + 0.61868*(1-0.3423) + 0.77763*(0-0.0376)))</f>
        <v>0.11589740231475354</v>
      </c>
      <c r="L4">
        <f>1 - 0.94833 ^ (EXP(2.72107*(LN($B4)-3.8686) + 0.51125*(LN($C4)-LN(28)) + 2.81291*(LN($D4)*(1-0) - 4.24) + 2.88267*(LN($D4)*0 - 0.5826) + 0.61868*(0-0.3423) + 0.77763*(0-0.0376)))</f>
        <v>4.0783479243331588E-2</v>
      </c>
      <c r="M4">
        <f>1 - 0.94833 ^ (EXP(2.72107*(LN($B4)-3.8686) + 0.51125*(LN($C4)-LN(28)) + 2.81291*(LN($D4)*(1-1) - 4.24) + 2.88267*(LN($D4)*1 - 0.5826) + 0.61868*(0-0.3423) + 0.77763*(0-0.0376)))</f>
        <v>5.6646588861021807E-2</v>
      </c>
      <c r="N4">
        <f>1 - 0.8843 ^ (EXP(3.113*(LN($B4)-3.856) + 0.7928*(LN($C4)-LN(28)) + 1.8551*(LN($D4)*(1-0) - 4.3544) + 1.9267*(LN($D4)*0 - 0.5019) + 0.7095*(1-0.3522) + 0.5316*(0-0.065)))</f>
        <v>0.17647057800386434</v>
      </c>
      <c r="O4">
        <f>1 - 0.8843 ^ (EXP(3.113*(LN($B4)-3.856) + 0.7928*(LN($C4)-LN(28)) + 1.8551*(LN($D4)*(1-1) - 4.3544) + 1.9267*(LN($D4)*1 - 0.5019) + 0.7095*(1-0.3522) + 0.5316*(0-0.065)))</f>
        <v>0.239926606510383</v>
      </c>
      <c r="P4">
        <f>1 - 0.8843 ^ (EXP(3.113*(LN($B4)-3.856) + 0.7928*(LN($C4)-LN(28)) + 1.8551*(LN($D4)*(1-0) - 4.3544) + 1.9267*(LN($D4)*0 - 0.5019) + 0.7095*(0-0.3522) + 0.5316*(0-0.065)))</f>
        <v>9.1084739173983742E-2</v>
      </c>
      <c r="Q4">
        <f>1 - 0.8843 ^ (EXP(3.113*(LN($B4)-3.856) + 0.7928*(LN($C4)-LN(28)) + 1.8551*(LN($D4)*(1-1) - 4.3544) + 1.9267*(LN($D4)*1 - 0.5019) + 0.7095*(0-0.3522) + 0.5316*(0-0.065)))</f>
        <v>0.12623626202159732</v>
      </c>
      <c r="R4">
        <f>IF(C4&lt;25, HT_f_low, IF(C4&lt;30, HT_f_mod, HT_f_high))</f>
        <v>0.42</v>
      </c>
      <c r="S4">
        <f>IF(C4&lt;25, HT_m_low, IF(C4&lt;30, HT_m_mod, HT_m_high))</f>
        <v>0.43099999999999999</v>
      </c>
      <c r="T4">
        <f>PREV_FEMALE*PREV_SMOKE*(1-$R4)*(1-EXP(-J4/10))+PREV_FEMALE*PREV_SMOKE*$R4*(1-EXP(-K4/10))+PREV_FEMALE*(1-PREV_SMOKE)*(1-$R4)*(1-EXP(-L4/10))+PREV_FEMALE*(1-PREV_SMOKE)*$R4*(1-EXP(-M4/10))+(1-PREV_FEMALE)*PREV_SMOKE*(1-$S4)*(1-EXP(-N4/10))+(1-PREV_FEMALE)*PREV_SMOKE*$S4*(1-EXP(-O4/10))+(1-PREV_FEMALE)*(1-PREV_SMOKE)*(1-$S4)*(1-EXP(-P4/10))+(1-PREV_FEMALE)*(1-PREV_SMOKE)*$S4*(1-EXP(-Q4/10))</f>
        <v>6.6366856313154789E-3</v>
      </c>
      <c r="U4">
        <f>1 - 0.94833 ^ (EXP(2.72107*(LN($B4)-3.8686) + 0.51125*(LN($C4)-LN(21.75)) + 2.81291*(LN($D4)*(1-0) - 4.24) + 2.88267*(LN($D4)*0 - 0.5826) + 0.61868*(1-0.3423) + 0.77763*(1-0.0376)))</f>
        <v>0.17421449194422711</v>
      </c>
      <c r="V4">
        <f>1 - 0.94833 ^ (EXP(2.72107*(LN($B4)-3.8686) + 0.51125*(LN($C4)-LN(21.75)) + 2.81291*(LN($D4)*(1-1) - 4.24) + 2.88267*(LN($D4)*1 - 0.5826) + 0.61868*(1-0.3423) + 0.77763*(1-0.0376)))</f>
        <v>0.23515521569829234</v>
      </c>
      <c r="W4">
        <f>1 - 0.94833 ^ (EXP(2.72107*(LN($B4)-3.8686) + 0.51125*(LN($C4)-LN(28)) + 2.81291*(LN($D4)*(1-0) - 4.24) + 2.88267*(LN($D4)*0 - 0.5826) + 0.61868*(0-0.3423) + 0.77763*(1-0.0376)))</f>
        <v>8.6633548790034043E-2</v>
      </c>
      <c r="X4">
        <f>1 - 0.94833 ^ (EXP(2.72107*(LN($B4)-3.8686) + 0.51125*(LN($C4)-LN(28)) + 2.81291*(LN($D4)*(1-1) - 4.24) + 2.88267*(LN($D4)*1 - 0.5826) + 0.61868*(0-0.3423) + 0.77763*(1-0.0376)))</f>
        <v>0.11918695254724576</v>
      </c>
      <c r="Y4">
        <f>1 - 0.8843 ^ (EXP(3.113*(LN($B4)-3.856) + 0.7928*(LN($C4)-LN(28)) + 1.8551*(LN($D4)*(1-0) - 4.3544) + 1.9267*(LN($D4)*0 - 0.5019) + 0.7095*(1-0.3522) + 0.5316*(1-0.065)))</f>
        <v>0.28135378932014121</v>
      </c>
      <c r="Z4">
        <f>1 - 0.8843 ^ (EXP(3.113*(LN($B4)-3.856) + 0.7928*(LN($C4)-LN(28)) + 1.8551*(LN($D4)*(1-1) - 4.3544) + 1.9267*(LN($D4)*1 - 0.5019) + 0.7095*(1-0.3522) + 0.5316*(1-0.065)))</f>
        <v>0.37301452157948667</v>
      </c>
      <c r="AA4">
        <f>1 - 0.8843 ^ (EXP(3.113*(LN($B4)-3.856) + 0.7928*(LN($C4)-LN(28)) + 1.8551*(LN($D4)*(1-0) - 4.3544) + 1.9267*(LN($D4)*0 - 0.5019) + 0.7095*(0-0.3522) + 0.5316*(1-0.065)))</f>
        <v>0.14999550851782917</v>
      </c>
      <c r="AB4">
        <f>1 - 0.8843 ^ (EXP(3.113*(LN($B4)-3.856) + 0.7928*(LN($C4)-LN(28)) + 1.8551*(LN($D4)*(1-1) - 4.3544) + 1.9267*(LN($D4)*1 - 0.5019) + 0.7095*(0-0.3522) + 0.5316*(1-0.065)))</f>
        <v>0.2051723502831575</v>
      </c>
      <c r="AC4">
        <f>PREV_FEMALE*PREV_SMOKE*(1-$R4)*(1-EXP(-U4/10))+PREV_FEMALE*PREV_SMOKE*$R4*(1-EXP(-V4/10))+PREV_FEMALE*(1-PREV_SMOKE)*(1-$R4)*(1-EXP(-W4/10))+PREV_FEMALE*(1-PREV_SMOKE)*$R4*(1-EXP(-X4/10))+(1-PREV_FEMALE)*PREV_SMOKE*(1-$S4)*(1-EXP(-Y4/10))+(1-PREV_FEMALE)*PREV_SMOKE*$S4*(1-EXP(-Z4/10))+(1-PREV_FEMALE)*(1-PREV_SMOKE)*(1-$S4)*(1-EXP(-AA4/10))+(1-PREV_FEMALE)*(1-PREV_SMOKE)*$S4*(1-EXP(-AB4/10))</f>
        <v>1.2766597105943408E-2</v>
      </c>
      <c r="AD4">
        <f>AD3*(1-T3-H3)*(1-I3)</f>
        <v>0.88551240136906584</v>
      </c>
      <c r="AE4">
        <f t="shared" ref="AE4:AE44" si="6">AD3*T3*p_Other*(1-I3) + AE3*(1-T3*(1-p_Other)-H3*rr_Other)*(1-I3)</f>
        <v>3.0791275355842251E-3</v>
      </c>
      <c r="AF4">
        <f t="shared" ref="AF4:AF44" si="7">AD3*T3*p_Stroke*p_Stroke_rec*(1-I3)+AE3*T3*p_Stroke*p_Stroke_rec*(1-I3) + AF3*p_recur_Stroke*p_Stroke_rec*(1-I3) + AG3*p_recur_Stroke*p_Stroke_rec*(1-I3)</f>
        <v>1.1846243391447674E-3</v>
      </c>
      <c r="AG4">
        <f t="shared" ref="AG4:AG44" si="8">AF3*(1-p_recur_Stroke-T3*p_MI-H3*rr_Stroke)*(1-I3) + AG3*(1-p_recur_Stroke-T3*p_MI-H3*rr_Stroke)*(1-I3)</f>
        <v>0</v>
      </c>
      <c r="AH4">
        <f t="shared" ref="AH4:AH44" si="9">AD3*T3*p_MI*p_MI_rec_young*(1-I3)+AE3*T3*p_MI*p_MI_rec_young*(1-I3) + AH3*(PREV_FEMALE*p_recur_MI_F + (1-PREV_FEMALE)*p_recur_MI_M)*p_MI_rec_young*(1-I3) + AI3*(PREV_FEMALE*p_recur_MI_F + (1-PREV_FEMALE)*p_recur_MI_M)*p_MI_rec_young*(1-I3)</f>
        <v>1.0106928222801662E-3</v>
      </c>
      <c r="AI4">
        <f t="shared" ref="AI4:AI44" si="10">AH3*(1-(PREV_FEMALE*p_recur_MI_F + (1-PREV_FEMALE)*p_recur_MI_M) - T3*p_Stroke - p_toHF_young - H3*rr_MI)*(1-I3) + AI3*(1-(PREV_FEMALE*p_recur_MI_F + (1-PREV_FEMALE)*p_recur_MI_M) - T3*p_Stroke - p_toHF_young - H3*rr_MI)*(1-I3)</f>
        <v>0</v>
      </c>
      <c r="AJ4">
        <f t="shared" ref="AJ4:AJ44" si="11">AH3*T3*p_Stroke*p_Stroke_rec*(1-I3) + AI3*T3*p_Stroke*p_Stroke_rec*(1-I3) + AJ3*p_recur_Stroke*p_Stroke_rec*(1-I3) + AK3*p_recur_Stroke*p_Stroke_rec*(1-I3) + AL3*p_recur_Stroke*p_Stroke_rec*(1-I3)</f>
        <v>0</v>
      </c>
      <c r="AK4">
        <f t="shared" ref="AK4:AK44" si="12">AF3*T3*p_MI*p_MI_rec_young*(1-I3) + AG3*T3*p_MI*p_MI_rec_young*(1-I3) + AJ3*(PREV_FEMALE*p_recur_MI_F + (1-PREV_FEMALE)*p_recur_MI_M)*p_MI_rec_young*(1-I3) + AK3*(PREV_FEMALE*p_recur_MI_F + (1-PREV_FEMALE)*p_recur_MI_M)*p_MI_rec_young*(1-I3) + AL3*(PREV_FEMALE*p_recur_MI_F + (1-PREV_FEMALE)*p_recur_MI_M)*p_MI_rec_young*(1-I3)</f>
        <v>0</v>
      </c>
      <c r="AL4">
        <f t="shared" ref="AL4:AL44" si="13">AJ3*(1-p_recur_Stroke-(PREV_FEMALE*p_recur_MI_F + (1-PREV_FEMALE)*p_recur_MI_M) - p_toHF_young - H3*rr_MI*rr_Stroke)*(1-I3) + AK3*(1-p_recur_Stroke-(PREV_FEMALE*p_recur_MI_F + (1-PREV_FEMALE)*p_recur_MI_M) - p_toHF_young - H3*rr_MI*rr_Stroke)*(1-I3) + AL3*(1-p_recur_Stroke-(PREV_FEMALE*p_recur_MI_F + (1-PREV_FEMALE)*p_recur_MI_M) - p_toHF_young - H3*rr_MI*rr_Stroke)*(1-I3)</f>
        <v>0</v>
      </c>
      <c r="AM4">
        <f t="shared" ref="AM4:AM44" si="14">AD3*T3*p_MI*p_MI_HF_young*(1-I3) + AE3*T3*p_MI*p_MI_HF_young*(1-I3) + AH3*p_toHF_young*(1-I3) + AH3*(PREV_FEMALE*p_recur_MI_F + (1-PREV_FEMALE)*p_recur_MI_M)*p_MI_HF_young*(1-I3) + AI3*p_toHF_young*(1-I3) + AI3*(PREV_FEMALE*p_recur_MI_F + (1-PREV_FEMALE)*p_recur_MI_M)*p_MI_HF_young*(1-I3)</f>
        <v>1.2242611081482877E-4</v>
      </c>
      <c r="AN4">
        <f t="shared" ref="AN4:AN44" si="15">AM3*(1-T3*p_Stroke - H3*rr_HF)*(1-I3) + AN3*(1-T3*p_Stroke-H3*rr_HF)*(1-I3)</f>
        <v>0</v>
      </c>
      <c r="AO4">
        <f t="shared" ref="AO4:AO44" si="16">AF3*T3*p_MI*p_MI_HF_young*(1-I3) + AG3*T3*p_MI*p_MI_HF_young*(1-I3) + AJ3*(PREV_FEMALE*p_recur_MI_F + (1-PREV_FEMALE)*p_recur_MI_M)*p_MI_HF_young*(1-I3) + AJ3*p_toHF_young*(1-I3) + AK3*(PREV_FEMALE*p_recur_MI_F + (1-PREV_FEMALE)*p_recur_MI_M)*p_MI_HF_young*(1-I3) + AK3*p_toHF_young*(1-I3) + AL3*(PREV_FEMALE*p_recur_MI_F + (1-PREV_FEMALE)*p_recur_MI_M)*p_MI_HF_young*(1-I3) + AL3*p_toHF_young*(1-I3)</f>
        <v>0</v>
      </c>
      <c r="AP4">
        <f>AM3*T3*p_Stroke*p_Stroke_rec*(1-I3) + AN3*T3*p_Stroke*p_Stroke_rec*(1-I3) + AO3*(p_recur_Stroke*p_Stroke_rec)*(1-I3) + AP3*(p_recur_Stroke*p_Stroke_rec)*(1-I3) + AQ3*(p_recur_Stroke*p_Stroke_rec)*(1-I3)</f>
        <v>0</v>
      </c>
      <c r="AQ4">
        <f>AO3*(1-p_recur_Stroke-H3*rr_Stroke*rr_HF)*(1-I3) + AP3*(1-p_recur_Stroke-H3*rr_Stroke*rr_HF)*(1-I3) + AQ3*(1-p_recur_Stroke-H3*rr_Stroke*rr_HF)*(1-I3)</f>
        <v>0</v>
      </c>
      <c r="AR4">
        <f>AR3*(1-AC3-H3*rr_DM) + AD3*(1-T3-H3)*I3</f>
        <v>5.3383054940350949E-2</v>
      </c>
      <c r="AS4">
        <f>AR3*AC3*p_Other + AD3*T3*p_Other*I3 + AE3*(1-T3*p_Stroke-T3*p_MI-H3*rr_Other)*I3 + AS3*(1-AC3*p_Stroke-AC3*p_MI-H3*rr_Other*rr_DM)</f>
        <v>1.8562499423645256E-4</v>
      </c>
      <c r="AT4">
        <f>AR3*AC3*p_Stroke*p_Stroke_rec + AD3*T3*p_Stroke*p_Stroke_rec*I3 + AE3*T3*p_Stroke*p_Stroke_rec*I3 + AF3*p_recur_Stroke*p_Stroke_rec*I3 + AG3*p_recur_Stroke*p_Stroke_rec*I3 + AS3*AC3*p_Stroke*p_Stroke_rec + AT3*p_recur_Stroke*p_Stroke_rec + AU3*p_recur_Stroke*p_Stroke_rec</f>
        <v>7.1414997782606122E-5</v>
      </c>
      <c r="AU4">
        <f>AF3*(1-p_recur_Stroke-T3*p_MI-H3*rr_Stroke)*I3 + AG3*(1-p_recur_Stroke-T3*p_MI-H3*rr_Stroke)*I3 + AT3*(1-p_recur_Stroke-AC3*p_MI-H3*rr_Stroke*rr_DM) + AU3*(1-p_recur_Stroke-AC3*p_MI-H3*rr_Stroke*rr_DM)</f>
        <v>0</v>
      </c>
      <c r="AV4">
        <f>AR3*AC3*p_MI*p_MI_rec_young + AD3*T3*p_MI*p_MI_rec_young*I3 + AE3*T3*p_MI*p_MI_rec_young*I3 +AH3*(PREV_FEMALE*p_recur_MI_F + (1-PREV_FEMALE)*p_recur_MI_M)*p_MI_rec_young*I3 + AI3*(PREV_FEMALE*p_recur_MI_F + (1-PREV_FEMALE)*p_recur_MI_M)*p_MI_rec_young*I3 + AS3*AC3*p_MI*p_MI_rec_young + AV3*(PREV_FEMALE*p_recur_MI_F + (1-PREV_FEMALE)*p_recur_MI_M)*p_MI_rec_young + AW3*(PREV_FEMALE*p_recur_MI_F + (1-PREV_FEMALE)*p_recur_MI_M)*p_MI_rec_young</f>
        <v>6.0929548108173186E-5</v>
      </c>
      <c r="AW4">
        <f>AH3*(1-(PREV_FEMALE*p_recur_MI_F + (1-PREV_FEMALE)*p_recur_MI_M) - T3*p_Stroke - p_toHF_young - H3*rr_MI)*I3 + AI3*(1-(PREV_FEMALE*p_recur_MI_F + (1-PREV_FEMALE)*p_recur_MI_M) - T3*p_Stroke - p_toHF_young - H3*rr_MI)*I3 + AV3*(1-(PREV_FEMALE*p_recur_MI_F + (1-PREV_FEMALE)*p_recur_MI_M) - AC3*p_Stroke - p_toHF_young - H3*rr_MI*rr_DM) + AW3*(1-(PREV_FEMALE*p_recur_MI_F + (1-PREV_FEMALE)*p_recur_MI_M) - AC3*p_Stroke - p_toHF_young - H3*rr_MI*rr_DM)</f>
        <v>0</v>
      </c>
      <c r="AX4">
        <f>AH3*T3*p_Stroke*p_Stroke_rec*I3 + AI3*T3*p_Stroke*p_Stroke_rec*I3 + AJ3*p_recur_Stroke*p_Stroke_rec*I3 + AK3*p_recur_Stroke*p_Stroke_rec*I3 + AL3*p_recur_Stroke*p_Stroke_rec*I3 + AV3*AC3*p_Stroke*p_Stroke_rec + AW3*AC3*p_Stroke*p_Stroke_rec + AX3*p_recur_Stroke*p_Stroke_rec + AY3*p_recur_Stroke*p_Stroke_rec + AZ3*p_recur_Stroke*p_Stroke_rec</f>
        <v>0</v>
      </c>
      <c r="AY4">
        <f>AF3*T3*p_MI*p_MI_rec_young*I3 + AG3*T3*p_MI*p_MI_rec_young*I3 + AJ3*(PREV_FEMALE*p_recur_MI_F+(1-PREV_FEMALE)*p_recur_MI_M)*p_MI_rec_young*I3 + AK3*(PREV_FEMALE*p_recur_MI_F+(1-PREV_FEMALE)*p_recur_MI_M)*p_MI_rec_young*I3 + AL3*(PREV_FEMALE*p_recur_MI_F+(1-PREV_FEMALE)*p_recur_MI_M)*p_MI_rec_young*I3 + AT3*AC3*p_MI*p_MI_rec_young + AU3*AC3*p_MI*p_MI_rec_young + AX3*(PREV_FEMALE*p_recur_MI_F+(1-PREV_FEMALE)*p_recur_MI_M)*p_MI_rec_young + AY3*(PREV_FEMALE*p_recur_MI_F+(1-PREV_FEMALE)*p_recur_MI_M)*p_MI_rec_young + AZ3*(PREV_FEMALE*p_recur_MI_F+(1-PREV_FEMALE)*p_recur_MI_M)*p_MI_rec_young</f>
        <v>0</v>
      </c>
      <c r="AZ4">
        <f>AJ3*(1-p_recur_Stroke-(PREV_FEMALE*p_recur_MI_F + (1-PREV_FEMALE)*p_recur_MI_M) - p_toHF_young - H3*rr_MI*rr_Stroke)*I3 + AK3*(1-p_recur_Stroke-(PREV_FEMALE*p_recur_MI_F + (1-PREV_FEMALE)*p_recur_MI_M) - p_toHF_young - H3*rr_MI*rr_Stroke)*I3 + AL3*(1-p_recur_Stroke-(PREV_FEMALE*p_recur_MI_F + (1-PREV_FEMALE)*p_recur_MI_M) - p_toHF_young - H3*rr_MI*rr_Stroke)*I3 + AX3*(1-p_recur_Stroke-(PREV_FEMALE*p_recur_MI_F + (1-PREV_FEMALE)*p_recur_MI_M) - p_toHF_young - H3*rr_MI*rr_Stroke*rr_DM) + AY3*(1-p_recur_Stroke-(PREV_FEMALE*p_recur_MI_F + (1-PREV_FEMALE)*p_recur_MI_M) - p_toHF_young - H3*rr_MI*rr_Stroke*rr_DM) + AZ3*(1-p_recur_Stroke-(PREV_FEMALE*p_recur_MI_F + (1-PREV_FEMALE)*p_recur_MI_M) - p_toHF_young - H3*rr_MI*rr_Stroke*rr_DM)</f>
        <v>0</v>
      </c>
      <c r="BA4">
        <f>AR3*AC3*p_MI*p_MI_HF_young + AD3*T3*p_MI*p_MI_HF_young*I3 + AE3*T3*p_MI*p_MI_HF_young*I3 + AH3*p_toHF_young*I3 + AH3*(PREV_FEMALE*p_recur_MI_F + (1-PREV_FEMALE)*p_recur_MI_M)*p_MI_HF_young*I3 + AI3*p_toHF_young*I3 + AI3*(PREV_FEMALE*p_recur_MI_F + (1-PREV_FEMALE)*p_recur_MI_M)*p_MI_HF_young*I3 + AS3*AC3*p_MI*p_MI_HF_young + AV3*(PREV_FEMALE*p_recur_MI_F + (1-PREV_FEMALE)*p_recur_MI_M)*p_MI_HF_young + AV3*p_toHF_young + AW3*(PREV_FEMALE*p_recur_MI_F + (1-PREV_FEMALE)*p_recur_MI_M)*p_MI_HF_young + AW3*p_toHF_young</f>
        <v>7.3804497708413532E-6</v>
      </c>
      <c r="BB4">
        <f>AM3*(1-T3*p_Stroke - H3*rr_HF)*I3 + AN3*(1-T3*p_Stroke - H3*rr_HF)*I3 + BA3*(1-AC3*p_Stroke - H3*rr_HF*rr_DM) + BB3*(1-AC3*p_Stroke - H3*rr_HF*rr_DM)</f>
        <v>0</v>
      </c>
      <c r="BC4">
        <f>AF3*T3*p_MI*p_MI_HF_young*I3 + AG3*T3*p_MI*p_MI_HF_young*I3 + AJ3*(PREV_FEMALE*p_recur_MI_F + (1-PREV_FEMALE)*p_recur_MI_M)*p_MI_HF_young*I3 + AJ3*p_toHF_young*I3 + AK3*(PREV_FEMALE*p_recur_MI_F + (1-PREV_FEMALE)*p_recur_MI_M)*p_MI_HF_young*I3 + AK3*p_toHF_young*I3 + AL3*(PREV_FEMALE*p_recur_MI_F + (1-PREV_FEMALE)*p_recur_MI_M)*p_MI_HF_young*I3 + AL3*p_toHF_young*I3 + AT3*AC3*p_MI*p_MI_HF_young + AU3*AC3*p_MI*p_MI_HF_young + AX3*(PREV_FEMALE*p_recur_MI_F + (1-PREV_FEMALE)*p_recur_MI_M)*p_MI_HF_young + AX3*p_toHF_young + AY3*(PREV_FEMALE*p_recur_MI_F + (1-PREV_FEMALE)*p_recur_MI_M)*p_MI_HF_young + AY3*p_toHF_young + AZ3*(PREV_FEMALE*p_recur_MI_F + (1-PREV_FEMALE)*p_recur_MI_M)*p_MI_HF_young + AZ3*p_toHF_young</f>
        <v>0</v>
      </c>
      <c r="BD4">
        <f>AM3*T3*p_Stroke*p_Stroke_rec*I3 + AN3*T3*p_Stroke*p_Stroke_rec*I3 + AO3*(p_recur_Stroke*p_Stroke_rec)*I3 + AP3*(p_recur_Stroke*p_Stroke_rec)*I3 + AQ3*(p_recur_Stroke*p_Stroke_rec)*I3 + BA3*AC3*p_Stroke*p_Stroke_rec + BB3*AC3*p_Stroke*p_Stroke_rec + BC3*(p_recur_Stroke*p_Stroke_rec) + BD3*(p_recur_Stroke*p_Stroke_rec) + BE3*(p_recur_Stroke*p_Stroke_rec)</f>
        <v>0</v>
      </c>
      <c r="BE4">
        <f>AO3*(1-p_recur_Stroke - H3*rr_Stroke*rr_HF)*I3 + AP3*(1-p_recur_Stroke-H3*rr_Stroke*rr_HF)*I3 + AQ3*(1-p_recur_Stroke-H3*rr_Stroke*rr_HF)*I3 + BC3*(1-p_recur_Stroke - H3*rr_Stroke*rr_HF*rr_DM) + BD3*(1-p_recur_Stroke-H3*rr_Stroke*rr_HF*rr_DM) + BE3*(1-p_recur_Stroke-H3*rr_Stroke*rr_HF*rr_DM)</f>
        <v>0</v>
      </c>
      <c r="BF4">
        <f>AD3*H3 + AE3*H3*rr_Other + AF3*H3*rr_Stroke + AG3*H3*rr_Stroke + AH3*H3*rr_MI + AI3*H3*rr_MI + AJ3*H3*rr_Stroke*rr_MI + AK3*H3*rr_Stroke*rr_MI + AL3*H3*rr_Stroke*rr_MI + AM3*H3*rr_HF + AN3*H3*rr_HF + AO3*H3*rr_Stroke*rr_HF + AP3*H3*rr_Stroke*rr_HF + AR3*H3*rr_DM + AS3*H3*rr_DM*rr_Other + AT3*H3*rr_DM*rr_Stroke + AU3*H3*rr_DM*rr_Stroke + AV3*H3*rr_DM*rr_MI + AW3*H3*rr_DM*rr_MI + AX3*H3*rr_DM*rr_Stroke*rr_MI + AY3*H3*rr_DM*rr_Stroke*rr_MI + AZ3*H3*rr_DM*rr_Stroke*rr_MI + BA3*H3*rr_DM*rr_HF + BB3*H3*rr_DM*rr_HF + BC3*H3*rr_DM*rr_Stroke*rr_HF + BD3*H3*rr_DM*rr_Stroke*rr_HF + AQ3*H3*rr_Stroke*rr_HF + BE3*H3*rr_DM*rr_Stroke*rr_HF
+ AD3*T3*p_MI*p_MI_mort + AD3*T3*p_Stroke*p_Stroke_mort + AE3*T3*p_MI*p_MI_mort + AE3*T3*p_Stroke*p_Stroke_mort + AF3*T3*p_MI*p_MI_mort + AF3*p_recur_Stroke*p_Stroke_mort + AG3*T3*p_MI*p_MI_mort + AG3*p_recur_Stroke*p_Stroke_mort + AH3*(PREV_FEMALE*p_recur_MI_F + (1-PREV_FEMALE)*p_recur_MI_M)*p_MI_mort + AH3*T3*p_Stroke*p_Stroke_mort + AI3*(PREV_FEMALE*p_recur_MI_F + (1-PREV_FEMALE)*p_recur_MI_M)*p_MI_mort + AI3*T3*p_Stroke*p_Stroke_mort + AJ3*(PREV_FEMALE*p_recur_MI_F + (1-PREV_FEMALE)*p_recur_MI_M)*p_MI_mort + AJ3*p_recur_Stroke*p_Stroke_mort + AK3*(PREV_FEMALE*p_recur_MI_F + (1-PREV_FEMALE)*p_recur_MI_M)*p_MI_mort + AK3*p_recur_Stroke*p_Stroke_mort + AL3*(PREV_FEMALE*p_recur_MI_F + (1-PREV_FEMALE)*p_recur_MI_M)*p_MI_mort + AL3*p_recur_Stroke*p_Stroke_mort + AM3*T3*p_Stroke*p_Stroke_mort + AN3*T3*p_Stroke*p_Stroke_mort + AO3*p_recur_Stroke*p_Stroke_mort + AP3*p_recur_Stroke*p_Stroke_mort + AQ3*p_recur_Stroke*p_Stroke_mort
+ AR3*AC3*p_MI*p_MI_mort + AR3*AC3*p_Stroke*p_Stroke_mort + AS3*AC3*p_MI*p_MI_mort + AS3*AC3*p_Stroke*p_Stroke_mort + AT3*AC3*p_MI*p_MI_mort + AT3*p_recur_Stroke*p_Stroke_mort + AU3*AC3*p_MI*p_MI_mort + AU3*p_recur_Stroke*p_Stroke_mort + AV3*(PREV_FEMALE*p_recur_MI_F + (1-PREV_FEMALE)*p_recur_MI_M)*p_MI_mort + AV3*AC3*p_Stroke*p_Stroke_mort + AW3*(PREV_FEMALE*p_recur_MI_F + (1-PREV_FEMALE)*p_recur_MI_M)*p_MI_mort + AW3*AC3*p_Stroke*p_Stroke_mort + AX3*(PREV_FEMALE*p_recur_MI_F + (1-PREV_FEMALE)*p_recur_MI_M)*p_MI_mort + AX3*p_recur_Stroke*p_Stroke_mort + AY3*(PREV_FEMALE*p_recur_MI_F + (1-PREV_FEMALE)*p_recur_MI_M)*p_MI_mort + AY3*p_recur_Stroke*p_Stroke_mort + AZ3*(PREV_FEMALE*p_recur_MI_F + (1-PREV_FEMALE)*p_recur_MI_M)*p_MI_mort + AZ3*p_recur_Stroke*p_Stroke_mort + BA3*AC3*p_Stroke*p_Stroke_mort + BB3*AC3*p_Stroke*p_Stroke_mort + BC3*p_recur_Stroke*p_Stroke_mort + BD3*p_recur_Stroke*p_Stroke_mort + BE3*p_recur_Stroke*p_Stroke_mort
+BF3</f>
        <v>2.3823228928609897E-3</v>
      </c>
      <c r="BG4">
        <f t="shared" ref="BG4:BG44" si="17">SUM(AD4:BF4)</f>
        <v>0.94699999999999995</v>
      </c>
      <c r="BH4">
        <f>(0.9442 - 0.0007*$B4 - dis_BMI*($C4-21.75))*AD4</f>
        <v>0.76520969726122923</v>
      </c>
      <c r="BI4">
        <f>0.959*(0.9442 - 0.0007*$B4 - dis_BMI*($C4-21.75))*AE4</f>
        <v>2.5517146203904045E-3</v>
      </c>
      <c r="BJ4">
        <f>(0.943*(0.9442 - 0.0007*$B4 - dis_BMI*($C4-21.75)) - 0.19*0.5)*AF4</f>
        <v>8.5279592959593468E-4</v>
      </c>
      <c r="BK4">
        <f>(0.943*(0.9442 - 0.0007*$B4 - dis_BMI*($C4-21.75)))*AG4</f>
        <v>0</v>
      </c>
      <c r="BL4">
        <f>(0.955*(0.9442 - 0.0007*$B4 - dis_BMI*($C4-21.75)) - 0.15*0.5)*AH4</f>
        <v>7.58279311198731E-4</v>
      </c>
      <c r="BM4">
        <f>(0.955*(0.9442 - 0.0007*$B4 - dis_BMI*($C4-21.75)))*AI4</f>
        <v>0</v>
      </c>
      <c r="BN4">
        <f>(0.955*0.943*(0.9442 - 0.0007*$B4 - dis_BMI*($C4-21.75)) - 0.19*0.5)*AJ4</f>
        <v>0</v>
      </c>
      <c r="BO4">
        <f>(0.955*0.943*(0.9442 - 0.0007*$B4 - dis_BMI*($C4-21.75)) - 0.15*0.5)*AK4</f>
        <v>0</v>
      </c>
      <c r="BP4">
        <f>(0.955*0.943*(0.9442 - 0.0007*$B4 - dis_BMI*($C4-21.75)))*AL4</f>
        <v>0</v>
      </c>
      <c r="BQ4">
        <f>(0.93*(0.9442 - 0.0007*$B4 - dis_BMI*($C4-21.75)))*AM4</f>
        <v>9.8388155552921706E-5</v>
      </c>
      <c r="BR4">
        <f>(0.93*(0.9442 - 0.0007*$B4 - dis_BMI*($C4-21.75)))*AN4</f>
        <v>0</v>
      </c>
      <c r="BS4">
        <f>(0.93*0.943*(0.9442 - 0.0007*$B4 - dis_BMI*($C4-21.75)))*AO4</f>
        <v>0</v>
      </c>
      <c r="BT4">
        <f>(0.93*0.943*(0.9442 - 0.0007*$B4 - dis_BMI*($C4-21.75))-0.19*0.5)*AP4</f>
        <v>0</v>
      </c>
      <c r="BU4">
        <f>(0.93*0.943*(0.9442 - 0.0007*$B4 - dis_BMI*($C4-21.75)))*AQ4</f>
        <v>0</v>
      </c>
      <c r="BV4">
        <f>0.962*(0.9442 - 0.0007*$B4 - dis_BMI*($C4-21.75))*AR4</f>
        <v>4.4377651243797084E-2</v>
      </c>
      <c r="BW4">
        <f>0.962*0.959*(0.9442 - 0.0007*$B4 - dis_BMI*($C4-21.75))*AS4</f>
        <v>1.4798440467061357E-4</v>
      </c>
      <c r="BX4">
        <f>0.962*(0.943*(0.9442 - 0.0007*$B4 - dis_BMI*($C4-21.75)) - 0.19*0.5)*AT4</f>
        <v>4.9457136365613088E-5</v>
      </c>
      <c r="BY4">
        <f>0.962*(0.943*(0.9442 - 0.0007*$B4 - dis_BMI*($C4-21.75)))*AU4</f>
        <v>0</v>
      </c>
      <c r="BZ4">
        <f>0.962*(0.955*(0.9442 - 0.0007*$B4 - dis_BMI*($C4-21.75)) - 0.15*0.5)*AV4</f>
        <v>4.3975729709389991E-5</v>
      </c>
      <c r="CA4">
        <f>0.962*(0.955*(0.9442 - 0.0007*$B4 - dis_BMI*($C4-21.75)))*AW4</f>
        <v>0</v>
      </c>
      <c r="CB4">
        <f>0.962*(0.955*0.943*(0.9442 - 0.0007*$B4 - dis_BMI*($C4-21.75)) - 0.19*0.5)*AX4</f>
        <v>0</v>
      </c>
      <c r="CC4">
        <f>0.962*(0.955*0.943*(0.9442 - 0.0007*$B4 - dis_BMI*($C4-21.75)) - 0.15*0.5)*AY4</f>
        <v>0</v>
      </c>
      <c r="CD4">
        <f>0.962*(0.955*0.943*(0.9442 - 0.0007*$B4 - dis_BMI*($C4-21.75)))*AZ4</f>
        <v>0</v>
      </c>
      <c r="CE4">
        <f>0.962*(0.93*(0.9442 - 0.0007*$B4 - dis_BMI*($C4-21.75)))*BA4</f>
        <v>5.7059329870952491E-6</v>
      </c>
      <c r="CF4">
        <f>0.962*(0.93*(0.9442 - 0.0007*$B4 - dis_BMI*($C4-21.75)))*BB4</f>
        <v>0</v>
      </c>
      <c r="CG4">
        <f>0.962*(0.93*0.943*(0.9442 - 0.0007*$B4 - dis_BMI*($C4-21.75)))*BC4</f>
        <v>0</v>
      </c>
      <c r="CH4">
        <f>0.962*(0.93*0.943*(0.9442 - 0.0007*$B4 - dis_BMI*($C4-21.75))-0.19*0.5)*BD4</f>
        <v>0</v>
      </c>
      <c r="CI4">
        <f>0.962*(0.93*0.943*(0.9442 - 0.0007*$B4 - dis_BMI*($C4-21.75)))*BE4</f>
        <v>0</v>
      </c>
      <c r="CJ4">
        <f t="shared" ref="CJ4:CJ44" si="18">0*BF4</f>
        <v>0</v>
      </c>
      <c r="CK4">
        <f t="shared" ref="CK4:CK44" si="19">SUM(BH4:CJ4)</f>
        <v>0.81409564972549708</v>
      </c>
      <c r="CL4">
        <f>CK4/(1+r_)^A4</f>
        <v>0.79038412594708451</v>
      </c>
      <c r="CM4">
        <f>AD4*c_BN_2</f>
        <v>1855.148480868193</v>
      </c>
      <c r="CN4">
        <f>AE4*(c_Other+c_BN_2)</f>
        <v>50.417634267656098</v>
      </c>
      <c r="CO4">
        <f>AF4*(c_Stroke1+c_Stroke2+c_BN_2)</f>
        <v>30.694801251580067</v>
      </c>
      <c r="CP4">
        <f>AG4*(c_Stroke2 + c_BN_2)</f>
        <v>0</v>
      </c>
      <c r="CQ4">
        <f>AH4*(c_MI1+c_MI2 + c_BN_2)</f>
        <v>31.580107924966072</v>
      </c>
      <c r="CR4">
        <f>AI4*(c_MI2+c_BN_2)</f>
        <v>0</v>
      </c>
      <c r="CS4">
        <f>AJ4*(c_Stroke1+c_Stroke2+c_MI2+c_BN_2)</f>
        <v>0</v>
      </c>
      <c r="CT4">
        <f>AK4*(c_Stroke2+c_MI1+c_MI2+c_BN_2)</f>
        <v>0</v>
      </c>
      <c r="CU4">
        <f>AL4*(c_Stroke2+c_MI2+c_BN_2)</f>
        <v>0</v>
      </c>
      <c r="CV4">
        <f>AM4*(c_HF1+c_BN_2)</f>
        <v>3.5656604774818881</v>
      </c>
      <c r="CW4">
        <f>AN4*(c_HF2+c_BN_2)</f>
        <v>0</v>
      </c>
      <c r="CX4">
        <f>AO4*(c_Stroke2+c_HF1+c_BN_2)</f>
        <v>0</v>
      </c>
      <c r="CY4">
        <f>AP4*(c_Stroke1+c_Stroke2+c_HF2+c_BN_2)</f>
        <v>0</v>
      </c>
      <c r="CZ4">
        <f>AQ4*(c_Stroke2+c_HF2+c_BN_2)</f>
        <v>0</v>
      </c>
      <c r="DA4">
        <f>AR4*(c_DM+c_BN_2)</f>
        <v>721.73890279354487</v>
      </c>
      <c r="DB4">
        <f>AS4*(c_Other+c_DM+c_BN_2)</f>
        <v>5.1601892147791446</v>
      </c>
      <c r="DC4">
        <f>AT4*(c_Stroke1+c_Stroke2+c_DM+c_BN_2)</f>
        <v>2.6663503572113822</v>
      </c>
      <c r="DD4">
        <f>AU4*(c_Stroke2+c_DM+c_BN_2)</f>
        <v>0</v>
      </c>
      <c r="DE4">
        <f>AV4*(c_MI1+c_MI2+c_DM+c_BN_2)</f>
        <v>2.599924747323858</v>
      </c>
      <c r="DF4">
        <f>AW4*(c_MI2+c_DM+c_BN_2)</f>
        <v>0</v>
      </c>
      <c r="DG4">
        <f>AX4*(c_Stroke1+c_Stroke2+c_MI2+c_DM+c_BN_2)</f>
        <v>0</v>
      </c>
      <c r="DH4">
        <f>AY4*(c_Stroke2+c_MI1+c_MI2+c_DM+c_BN_2)</f>
        <v>0</v>
      </c>
      <c r="DI4">
        <f>AZ4*(c_Stroke2+c_MI2+c_DM+c_BN_2)</f>
        <v>0</v>
      </c>
      <c r="DJ4">
        <f>BA4*(c_HF1+c_DM+c_BN_2)</f>
        <v>0.29927723820761687</v>
      </c>
      <c r="DK4">
        <f>BB4*(c_HF2+c_DM+c_BN_2)</f>
        <v>0</v>
      </c>
      <c r="DL4">
        <f>BC4*(c_Stroke2+c_HF1+c_DM+c_BN_2)</f>
        <v>0</v>
      </c>
      <c r="DM4">
        <f>BD4*(c_Stroke1+c_Stroke2+c_HF2+c_DM+c_BN_2)</f>
        <v>0</v>
      </c>
      <c r="DN4">
        <f>BE4*(c_Stroke2+c_HF2+c_DM+c_BN_2)</f>
        <v>0</v>
      </c>
      <c r="DO4">
        <f t="shared" si="5"/>
        <v>0</v>
      </c>
      <c r="DP4">
        <f>BG4*0</f>
        <v>0</v>
      </c>
      <c r="DQ4">
        <f>DP4/(1+r_)^A4</f>
        <v>0</v>
      </c>
    </row>
    <row r="5" spans="1:121" x14ac:dyDescent="0.3">
      <c r="A5">
        <v>2</v>
      </c>
      <c r="B5">
        <v>47</v>
      </c>
      <c r="C5">
        <f>C$4</f>
        <v>36.251999999999995</v>
      </c>
      <c r="D5">
        <f t="shared" si="1"/>
        <v>125</v>
      </c>
      <c r="E5">
        <f>E$4</f>
        <v>5.7</v>
      </c>
      <c r="F5">
        <v>2.3600000000000001E-3</v>
      </c>
      <c r="G5">
        <v>3.8800000000000002E-3</v>
      </c>
      <c r="H5">
        <f t="shared" si="3"/>
        <v>2.6640000000000001E-3</v>
      </c>
      <c r="I5">
        <f t="shared" ref="I5:I44" si="20">0.00000146 * EXP(1.87 * E5) * 0.0197 * EXP(0.101*C5)</f>
        <v>4.7655426853004217E-2</v>
      </c>
      <c r="J5">
        <f t="shared" ref="J5:J67" si="21">1 - 0.94833 ^ (EXP(2.72107*(LN($B5)-3.8686) + 0.51125*(LN($C5)-LN(21.75)) + 2.81291*(LN($D5)*(1-0) - 4.24) + 2.88267*(LN($D5)*0 - 0.5826) + 0.61868*(1-0.3423) + 0.77763*(0-0.0376)))</f>
        <v>8.9040803957105008E-2</v>
      </c>
      <c r="K5">
        <f t="shared" ref="K5:K67" si="22">1 - 0.94833 ^ (EXP(2.72107*(LN($B5)-3.8686) + 0.51125*(LN($C5)-LN(21.75)) + 2.81291*(LN($D5)*(1-1) - 4.24) + 2.88267*(LN($D5)*1 - 0.5826) + 0.61868*(1-0.3423) + 0.77763*(0-0.0376)))</f>
        <v>0.12243641757375745</v>
      </c>
      <c r="L5">
        <f t="shared" ref="L5:L67" si="23">1 - 0.94833 ^ (EXP(2.72107*(LN($B5)-3.8686) + 0.51125*(LN($C5)-LN(28)) + 2.81291*(LN($D5)*(1-0) - 4.24) + 2.88267*(LN($D5)*0 - 0.5826) + 0.61868*(0-0.3423) + 0.77763*(0-0.0376)))</f>
        <v>4.3187506199432679E-2</v>
      </c>
      <c r="M5">
        <f t="shared" ref="M5:M67" si="24">1 - 0.94833 ^ (EXP(2.72107*(LN($B5)-3.8686) + 0.51125*(LN($C5)-LN(28)) + 2.81291*(LN($D5)*(1-1) - 4.24) + 2.88267*(LN($D5)*1 - 0.5826) + 0.61868*(0-0.3423) + 0.77763*(0-0.0376)))</f>
        <v>5.9956066331543822E-2</v>
      </c>
      <c r="N5">
        <f t="shared" ref="N5:N67" si="25">1 - 0.8843 ^ (EXP(3.113*(LN($B5)-3.856) + 0.7928*(LN($C5)-LN(28)) + 1.8551*(LN($D5)*(1-0) - 4.3544) + 1.9267*(LN($D5)*0 - 0.5019) + 0.7095*(1-0.3522) + 0.5316*(0-0.065)))</f>
        <v>0.1874676166560495</v>
      </c>
      <c r="O5">
        <f t="shared" ref="O5:O67" si="26">1 - 0.8843 ^ (EXP(3.113*(LN($B5)-3.856) + 0.7928*(LN($C5)-LN(28)) + 1.8551*(LN($D5)*(1-1) - 4.3544) + 1.9267*(LN($D5)*1 - 0.5019) + 0.7095*(1-0.3522) + 0.5316*(0-0.065)))</f>
        <v>0.25422833642792986</v>
      </c>
      <c r="P5">
        <f t="shared" ref="P5:P67" si="27">1 - 0.8843 ^ (EXP(3.113*(LN($B5)-3.856) + 0.7928*(LN($C5)-LN(28)) + 1.8551*(LN($D5)*(1-0) - 4.3544) + 1.9267*(LN($D5)*0 - 0.5019) + 0.7095*(0-0.3522) + 0.5316*(0-0.065)))</f>
        <v>9.7075319530015913E-2</v>
      </c>
      <c r="Q5">
        <f t="shared" ref="Q5:Q67" si="28">1 - 0.8843 ^ (EXP(3.113*(LN($B5)-3.856) + 0.7928*(LN($C5)-LN(28)) + 1.8551*(LN($D5)*(1-1) - 4.3544) + 1.9267*(LN($D5)*1 - 0.5019) + 0.7095*(0-0.3522) + 0.5316*(0-0.065)))</f>
        <v>0.13436243457082853</v>
      </c>
      <c r="R5">
        <f>IF(C5&lt;25, HT_f_low, IF(C5&lt;30, HT_f_mod, HT_f_high))</f>
        <v>0.42</v>
      </c>
      <c r="S5">
        <f>IF(C5&lt;25, HT_m_low, IF(C5&lt;30, HT_m_mod, HT_m_high))</f>
        <v>0.43099999999999999</v>
      </c>
      <c r="T5">
        <f>PREV_FEMALE*PREV_SMOKE*(1-$R5)*(1-EXP(-J5/10))+PREV_FEMALE*PREV_SMOKE*$R5*(1-EXP(-K5/10))+PREV_FEMALE*(1-PREV_SMOKE)*(1-$R5)*(1-EXP(-L5/10))+PREV_FEMALE*(1-PREV_SMOKE)*$R5*(1-EXP(-M5/10))+(1-PREV_FEMALE)*PREV_SMOKE*(1-$S5)*(1-EXP(-N5/10))+(1-PREV_FEMALE)*PREV_SMOKE*$S5*(1-EXP(-O5/10))+(1-PREV_FEMALE)*(1-PREV_SMOKE)*(1-$S5)*(1-EXP(-P5/10))+(1-PREV_FEMALE)*(1-PREV_SMOKE)*$S5*(1-EXP(-Q5/10))</f>
        <v>7.0355770392186642E-3</v>
      </c>
      <c r="U5">
        <f t="shared" ref="U5:U67" si="29">1 - 0.94833 ^ (EXP(2.72107*(LN($B5)-3.8686) + 0.51125*(LN($C5)-LN(21.75)) + 2.81291*(LN($D5)*(1-0) - 4.24) + 2.88267*(LN($D5)*0 - 0.5826) + 0.61868*(1-0.3423) + 0.77763*(1-0.0376)))</f>
        <v>0.18368613499284225</v>
      </c>
      <c r="V5">
        <f t="shared" ref="V5:V67" si="30">1 - 0.94833 ^ (EXP(2.72107*(LN($B5)-3.8686) + 0.51125*(LN($C5)-LN(21.75)) + 2.81291*(LN($D5)*(1-1) - 4.24) + 2.88267*(LN($D5)*1 - 0.5826) + 0.61868*(1-0.3423) + 0.77763*(1-0.0376)))</f>
        <v>0.24741296924087253</v>
      </c>
      <c r="W5">
        <f t="shared" ref="W5:W67" si="31">1 - 0.94833 ^ (EXP(2.72107*(LN($B5)-3.8686) + 0.51125*(LN($C5)-LN(28)) + 2.81291*(LN($D5)*(1-0) - 4.24) + 2.88267*(LN($D5)*0 - 0.5826) + 0.61868*(0-0.3423) + 0.77763*(1-0.0376)))</f>
        <v>9.1608027820399229E-2</v>
      </c>
      <c r="X5">
        <f t="shared" ref="X5:X67" si="32">1 - 0.94833 ^ (EXP(2.72107*(LN($B5)-3.8686) + 0.51125*(LN($C5)-LN(28)) + 2.81291*(LN($D5)*(1-1) - 4.24) + 2.88267*(LN($D5)*1 - 0.5826) + 0.61868*(0-0.3423) + 0.77763*(1-0.0376)))</f>
        <v>0.12589803095980323</v>
      </c>
      <c r="Y5">
        <f t="shared" ref="Y5:Y67" si="33">1 - 0.8843 ^ (EXP(3.113*(LN($B5)-3.856) + 0.7928*(LN($C5)-LN(28)) + 1.8551*(LN($D5)*(1-0) - 4.3544) + 1.9267*(LN($D5)*0 - 0.5019) + 0.7095*(1-0.3522) + 0.5316*(1-0.065)))</f>
        <v>0.2976070551516089</v>
      </c>
      <c r="Z5">
        <f t="shared" ref="Z5:Z67" si="34">1 - 0.8843 ^ (EXP(3.113*(LN($B5)-3.856) + 0.7928*(LN($C5)-LN(28)) + 1.8551*(LN($D5)*(1-1) - 4.3544) + 1.9267*(LN($D5)*1 - 0.5019) + 0.7095*(1-0.3522) + 0.5316*(1-0.065)))</f>
        <v>0.39295702395080057</v>
      </c>
      <c r="AA5">
        <f t="shared" ref="AA5:AA67" si="35">1 - 0.8843 ^ (EXP(3.113*(LN($B5)-3.856) + 0.7928*(LN($C5)-LN(28)) + 1.8551*(LN($D5)*(1-0) - 4.3544) + 1.9267*(LN($D5)*0 - 0.5019) + 0.7095*(0-0.3522) + 0.5316*(1-0.065)))</f>
        <v>0.15950662809073446</v>
      </c>
      <c r="AB5">
        <f t="shared" ref="AB5:AB67" si="36">1 - 0.8843 ^ (EXP(3.113*(LN($B5)-3.856) + 0.7928*(LN($C5)-LN(28)) + 1.8551*(LN($D5)*(1-1) - 4.3544) + 1.9267*(LN($D5)*1 - 0.5019) + 0.7095*(0-0.3522) + 0.5316*(1-0.065)))</f>
        <v>0.21770997610313825</v>
      </c>
      <c r="AC5">
        <f>PREV_FEMALE*PREV_SMOKE*(1-$R5)*(1-EXP(-U5/10))+PREV_FEMALE*PREV_SMOKE*$R5*(1-EXP(-V5/10))+PREV_FEMALE*(1-PREV_SMOKE)*(1-$R5)*(1-EXP(-W5/10))+PREV_FEMALE*(1-PREV_SMOKE)*$R5*(1-EXP(-X5/10))+(1-PREV_FEMALE)*PREV_SMOKE*(1-$S5)*(1-EXP(-Y5/10))+(1-PREV_FEMALE)*PREV_SMOKE*$S5*(1-EXP(-Z5/10))+(1-PREV_FEMALE)*(1-PREV_SMOKE)*(1-$S5)*(1-EXP(-AA5/10))+(1-PREV_FEMALE)*(1-PREV_SMOKE)*$S5*(1-EXP(-AB5/10))</f>
        <v>1.3494868541905403E-2</v>
      </c>
      <c r="AD5">
        <f t="shared" ref="AD5:AD44" si="37">AD4*(1-T4-H4)*(1-I4)</f>
        <v>0.83560109826545181</v>
      </c>
      <c r="AE5">
        <f t="shared" si="6"/>
        <v>5.9879009053703074E-3</v>
      </c>
      <c r="AF5">
        <f t="shared" si="7"/>
        <v>1.3129515256770263E-3</v>
      </c>
      <c r="AG5">
        <f t="shared" si="8"/>
        <v>9.8228670036570181E-4</v>
      </c>
      <c r="AH5">
        <f t="shared" si="9"/>
        <v>1.072443310586883E-3</v>
      </c>
      <c r="AI5">
        <f t="shared" si="10"/>
        <v>8.7437078872280177E-4</v>
      </c>
      <c r="AJ5">
        <f t="shared" si="11"/>
        <v>1.3516996535618992E-6</v>
      </c>
      <c r="AK5">
        <f t="shared" si="12"/>
        <v>1.3516996535618992E-6</v>
      </c>
      <c r="AL5">
        <f t="shared" si="13"/>
        <v>0</v>
      </c>
      <c r="AM5">
        <f t="shared" si="14"/>
        <v>1.4145633568722472E-4</v>
      </c>
      <c r="AN5">
        <f t="shared" si="15"/>
        <v>1.1588168160359514E-4</v>
      </c>
      <c r="AO5">
        <f t="shared" si="16"/>
        <v>1.6373256832080528E-7</v>
      </c>
      <c r="AP5">
        <f>AM4*T4*p_Stroke*p_Stroke_rec*(1-I4) + AN4*T4*p_Stroke*p_Stroke_rec*(1-I4) + AO4*(p_recur_Stroke*p_Stroke_rec)*(1-I4) + AP4*(p_recur_Stroke*p_Stroke_rec)*(1-I4) + AQ4*(p_recur_Stroke*p_Stroke_rec)*(1-I4)</f>
        <v>1.6373256832080523E-7</v>
      </c>
      <c r="AQ5">
        <f>AO4*(1-p_recur_Stroke-H4*rr_Stroke*rr_HF)*(1-I4) + AP4*(1-p_recur_Stroke-H4*rr_Stroke*rr_HF)*(1-I4) + AQ4*(1-p_recur_Stroke-H4*rr_Stroke*rr_HF)*(1-I4)</f>
        <v>0</v>
      </c>
      <c r="AR5">
        <f>AR4*(1-AC4-H4*rr_DM) + AD4*(1-T4-H4)*I4</f>
        <v>9.4361138149046925E-2</v>
      </c>
      <c r="AS5">
        <f>AR4*AC4*p_Other + AD4*T4*p_Other*I4 + AE4*(1-T4*p_Stroke-T4*p_MI-H4*rr_Other)*I4 + AS4*(1-AC4*p_Stroke-AC4*p_MI-H4*rr_Other*rr_DM)</f>
        <v>8.5801255609202118E-4</v>
      </c>
      <c r="AT5">
        <f>AR4*AC4*p_Stroke*p_Stroke_rec + AD4*T4*p_Stroke*p_Stroke_rec*I4 + AE4*T4*p_Stroke*p_Stroke_rec*I4 + AF4*p_recur_Stroke*p_Stroke_rec*I4 + AG4*p_recur_Stroke*p_Stroke_rec*I4 + AS4*AC4*p_Stroke*p_Stroke_rec + AT4*p_recur_Stroke*p_Stroke_rec + AU4*p_recur_Stroke*p_Stroke_rec</f>
        <v>2.182955260422695E-4</v>
      </c>
      <c r="AU5">
        <f>AF4*(1-p_recur_Stroke-T4*p_MI-H4*rr_Stroke)*I4 + AG4*(1-p_recur_Stroke-T4*p_MI-H4*rr_Stroke)*I4 + AT4*(1-p_recur_Stroke-AC4*p_MI-H4*rr_Stroke*rr_DM) + AU4*(1-p_recur_Stroke-AC4*p_MI-H4*rr_Stroke*rr_DM)</f>
        <v>1.1115365022204812E-4</v>
      </c>
      <c r="AV5">
        <f>AR4*AC4*p_MI*p_MI_rec_young + AD4*T4*p_MI*p_MI_rec_young*I4 + AE4*T4*p_MI*p_MI_rec_young*I4 +AH4*(PREV_FEMALE*p_recur_MI_F + (1-PREV_FEMALE)*p_recur_MI_M)*p_MI_rec_young*I4 + AI4*(PREV_FEMALE*p_recur_MI_F + (1-PREV_FEMALE)*p_recur_MI_M)*p_MI_rec_young*I4 + AS4*AC4*p_MI*p_MI_rec_young + AV4*(PREV_FEMALE*p_recur_MI_F + (1-PREV_FEMALE)*p_recur_MI_M)*p_MI_rec_young + AW4*(PREV_FEMALE*p_recur_MI_F + (1-PREV_FEMALE)*p_recur_MI_M)*p_MI_rec_young</f>
        <v>1.8083407608091194E-4</v>
      </c>
      <c r="AW5">
        <f>AH4*(1-(PREV_FEMALE*p_recur_MI_F + (1-PREV_FEMALE)*p_recur_MI_M) - T4*p_Stroke - p_toHF_young - H4*rr_MI)*I4 + AI4*(1-(PREV_FEMALE*p_recur_MI_F + (1-PREV_FEMALE)*p_recur_MI_M) - T4*p_Stroke - p_toHF_young - H4*rr_MI)*I4 + AV4*(1-(PREV_FEMALE*p_recur_MI_F + (1-PREV_FEMALE)*p_recur_MI_M) - AC4*p_Stroke - p_toHF_young - H4*rr_MI*rr_DM) + AW4*(1-(PREV_FEMALE*p_recur_MI_F + (1-PREV_FEMALE)*p_recur_MI_M) - AC4*p_Stroke - p_toHF_young - H4*rr_MI*rr_DM)</f>
        <v>9.8980557515144244E-5</v>
      </c>
      <c r="AX5">
        <f>AH4*T4*p_Stroke*p_Stroke_rec*I4 + AI4*T4*p_Stroke*p_Stroke_rec*I4 + AJ4*p_recur_Stroke*p_Stroke_rec*I4 + AK4*p_recur_Stroke*p_Stroke_rec*I4 + AL4*p_recur_Stroke*p_Stroke_rec*I4 + AV4*AC4*p_Stroke*p_Stroke_rec + AW4*AC4*p_Stroke*p_Stroke_rec + AX4*p_recur_Stroke*p_Stroke_rec + AY4*p_recur_Stroke*p_Stroke_rec + AZ4*p_recur_Stroke*p_Stroke_rec</f>
        <v>2.3223500808364171E-7</v>
      </c>
      <c r="AY5">
        <f>AF4*T4*p_MI*p_MI_rec_young*I4 + AG4*T4*p_MI*p_MI_rec_young*I4 + AJ4*(PREV_FEMALE*p_recur_MI_F+(1-PREV_FEMALE)*p_recur_MI_M)*p_MI_rec_young*I4 + AK4*(PREV_FEMALE*p_recur_MI_F+(1-PREV_FEMALE)*p_recur_MI_M)*p_MI_rec_young*I4 + AL4*(PREV_FEMALE*p_recur_MI_F+(1-PREV_FEMALE)*p_recur_MI_M)*p_MI_rec_young*I4 + AT4*AC4*p_MI*p_MI_rec_young + AU4*AC4*p_MI*p_MI_rec_young + AX4*(PREV_FEMALE*p_recur_MI_F+(1-PREV_FEMALE)*p_recur_MI_M)*p_MI_rec_young + AY4*(PREV_FEMALE*p_recur_MI_F+(1-PREV_FEMALE)*p_recur_MI_M)*p_MI_rec_young + AZ4*(PREV_FEMALE*p_recur_MI_F+(1-PREV_FEMALE)*p_recur_MI_M)*p_MI_rec_young</f>
        <v>2.3223500808364166E-7</v>
      </c>
      <c r="AZ5">
        <f>AJ4*(1-p_recur_Stroke-(PREV_FEMALE*p_recur_MI_F + (1-PREV_FEMALE)*p_recur_MI_M) - p_toHF_young - H4*rr_MI*rr_Stroke)*I4 + AK4*(1-p_recur_Stroke-(PREV_FEMALE*p_recur_MI_F + (1-PREV_FEMALE)*p_recur_MI_M) - p_toHF_young - H4*rr_MI*rr_Stroke)*I4 + AL4*(1-p_recur_Stroke-(PREV_FEMALE*p_recur_MI_F + (1-PREV_FEMALE)*p_recur_MI_M) - p_toHF_young - H4*rr_MI*rr_Stroke)*I4 + AX4*(1-p_recur_Stroke-(PREV_FEMALE*p_recur_MI_F + (1-PREV_FEMALE)*p_recur_MI_M) - p_toHF_young - H4*rr_MI*rr_Stroke*rr_DM) + AY4*(1-p_recur_Stroke-(PREV_FEMALE*p_recur_MI_F + (1-PREV_FEMALE)*p_recur_MI_M) - p_toHF_young - H4*rr_MI*rr_Stroke*rr_DM) + AZ4*(1-p_recur_Stroke-(PREV_FEMALE*p_recur_MI_F + (1-PREV_FEMALE)*p_recur_MI_M) - p_toHF_young - H4*rr_MI*rr_Stroke*rr_DM)</f>
        <v>0</v>
      </c>
      <c r="BA5">
        <f>AR4*AC4*p_MI*p_MI_HF_young + AD4*T4*p_MI*p_MI_HF_young*I4 + AE4*T4*p_MI*p_MI_HF_young*I4 + AH4*p_toHF_young*I4 + AH4*(PREV_FEMALE*p_recur_MI_F + (1-PREV_FEMALE)*p_recur_MI_M)*p_MI_HF_young*I4 + AI4*p_toHF_young*I4 + AI4*(PREV_FEMALE*p_recur_MI_F + (1-PREV_FEMALE)*p_recur_MI_M)*p_MI_HF_young*I4 + AS4*AC4*p_MI*p_MI_HF_young + AV4*(PREV_FEMALE*p_recur_MI_F + (1-PREV_FEMALE)*p_recur_MI_M)*p_MI_HF_young + AV4*p_toHF_young + AW4*(PREV_FEMALE*p_recur_MI_F + (1-PREV_FEMALE)*p_recur_MI_M)*p_MI_HF_young + AW4*p_toHF_young</f>
        <v>2.3213725293115121E-5</v>
      </c>
      <c r="BB5">
        <f>AM4*(1-T4*p_Stroke - H4*rr_HF)*I4 + AN4*(1-T4*p_Stroke - H4*rr_HF)*I4 + BA4*(1-AC4*p_Stroke - H4*rr_HF*rr_DM) + BB4*(1-AC4*p_Stroke - H4*rr_HF*rr_DM)</f>
        <v>1.3118768698994817E-5</v>
      </c>
      <c r="BC5">
        <f>AF4*T4*p_MI*p_MI_HF_young*I4 + AG4*T4*p_MI*p_MI_HF_young*I4 + AJ4*(PREV_FEMALE*p_recur_MI_F + (1-PREV_FEMALE)*p_recur_MI_M)*p_MI_HF_young*I4 + AJ4*p_toHF_young*I4 + AK4*(PREV_FEMALE*p_recur_MI_F + (1-PREV_FEMALE)*p_recur_MI_M)*p_MI_HF_young*I4 + AK4*p_toHF_young*I4 + AL4*(PREV_FEMALE*p_recur_MI_F + (1-PREV_FEMALE)*p_recur_MI_M)*p_MI_HF_young*I4 + AL4*p_toHF_young*I4 + AT4*AC4*p_MI*p_MI_HF_young + AU4*AC4*p_MI*p_MI_HF_young + AX4*(PREV_FEMALE*p_recur_MI_F + (1-PREV_FEMALE)*p_recur_MI_M)*p_MI_HF_young + AX4*p_toHF_young + AY4*(PREV_FEMALE*p_recur_MI_F + (1-PREV_FEMALE)*p_recur_MI_M)*p_MI_HF_young + AY4*p_toHF_young + AZ4*(PREV_FEMALE*p_recur_MI_F + (1-PREV_FEMALE)*p_recur_MI_M)*p_MI_HF_young + AZ4*p_toHF_young</f>
        <v>2.8130830859753821E-8</v>
      </c>
      <c r="BD5">
        <f>AM4*T4*p_Stroke*p_Stroke_rec*I4 + AN4*T4*p_Stroke*p_Stroke_rec*I4 + AO4*(p_recur_Stroke*p_Stroke_rec)*I4 + AP4*(p_recur_Stroke*p_Stroke_rec)*I4 + AQ4*(p_recur_Stroke*p_Stroke_rec)*I4 + BA4*AC4*p_Stroke*p_Stroke_rec + BB4*AC4*p_Stroke*p_Stroke_rec + BC4*(p_recur_Stroke*p_Stroke_rec) + BD4*(p_recur_Stroke*p_Stroke_rec) + BE4*(p_recur_Stroke*p_Stroke_rec)</f>
        <v>2.8130830859753818E-8</v>
      </c>
      <c r="BE5">
        <f>AO4*(1-p_recur_Stroke - H4*rr_Stroke*rr_HF)*I4 + AP4*(1-p_recur_Stroke-H4*rr_Stroke*rr_HF)*I4 + AQ4*(1-p_recur_Stroke-H4*rr_Stroke*rr_HF)*I4 + BC4*(1-p_recur_Stroke - H4*rr_Stroke*rr_HF*rr_DM) + BD4*(1-p_recur_Stroke-H4*rr_Stroke*rr_HF*rr_DM) + BE4*(1-p_recur_Stroke-H4*rr_Stroke*rr_HF*rr_DM)</f>
        <v>0</v>
      </c>
      <c r="BF5">
        <f>AD4*H4 + AE4*H4*rr_Other + AF4*H4*rr_Stroke + AG4*H4*rr_Stroke + AH4*H4*rr_MI + AI4*H4*rr_MI + AJ4*H4*rr_Stroke*rr_MI + AK4*H4*rr_Stroke*rr_MI + AL4*H4*rr_Stroke*rr_MI + AM4*H4*rr_HF + AN4*H4*rr_HF + AO4*H4*rr_Stroke*rr_HF + AP4*H4*rr_Stroke*rr_HF + AR4*H4*rr_DM + AS4*H4*rr_DM*rr_Other + AT4*H4*rr_DM*rr_Stroke + AU4*H4*rr_DM*rr_Stroke + AV4*H4*rr_DM*rr_MI + AW4*H4*rr_DM*rr_MI + AX4*H4*rr_DM*rr_Stroke*rr_MI + AY4*H4*rr_DM*rr_Stroke*rr_MI + AZ4*H4*rr_DM*rr_Stroke*rr_MI + BA4*H4*rr_DM*rr_HF + BB4*H4*rr_DM*rr_HF + BC4*H4*rr_DM*rr_Stroke*rr_HF + BD4*H4*rr_DM*rr_Stroke*rr_HF + AQ4*H4*rr_Stroke*rr_HF + BE4*H4*rr_DM*rr_Stroke*rr_HF
+ AD4*T4*p_MI*p_MI_mort + AD4*T4*p_Stroke*p_Stroke_mort + AE4*T4*p_MI*p_MI_mort + AE4*T4*p_Stroke*p_Stroke_mort + AF4*T4*p_MI*p_MI_mort + AF4*p_recur_Stroke*p_Stroke_mort + AG4*T4*p_MI*p_MI_mort + AG4*p_recur_Stroke*p_Stroke_mort + AH4*(PREV_FEMALE*p_recur_MI_F + (1-PREV_FEMALE)*p_recur_MI_M)*p_MI_mort + AH4*T4*p_Stroke*p_Stroke_mort + AI4*(PREV_FEMALE*p_recur_MI_F + (1-PREV_FEMALE)*p_recur_MI_M)*p_MI_mort + AI4*T4*p_Stroke*p_Stroke_mort + AJ4*(PREV_FEMALE*p_recur_MI_F + (1-PREV_FEMALE)*p_recur_MI_M)*p_MI_mort + AJ4*p_recur_Stroke*p_Stroke_mort + AK4*(PREV_FEMALE*p_recur_MI_F + (1-PREV_FEMALE)*p_recur_MI_M)*p_MI_mort + AK4*p_recur_Stroke*p_Stroke_mort + AL4*(PREV_FEMALE*p_recur_MI_F + (1-PREV_FEMALE)*p_recur_MI_M)*p_MI_mort + AL4*p_recur_Stroke*p_Stroke_mort + AM4*T4*p_Stroke*p_Stroke_mort + AN4*T4*p_Stroke*p_Stroke_mort + AO4*p_recur_Stroke*p_Stroke_mort + AP4*p_recur_Stroke*p_Stroke_mort + AQ4*p_recur_Stroke*p_Stroke_mort
+ AR4*AC4*p_MI*p_MI_mort + AR4*AC4*p_Stroke*p_Stroke_mort + AS4*AC4*p_MI*p_MI_mort + AS4*AC4*p_Stroke*p_Stroke_mort + AT4*AC4*p_MI*p_MI_mort + AT4*p_recur_Stroke*p_Stroke_mort + AU4*AC4*p_MI*p_MI_mort + AU4*p_recur_Stroke*p_Stroke_mort + AV4*(PREV_FEMALE*p_recur_MI_F + (1-PREV_FEMALE)*p_recur_MI_M)*p_MI_mort + AV4*AC4*p_Stroke*p_Stroke_mort + AW4*(PREV_FEMALE*p_recur_MI_F + (1-PREV_FEMALE)*p_recur_MI_M)*p_MI_mort + AW4*AC4*p_Stroke*p_Stroke_mort + AX4*(PREV_FEMALE*p_recur_MI_F + (1-PREV_FEMALE)*p_recur_MI_M)*p_MI_mort + AX4*p_recur_Stroke*p_Stroke_mort + AY4*(PREV_FEMALE*p_recur_MI_F + (1-PREV_FEMALE)*p_recur_MI_M)*p_MI_mort + AY4*p_recur_Stroke*p_Stroke_mort + AZ4*(PREV_FEMALE*p_recur_MI_F + (1-PREV_FEMALE)*p_recur_MI_M)*p_MI_mort + AZ4*p_recur_Stroke*p_Stroke_mort + BA4*AC4*p_Stroke*p_Stroke_mort + BB4*AC4*p_Stroke*p_Stroke_mort + BC4*p_recur_Stroke*p_Stroke_mort + BD4*p_recur_Stroke*p_Stroke_mort + BE4*p_recur_Stroke*p_Stroke_mort
+BF4</f>
        <v>5.0433118814215781E-3</v>
      </c>
      <c r="BG5">
        <f t="shared" si="17"/>
        <v>0.94699999999999984</v>
      </c>
      <c r="BH5">
        <f>(0.9442 - 0.0007*$B5 - dis_BMI*($C5-21.75))*AD5</f>
        <v>0.72149425333005579</v>
      </c>
      <c r="BI5">
        <f>0.959*(0.9442 - 0.0007*$B5 - dis_BMI*($C5-21.75))*AE5</f>
        <v>4.9582347624155801E-3</v>
      </c>
      <c r="BJ5">
        <f>(0.943*(0.9442 - 0.0007*$B5 - dis_BMI*($C5-21.75)) - 0.19*0.5)*AF5</f>
        <v>9.4431035265259307E-4</v>
      </c>
      <c r="BK5">
        <f>(0.943*(0.9442 - 0.0007*$B5 - dis_BMI*($C5-21.75)))*AG5</f>
        <v>7.998044771432458E-4</v>
      </c>
      <c r="BL5">
        <f>(0.955*(0.9442 - 0.0007*$B5 - dis_BMI*($C5-21.75)) - 0.15*0.5)*AH5</f>
        <v>8.0389111567836017E-4</v>
      </c>
      <c r="BM5">
        <f>(0.955*(0.9442 - 0.0007*$B5 - dis_BMI*($C5-21.75)))*AI5</f>
        <v>7.2099605077510017E-4</v>
      </c>
      <c r="BN5">
        <f>(0.955*0.943*(0.9442 - 0.0007*$B5 - dis_BMI*($C5-21.75)) - 0.19*0.5)*AJ5</f>
        <v>9.2265248371862453E-7</v>
      </c>
      <c r="BO5">
        <f>(0.955*0.943*(0.9442 - 0.0007*$B5 - dis_BMI*($C5-21.75)) - 0.15*0.5)*AK5</f>
        <v>9.4968647678986252E-7</v>
      </c>
      <c r="BP5">
        <f>(0.955*0.943*(0.9442 - 0.0007*$B5 - dis_BMI*($C5-21.75)))*AL5</f>
        <v>0</v>
      </c>
      <c r="BQ5">
        <f>(0.93*(0.9442 - 0.0007*$B5 - dis_BMI*($C5-21.75)))*AM5</f>
        <v>1.1358977167670634E-4</v>
      </c>
      <c r="BR5">
        <f>(0.93*(0.9442 - 0.0007*$B5 - dis_BMI*($C5-21.75)))*AN5</f>
        <v>9.3053264040218839E-5</v>
      </c>
      <c r="BS5">
        <f>(0.93*0.943*(0.9442 - 0.0007*$B5 - dis_BMI*($C5-21.75)))*AO5</f>
        <v>1.2398341366935084E-7</v>
      </c>
      <c r="BT5">
        <f>(0.93*0.943*(0.9442 - 0.0007*$B5 - dis_BMI*($C5-21.75))-0.19*0.5)*AP5</f>
        <v>1.084288196788743E-7</v>
      </c>
      <c r="BU5">
        <f>(0.93*0.943*(0.9442 - 0.0007*$B5 - dis_BMI*($C5-21.75)))*AQ5</f>
        <v>0</v>
      </c>
      <c r="BV5">
        <f>0.962*(0.9442 - 0.0007*$B5 - dis_BMI*($C5-21.75))*AR5</f>
        <v>7.8379432877134031E-2</v>
      </c>
      <c r="BW5">
        <f>0.962*0.959*(0.9442 - 0.0007*$B5 - dis_BMI*($C5-21.75))*AS5</f>
        <v>6.834727386036526E-4</v>
      </c>
      <c r="BX5">
        <f>0.962*(0.943*(0.9442 - 0.0007*$B5 - dis_BMI*($C5-21.75)) - 0.19*0.5)*AT5</f>
        <v>1.5103790943110618E-4</v>
      </c>
      <c r="BY5">
        <f>0.962*(0.943*(0.9442 - 0.0007*$B5 - dis_BMI*($C5-21.75)))*AU5</f>
        <v>8.7065153133834559E-5</v>
      </c>
      <c r="BZ5">
        <f>0.962*(0.955*(0.9442 - 0.0007*$B5 - dis_BMI*($C5-21.75)) - 0.15*0.5)*AV5</f>
        <v>1.3040019115251211E-4</v>
      </c>
      <c r="CA5">
        <f>0.962*(0.955*(0.9442 - 0.0007*$B5 - dis_BMI*($C5-21.75)))*AW5</f>
        <v>7.8516731684831882E-5</v>
      </c>
      <c r="CB5">
        <f>0.962*(0.955*0.943*(0.9442 - 0.0007*$B5 - dis_BMI*($C5-21.75)) - 0.19*0.5)*AX5</f>
        <v>1.5249679365164204E-7</v>
      </c>
      <c r="CC5">
        <f>0.962*(0.955*0.943*(0.9442 - 0.0007*$B5 - dis_BMI*($C5-21.75)) - 0.15*0.5)*AY5</f>
        <v>1.5696499520717127E-7</v>
      </c>
      <c r="CD5">
        <f>0.962*(0.955*0.943*(0.9442 - 0.0007*$B5 - dis_BMI*($C5-21.75)))*AZ5</f>
        <v>0</v>
      </c>
      <c r="CE5">
        <f>0.962*(0.93*(0.9442 - 0.0007*$B5 - dis_BMI*($C5-21.75)))*BA5</f>
        <v>1.7932330544025342E-5</v>
      </c>
      <c r="CF5">
        <f>0.962*(0.93*(0.9442 - 0.0007*$B5 - dis_BMI*($C5-21.75)))*BB5</f>
        <v>1.0134094966255173E-5</v>
      </c>
      <c r="CG5">
        <f>0.962*(0.93*0.943*(0.9442 - 0.0007*$B5 - dis_BMI*($C5-21.75)))*BC5</f>
        <v>2.0492084922763979E-8</v>
      </c>
      <c r="CH5">
        <f>0.962*(0.93*0.943*(0.9442 - 0.0007*$B5 - dis_BMI*($C5-21.75))-0.19*0.5)*BD5</f>
        <v>1.7921208290491073E-8</v>
      </c>
      <c r="CI5">
        <f>0.962*(0.93*0.943*(0.9442 - 0.0007*$B5 - dis_BMI*($C5-21.75)))*BE5</f>
        <v>0</v>
      </c>
      <c r="CJ5">
        <f t="shared" si="18"/>
        <v>0</v>
      </c>
      <c r="CK5">
        <f t="shared" si="19"/>
        <v>0.80946857777736381</v>
      </c>
      <c r="CL5">
        <f>CK5/(1+r_)^A5</f>
        <v>0.76300176998526137</v>
      </c>
      <c r="CM5">
        <f>AD5*c_BN_2</f>
        <v>1750.5843008661216</v>
      </c>
      <c r="CN5">
        <f>AE5*(c_Other+c_BN_2)</f>
        <v>98.045889424533414</v>
      </c>
      <c r="CO5">
        <f>AF5*(c_Stroke1+c_Stroke2+c_BN_2)</f>
        <v>34.019886981817429</v>
      </c>
      <c r="CP5">
        <f>AG5*(c_Stroke2 + c_BN_2)</f>
        <v>8.4427541896432068</v>
      </c>
      <c r="CQ5">
        <f>AH5*(c_MI1+c_MI2 + c_BN_2)</f>
        <v>33.509563682597744</v>
      </c>
      <c r="CR5">
        <f>AI5*(c_MI2+c_BN_2)</f>
        <v>4.5572205508232431</v>
      </c>
      <c r="CS5">
        <f>AJ5*(c_Stroke1+c_Stroke2+c_MI2+c_BN_2)</f>
        <v>3.9237137543594813E-2</v>
      </c>
      <c r="CT5">
        <f>AK5*(c_Stroke2+c_MI1+c_MI2+c_BN_2)</f>
        <v>5.1021255123347452E-2</v>
      </c>
      <c r="CU5">
        <f>AL5*(c_Stroke2+c_MI2+c_BN_2)</f>
        <v>0</v>
      </c>
      <c r="CV5">
        <f>AM5*(c_HF1+c_BN_2)</f>
        <v>4.1199157768904202</v>
      </c>
      <c r="CW5">
        <f>AN5*(c_HF2+c_BN_2)</f>
        <v>2.0511057643836339</v>
      </c>
      <c r="CX5">
        <f>AO5*(c_Stroke2+c_HF1+c_BN_2)</f>
        <v>5.8329727464286885E-3</v>
      </c>
      <c r="CY5">
        <f>AP5*(c_Stroke1+c_Stroke2+c_HF2+c_BN_2)</f>
        <v>6.7975213064065503E-3</v>
      </c>
      <c r="CZ5">
        <f>AQ5*(c_Stroke2+c_HF2+c_BN_2)</f>
        <v>0</v>
      </c>
      <c r="DA5">
        <f>AR5*(c_DM+c_BN_2)</f>
        <v>1275.7625877751145</v>
      </c>
      <c r="DB5">
        <f>AS5*(c_Other+c_DM+c_BN_2)</f>
        <v>23.851891046802098</v>
      </c>
      <c r="DC5">
        <f>AT5*(c_Stroke1+c_Stroke2+c_DM+c_BN_2)</f>
        <v>8.150281760314174</v>
      </c>
      <c r="DD5">
        <f>AU5*(c_Stroke2+c_DM+c_BN_2)</f>
        <v>2.2252960774454031</v>
      </c>
      <c r="DE5">
        <f>AV5*(c_MI1+c_MI2+c_DM+c_BN_2)</f>
        <v>7.7163708604485937</v>
      </c>
      <c r="DF5">
        <f>AW5*(c_MI2+c_DM+c_BN_2)</f>
        <v>1.6467395353794547</v>
      </c>
      <c r="DG5">
        <f>AX5*(c_Stroke1+c_Stroke2+c_MI2+c_DM+c_BN_2)</f>
        <v>9.3946027820075578E-3</v>
      </c>
      <c r="DH5">
        <f>AY5*(c_Stroke2+c_MI1+c_MI2+c_DM+c_BN_2)</f>
        <v>1.1419227582480745E-2</v>
      </c>
      <c r="DI5">
        <f>AZ5*(c_Stroke2+c_MI2+c_DM+c_BN_2)</f>
        <v>0</v>
      </c>
      <c r="DJ5">
        <f>BA5*(c_HF1+c_DM+c_BN_2)</f>
        <v>0.94131656063581814</v>
      </c>
      <c r="DK5">
        <f>BB5*(c_HF2+c_DM+c_BN_2)</f>
        <v>0.38208413835822402</v>
      </c>
      <c r="DL5">
        <f>BC5*(c_Stroke2+c_HF1+c_DM+c_BN_2)</f>
        <v>1.3235555919514173E-3</v>
      </c>
      <c r="DM5">
        <f>BD5*(c_Stroke1+c_Stroke2+c_HF2+c_DM+c_BN_2)</f>
        <v>1.4892743165462268E-3</v>
      </c>
      <c r="DN5">
        <f>BE5*(c_Stroke2+c_HF2+c_DM+c_BN_2)</f>
        <v>0</v>
      </c>
      <c r="DO5">
        <f t="shared" si="5"/>
        <v>0</v>
      </c>
      <c r="DP5">
        <f t="shared" ref="DP5:DP44" si="38">SUM(CM5:DO5)</f>
        <v>3256.1337205383011</v>
      </c>
      <c r="DQ5">
        <f>DP5/(1+r_)^A5</f>
        <v>3069.2183245718743</v>
      </c>
    </row>
    <row r="6" spans="1:121" x14ac:dyDescent="0.3">
      <c r="A6">
        <v>3</v>
      </c>
      <c r="B6">
        <v>48</v>
      </c>
      <c r="C6">
        <f t="shared" ref="C6:C67" si="39">C$4</f>
        <v>36.251999999999995</v>
      </c>
      <c r="D6">
        <f t="shared" si="1"/>
        <v>125</v>
      </c>
      <c r="E6">
        <f t="shared" ref="E6:E43" si="40">E$4</f>
        <v>5.7</v>
      </c>
      <c r="F6">
        <v>2.5300000000000001E-3</v>
      </c>
      <c r="G6">
        <v>4.1099999999999999E-3</v>
      </c>
      <c r="H6">
        <f t="shared" si="3"/>
        <v>2.846E-3</v>
      </c>
      <c r="I6">
        <f t="shared" si="20"/>
        <v>4.7655426853004217E-2</v>
      </c>
      <c r="J6">
        <f t="shared" si="21"/>
        <v>9.4035961094861009E-2</v>
      </c>
      <c r="K6">
        <f t="shared" si="22"/>
        <v>0.12916822388013183</v>
      </c>
      <c r="L6">
        <f t="shared" si="23"/>
        <v>4.5674831514068481E-2</v>
      </c>
      <c r="M6">
        <f t="shared" si="24"/>
        <v>6.3376712035463023E-2</v>
      </c>
      <c r="N6">
        <f t="shared" si="25"/>
        <v>0.19881323240848159</v>
      </c>
      <c r="O6">
        <f t="shared" si="26"/>
        <v>0.26889983749115487</v>
      </c>
      <c r="P6">
        <f t="shared" si="27"/>
        <v>0.10329912142050113</v>
      </c>
      <c r="Q6">
        <f t="shared" si="28"/>
        <v>0.14278141802415234</v>
      </c>
      <c r="R6">
        <f>IF(C6&lt;25, HT_f_low, IF(C6&lt;30, HT_f_mod, HT_f_high))</f>
        <v>0.42</v>
      </c>
      <c r="S6">
        <f>IF(C6&lt;25, HT_m_low, IF(C6&lt;30, HT_m_mod, HT_m_high))</f>
        <v>0.43099999999999999</v>
      </c>
      <c r="T6">
        <f>PREV_FEMALE*PREV_SMOKE*(1-$R6)*(1-EXP(-J6/10))+PREV_FEMALE*PREV_SMOKE*$R6*(1-EXP(-K6/10))+PREV_FEMALE*(1-PREV_SMOKE)*(1-$R6)*(1-EXP(-L6/10))+PREV_FEMALE*(1-PREV_SMOKE)*$R6*(1-EXP(-M6/10))+(1-PREV_FEMALE)*PREV_SMOKE*(1-$S6)*(1-EXP(-N6/10))+(1-PREV_FEMALE)*PREV_SMOKE*$S6*(1-EXP(-O6/10))+(1-PREV_FEMALE)*(1-PREV_SMOKE)*(1-$S6)*(1-EXP(-P6/10))+(1-PREV_FEMALE)*(1-PREV_SMOKE)*$S6*(1-EXP(-Q6/10))</f>
        <v>7.447904389073173E-3</v>
      </c>
      <c r="U6">
        <f t="shared" si="29"/>
        <v>0.1933962723629844</v>
      </c>
      <c r="V6">
        <f t="shared" si="30"/>
        <v>0.25992037381079003</v>
      </c>
      <c r="W6">
        <f t="shared" si="31"/>
        <v>9.6739417911477887E-2</v>
      </c>
      <c r="X6">
        <f t="shared" si="32"/>
        <v>0.13280539257242241</v>
      </c>
      <c r="Y6">
        <f t="shared" si="33"/>
        <v>0.31421449915065058</v>
      </c>
      <c r="Z6">
        <f t="shared" si="34"/>
        <v>0.41313814643223368</v>
      </c>
      <c r="AA6">
        <f t="shared" si="35"/>
        <v>0.16934124073777579</v>
      </c>
      <c r="AB6">
        <f t="shared" si="36"/>
        <v>0.23061255392194313</v>
      </c>
      <c r="AC6">
        <f>PREV_FEMALE*PREV_SMOKE*(1-$R6)*(1-EXP(-U6/10))+PREV_FEMALE*PREV_SMOKE*$R6*(1-EXP(-V6/10))+PREV_FEMALE*(1-PREV_SMOKE)*(1-$R6)*(1-EXP(-W6/10))+PREV_FEMALE*(1-PREV_SMOKE)*$R6*(1-EXP(-X6/10))+(1-PREV_FEMALE)*PREV_SMOKE*(1-$S6)*(1-EXP(-Y6/10))+(1-PREV_FEMALE)*PREV_SMOKE*$S6*(1-EXP(-Z6/10))+(1-PREV_FEMALE)*(1-PREV_SMOKE)*(1-$S6)*(1-EXP(-AA6/10))+(1-PREV_FEMALE)*(1-PREV_SMOKE)*$S6*(1-EXP(-AB6/10))</f>
        <v>1.4243489117378367E-2</v>
      </c>
      <c r="AD6">
        <f t="shared" si="37"/>
        <v>0.78806144017146251</v>
      </c>
      <c r="AE6">
        <f t="shared" si="6"/>
        <v>8.7349516035674021E-3</v>
      </c>
      <c r="AF6">
        <f t="shared" si="7"/>
        <v>1.4345085290625649E-3</v>
      </c>
      <c r="AG6">
        <f t="shared" si="8"/>
        <v>1.9019450382920977E-3</v>
      </c>
      <c r="AH6">
        <f t="shared" si="9"/>
        <v>1.1307381803411776E-3</v>
      </c>
      <c r="AI6">
        <f t="shared" si="10"/>
        <v>1.6836011444124766E-3</v>
      </c>
      <c r="AJ6">
        <f t="shared" si="11"/>
        <v>3.0443905068026849E-6</v>
      </c>
      <c r="AK6">
        <f t="shared" si="12"/>
        <v>2.9329104554602199E-6</v>
      </c>
      <c r="AL6">
        <f t="shared" si="13"/>
        <v>2.0100305056036408E-6</v>
      </c>
      <c r="AM6">
        <f t="shared" si="14"/>
        <v>1.5921576476679274E-4</v>
      </c>
      <c r="AN6">
        <f t="shared" si="15"/>
        <v>2.4348965033009151E-4</v>
      </c>
      <c r="AO6">
        <f t="shared" si="16"/>
        <v>3.861608358838762E-7</v>
      </c>
      <c r="AP6">
        <f>AM5*T5*p_Stroke*p_Stroke_rec*(1-I5) + AN5*T5*p_Stroke*p_Stroke_rec*(1-I5) + AO5*(p_recur_Stroke*p_Stroke_rec)*(1-I5) + AP5*(p_recur_Stroke*p_Stroke_rec)*(1-I5) + AQ5*(p_recur_Stroke*p_Stroke_rec)*(1-I5)</f>
        <v>3.992785467545094E-7</v>
      </c>
      <c r="AQ6">
        <f>AO5*(1-p_recur_Stroke-H5*rr_Stroke*rr_HF)*(1-I5) + AP5*(1-p_recur_Stroke-H5*rr_Stroke*rr_HF)*(1-I5) + AQ5*(1-p_recur_Stroke-H5*rr_Stroke*rr_HF)*(1-I5)</f>
        <v>2.6970378663317609E-7</v>
      </c>
      <c r="AR6">
        <f>AR5*(1-AC5-H5*rr_DM) + AD5*(1-T5-H5)*I5</f>
        <v>0.13223334307873538</v>
      </c>
      <c r="AS6">
        <f>AR5*AC5*p_Other + AD5*T5*p_Other*I5 + AE5*(1-T5*p_Stroke-T5*p_MI-H5*rr_Other)*I5 + AS5*(1-AC5*p_Stroke-AC5*p_MI-H5*rr_Other*rr_DM)</f>
        <v>1.9852708283452352E-3</v>
      </c>
      <c r="AT6">
        <f>AR5*AC5*p_Stroke*p_Stroke_rec + AD5*T5*p_Stroke*p_Stroke_rec*I5 + AE5*T5*p_Stroke*p_Stroke_rec*I5 + AF5*p_recur_Stroke*p_Stroke_rec*I5 + AG5*p_recur_Stroke*p_Stroke_rec*I5 + AS5*AC5*p_Stroke*p_Stroke_rec + AT5*p_recur_Stroke*p_Stroke_rec + AU5*p_recur_Stroke*p_Stroke_rec</f>
        <v>3.8005378850609981E-4</v>
      </c>
      <c r="AU6">
        <f>AF5*(1-p_recur_Stroke-T5*p_MI-H5*rr_Stroke)*I5 + AG5*(1-p_recur_Stroke-T5*p_MI-H5*rr_Stroke)*I5 + AT5*(1-p_recur_Stroke-AC5*p_MI-H5*rr_Stroke*rr_DM) + AU5*(1-p_recur_Stroke-AC5*p_MI-H5*rr_Stroke*rr_DM)</f>
        <v>3.8095161066810965E-4</v>
      </c>
      <c r="AV6">
        <f>AR5*AC5*p_MI*p_MI_rec_young + AD5*T5*p_MI*p_MI_rec_young*I5 + AE5*T5*p_MI*p_MI_rec_young*I5 +AH5*(PREV_FEMALE*p_recur_MI_F + (1-PREV_FEMALE)*p_recur_MI_M)*p_MI_rec_young*I5 + AI5*(PREV_FEMALE*p_recur_MI_F + (1-PREV_FEMALE)*p_recur_MI_M)*p_MI_rec_young*I5 + AS5*AC5*p_MI*p_MI_rec_young + AV5*(PREV_FEMALE*p_recur_MI_F + (1-PREV_FEMALE)*p_recur_MI_M)*p_MI_rec_young + AW5*(PREV_FEMALE*p_recur_MI_F + (1-PREV_FEMALE)*p_recur_MI_M)*p_MI_rec_young</f>
        <v>3.0557498969780898E-4</v>
      </c>
      <c r="AW6">
        <f>AH5*(1-(PREV_FEMALE*p_recur_MI_F + (1-PREV_FEMALE)*p_recur_MI_M) - T5*p_Stroke - p_toHF_young - H5*rr_MI)*I5 + AI5*(1-(PREV_FEMALE*p_recur_MI_F + (1-PREV_FEMALE)*p_recur_MI_M) - T5*p_Stroke - p_toHF_young - H5*rr_MI)*I5 + AV5*(1-(PREV_FEMALE*p_recur_MI_F + (1-PREV_FEMALE)*p_recur_MI_M) - AC5*p_Stroke - p_toHF_young - H5*rr_MI*rr_DM) + AW5*(1-(PREV_FEMALE*p_recur_MI_F + (1-PREV_FEMALE)*p_recur_MI_M) - AC5*p_Stroke - p_toHF_young - H5*rr_MI*rr_DM)</f>
        <v>3.3774724592940906E-4</v>
      </c>
      <c r="AX6">
        <f>AH5*T5*p_Stroke*p_Stroke_rec*I5 + AI5*T5*p_Stroke*p_Stroke_rec*I5 + AJ5*p_recur_Stroke*p_Stroke_rec*I5 + AK5*p_recur_Stroke*p_Stroke_rec*I5 + AL5*p_recur_Stroke*p_Stroke_rec*I5 + AV5*AC5*p_Stroke*p_Stroke_rec + AW5*AC5*p_Stroke*p_Stroke_rec + AX5*p_recur_Stroke*p_Stroke_rec + AY5*p_recur_Stroke*p_Stroke_rec + AZ5*p_recur_Stroke*p_Stroke_rec</f>
        <v>1.0026337795000114E-6</v>
      </c>
      <c r="AY6">
        <f>AF5*T5*p_MI*p_MI_rec_young*I5 + AG5*T5*p_MI*p_MI_rec_young*I5 + AJ5*(PREV_FEMALE*p_recur_MI_F+(1-PREV_FEMALE)*p_recur_MI_M)*p_MI_rec_young*I5 + AK5*(PREV_FEMALE*p_recur_MI_F+(1-PREV_FEMALE)*p_recur_MI_M)*p_MI_rec_young*I5 + AL5*(PREV_FEMALE*p_recur_MI_F+(1-PREV_FEMALE)*p_recur_MI_M)*p_MI_rec_young*I5 + AT5*AC5*p_MI*p_MI_rec_young + AU5*AC5*p_MI*p_MI_rec_young + AX5*(PREV_FEMALE*p_recur_MI_F+(1-PREV_FEMALE)*p_recur_MI_M)*p_MI_rec_young + AY5*(PREV_FEMALE*p_recur_MI_F+(1-PREV_FEMALE)*p_recur_MI_M)*p_MI_rec_young + AZ5*(PREV_FEMALE*p_recur_MI_F+(1-PREV_FEMALE)*p_recur_MI_M)*p_MI_rec_young</f>
        <v>9.776283413031683E-7</v>
      </c>
      <c r="AZ6">
        <f>AJ5*(1-p_recur_Stroke-(PREV_FEMALE*p_recur_MI_F + (1-PREV_FEMALE)*p_recur_MI_M) - p_toHF_young - H5*rr_MI*rr_Stroke)*I5 + AK5*(1-p_recur_Stroke-(PREV_FEMALE*p_recur_MI_F + (1-PREV_FEMALE)*p_recur_MI_M) - p_toHF_young - H5*rr_MI*rr_Stroke)*I5 + AL5*(1-p_recur_Stroke-(PREV_FEMALE*p_recur_MI_F + (1-PREV_FEMALE)*p_recur_MI_M) - p_toHF_young - H5*rr_MI*rr_Stroke)*I5 + AX5*(1-p_recur_Stroke-(PREV_FEMALE*p_recur_MI_F + (1-PREV_FEMALE)*p_recur_MI_M) - p_toHF_young - H5*rr_MI*rr_Stroke*rr_DM) + AY5*(1-p_recur_Stroke-(PREV_FEMALE*p_recur_MI_F + (1-PREV_FEMALE)*p_recur_MI_M) - p_toHF_young - H5*rr_MI*rr_Stroke*rr_DM) + AZ5*(1-p_recur_Stroke-(PREV_FEMALE*p_recur_MI_F + (1-PREV_FEMALE)*p_recur_MI_M) - p_toHF_young - H5*rr_MI*rr_Stroke*rr_DM)</f>
        <v>4.6228783409143554E-7</v>
      </c>
      <c r="BA6">
        <f>AR5*AC5*p_MI*p_MI_HF_young + AD5*T5*p_MI*p_MI_HF_young*I5 + AE5*T5*p_MI*p_MI_HF_young*I5 + AH5*p_toHF_young*I5 + AH5*(PREV_FEMALE*p_recur_MI_F + (1-PREV_FEMALE)*p_recur_MI_M)*p_MI_HF_young*I5 + AI5*p_toHF_young*I5 + AI5*(PREV_FEMALE*p_recur_MI_F + (1-PREV_FEMALE)*p_recur_MI_M)*p_MI_HF_young*I5 + AS5*AC5*p_MI*p_MI_HF_young + AV5*(PREV_FEMALE*p_recur_MI_F + (1-PREV_FEMALE)*p_recur_MI_M)*p_MI_HF_young + AV5*p_toHF_young + AW5*(PREV_FEMALE*p_recur_MI_F + (1-PREV_FEMALE)*p_recur_MI_M)*p_MI_HF_young + AW5*p_toHF_young</f>
        <v>4.148565804644718E-5</v>
      </c>
      <c r="BB6">
        <f>AM5*(1-T5*p_Stroke - H5*rr_HF)*I5 + AN5*(1-T5*p_Stroke - H5*rr_HF)*I5 + BA5*(1-AC5*p_Stroke - H5*rr_HF*rr_DM) + BB5*(1-AC5*p_Stroke - H5*rr_HF*rr_DM)</f>
        <v>4.8201392301244334E-5</v>
      </c>
      <c r="BC6">
        <f>AF5*T5*p_MI*p_MI_HF_young*I5 + AG5*T5*p_MI*p_MI_HF_young*I5 + AJ5*(PREV_FEMALE*p_recur_MI_F + (1-PREV_FEMALE)*p_recur_MI_M)*p_MI_HF_young*I5 + AJ5*p_toHF_young*I5 + AK5*(PREV_FEMALE*p_recur_MI_F + (1-PREV_FEMALE)*p_recur_MI_M)*p_MI_HF_young*I5 + AK5*p_toHF_young*I5 + AL5*(PREV_FEMALE*p_recur_MI_F + (1-PREV_FEMALE)*p_recur_MI_M)*p_MI_HF_young*I5 + AL5*p_toHF_young*I5 + AT5*AC5*p_MI*p_MI_HF_young + AU5*AC5*p_MI*p_MI_HF_young + AX5*(PREV_FEMALE*p_recur_MI_F + (1-PREV_FEMALE)*p_recur_MI_M)*p_MI_HF_young + AX5*p_toHF_young + AY5*(PREV_FEMALE*p_recur_MI_F + (1-PREV_FEMALE)*p_recur_MI_M)*p_MI_HF_young + AY5*p_toHF_young + AZ5*(PREV_FEMALE*p_recur_MI_F + (1-PREV_FEMALE)*p_recur_MI_M)*p_MI_HF_young + AZ5*p_toHF_young</f>
        <v>1.2554060111172789E-7</v>
      </c>
      <c r="BD6">
        <f>AM5*T5*p_Stroke*p_Stroke_rec*I5 + AN5*T5*p_Stroke*p_Stroke_rec*I5 + AO5*(p_recur_Stroke*p_Stroke_rec)*I5 + AP5*(p_recur_Stroke*p_Stroke_rec)*I5 + AQ5*(p_recur_Stroke*p_Stroke_rec)*I5 + BA5*AC5*p_Stroke*p_Stroke_rec + BB5*AC5*p_Stroke*p_Stroke_rec + BC5*(p_recur_Stroke*p_Stroke_rec) + BD5*(p_recur_Stroke*p_Stroke_rec) + BE5*(p_recur_Stroke*p_Stroke_rec)</f>
        <v>1.2993918162455827E-7</v>
      </c>
      <c r="BE6">
        <f>AO5*(1-p_recur_Stroke - H5*rr_Stroke*rr_HF)*I5 + AP5*(1-p_recur_Stroke-H5*rr_Stroke*rr_HF)*I5 + AQ5*(1-p_recur_Stroke-H5*rr_Stroke*rr_HF)*I5 + BC5*(1-p_recur_Stroke - H5*rr_Stroke*rr_HF*rr_DM) + BD5*(1-p_recur_Stroke-H5*rr_Stroke*rr_HF*rr_DM) + BE5*(1-p_recur_Stroke-H5*rr_Stroke*rr_HF*rr_DM)</f>
        <v>6.2024385007915173E-8</v>
      </c>
      <c r="BF6">
        <f>AD5*H5 + AE5*H5*rr_Other + AF5*H5*rr_Stroke + AG5*H5*rr_Stroke + AH5*H5*rr_MI + AI5*H5*rr_MI + AJ5*H5*rr_Stroke*rr_MI + AK5*H5*rr_Stroke*rr_MI + AL5*H5*rr_Stroke*rr_MI + AM5*H5*rr_HF + AN5*H5*rr_HF + AO5*H5*rr_Stroke*rr_HF + AP5*H5*rr_Stroke*rr_HF + AR5*H5*rr_DM + AS5*H5*rr_DM*rr_Other + AT5*H5*rr_DM*rr_Stroke + AU5*H5*rr_DM*rr_Stroke + AV5*H5*rr_DM*rr_MI + AW5*H5*rr_DM*rr_MI + AX5*H5*rr_DM*rr_Stroke*rr_MI + AY5*H5*rr_DM*rr_Stroke*rr_MI + AZ5*H5*rr_DM*rr_Stroke*rr_MI + BA5*H5*rr_DM*rr_HF + BB5*H5*rr_DM*rr_HF + BC5*H5*rr_DM*rr_Stroke*rr_HF + BD5*H5*rr_DM*rr_Stroke*rr_HF + AQ5*H5*rr_Stroke*rr_HF + BE5*H5*rr_DM*rr_Stroke*rr_HF
+ AD5*T5*p_MI*p_MI_mort + AD5*T5*p_Stroke*p_Stroke_mort + AE5*T5*p_MI*p_MI_mort + AE5*T5*p_Stroke*p_Stroke_mort + AF5*T5*p_MI*p_MI_mort + AF5*p_recur_Stroke*p_Stroke_mort + AG5*T5*p_MI*p_MI_mort + AG5*p_recur_Stroke*p_Stroke_mort + AH5*(PREV_FEMALE*p_recur_MI_F + (1-PREV_FEMALE)*p_recur_MI_M)*p_MI_mort + AH5*T5*p_Stroke*p_Stroke_mort + AI5*(PREV_FEMALE*p_recur_MI_F + (1-PREV_FEMALE)*p_recur_MI_M)*p_MI_mort + AI5*T5*p_Stroke*p_Stroke_mort + AJ5*(PREV_FEMALE*p_recur_MI_F + (1-PREV_FEMALE)*p_recur_MI_M)*p_MI_mort + AJ5*p_recur_Stroke*p_Stroke_mort + AK5*(PREV_FEMALE*p_recur_MI_F + (1-PREV_FEMALE)*p_recur_MI_M)*p_MI_mort + AK5*p_recur_Stroke*p_Stroke_mort + AL5*(PREV_FEMALE*p_recur_MI_F + (1-PREV_FEMALE)*p_recur_MI_M)*p_MI_mort + AL5*p_recur_Stroke*p_Stroke_mort + AM5*T5*p_Stroke*p_Stroke_mort + AN5*T5*p_Stroke*p_Stroke_mort + AO5*p_recur_Stroke*p_Stroke_mort + AP5*p_recur_Stroke*p_Stroke_mort + AQ5*p_recur_Stroke*p_Stroke_mort
+ AR5*AC5*p_MI*p_MI_mort + AR5*AC5*p_Stroke*p_Stroke_mort + AS5*AC5*p_MI*p_MI_mort + AS5*AC5*p_Stroke*p_Stroke_mort + AT5*AC5*p_MI*p_MI_mort + AT5*p_recur_Stroke*p_Stroke_mort + AU5*AC5*p_MI*p_MI_mort + AU5*p_recur_Stroke*p_Stroke_mort + AV5*(PREV_FEMALE*p_recur_MI_F + (1-PREV_FEMALE)*p_recur_MI_M)*p_MI_mort + AV5*AC5*p_Stroke*p_Stroke_mort + AW5*(PREV_FEMALE*p_recur_MI_F + (1-PREV_FEMALE)*p_recur_MI_M)*p_MI_mort + AW5*AC5*p_Stroke*p_Stroke_mort + AX5*(PREV_FEMALE*p_recur_MI_F + (1-PREV_FEMALE)*p_recur_MI_M)*p_MI_mort + AX5*p_recur_Stroke*p_Stroke_mort + AY5*(PREV_FEMALE*p_recur_MI_F + (1-PREV_FEMALE)*p_recur_MI_M)*p_MI_mort + AY5*p_recur_Stroke*p_Stroke_mort + AZ5*(PREV_FEMALE*p_recur_MI_F + (1-PREV_FEMALE)*p_recur_MI_M)*p_MI_mort + AZ5*p_recur_Stroke*p_Stroke_mort + BA5*AC5*p_Stroke*p_Stroke_mort + BB5*AC5*p_Stroke*p_Stroke_mort + BC5*p_recur_Stroke*p_Stroke_mort + BD5*p_recur_Stroke*p_Stroke_mort + BE5*p_recur_Stroke*p_Stroke_mort
+BF5</f>
        <v>7.9256787967754011E-3</v>
      </c>
      <c r="BG6">
        <f t="shared" si="17"/>
        <v>0.94699999999999984</v>
      </c>
      <c r="BH6">
        <f>(0.9442 - 0.0007*$B6 - dis_BMI*($C6-21.75))*AD6</f>
        <v>0.67989480630242416</v>
      </c>
      <c r="BI6">
        <f>0.959*(0.9442 - 0.0007*$B6 - dis_BMI*($C6-21.75))*AE6</f>
        <v>7.2270449496400083E-3</v>
      </c>
      <c r="BJ6">
        <f>(0.943*(0.9442 - 0.0007*$B6 - dis_BMI*($C6-21.75)) - 0.19*0.5)*AF6</f>
        <v>1.0307905277870237E-3</v>
      </c>
      <c r="BK6">
        <f>(0.943*(0.9442 - 0.0007*$B6 - dis_BMI*($C6-21.75)))*AG6</f>
        <v>1.5473597687991471E-3</v>
      </c>
      <c r="BL6">
        <f>(0.955*(0.9442 - 0.0007*$B6 - dis_BMI*($C6-21.75)) - 0.15*0.5)*AH6</f>
        <v>8.4683237809199125E-4</v>
      </c>
      <c r="BM6">
        <f>(0.955*(0.9442 - 0.0007*$B6 - dis_BMI*($C6-21.75)))*AI6</f>
        <v>1.3871525656734671E-3</v>
      </c>
      <c r="BN6">
        <f>(0.955*0.943*(0.9442 - 0.0007*$B6 - dis_BMI*($C6-21.75)) - 0.19*0.5)*AJ6</f>
        <v>2.0761419251602225E-6</v>
      </c>
      <c r="BO6">
        <f>(0.955*0.943*(0.9442 - 0.0007*$B6 - dis_BMI*($C6-21.75)) - 0.15*0.5)*AK6</f>
        <v>2.0587755875189578E-6</v>
      </c>
      <c r="BP6">
        <f>(0.955*0.943*(0.9442 - 0.0007*$B6 - dis_BMI*($C6-21.75)))*AL6</f>
        <v>1.5617062866695507E-6</v>
      </c>
      <c r="BQ6">
        <f>(0.93*(0.9442 - 0.0007*$B6 - dis_BMI*($C6-21.75)))*AM6</f>
        <v>1.277469857125078E-4</v>
      </c>
      <c r="BR6">
        <f>(0.93*(0.9442 - 0.0007*$B6 - dis_BMI*($C6-21.75)))*AN6</f>
        <v>1.9536425257525271E-4</v>
      </c>
      <c r="BS6">
        <f>(0.93*0.943*(0.9442 - 0.0007*$B6 - dis_BMI*($C6-21.75)))*AO6</f>
        <v>2.9217598228300487E-7</v>
      </c>
      <c r="BT6">
        <f>(0.93*0.943*(0.9442 - 0.0007*$B6 - dis_BMI*($C6-21.75))-0.19*0.5)*AP6</f>
        <v>2.6416960777324888E-7</v>
      </c>
      <c r="BU6">
        <f>(0.93*0.943*(0.9442 - 0.0007*$B6 - dis_BMI*($C6-21.75)))*AQ6</f>
        <v>2.0406256011081013E-7</v>
      </c>
      <c r="BV6">
        <f>0.962*(0.9442 - 0.0007*$B6 - dis_BMI*($C6-21.75))*AR6</f>
        <v>0.10974827312907229</v>
      </c>
      <c r="BW6">
        <f>0.962*0.959*(0.9442 - 0.0007*$B6 - dis_BMI*($C6-21.75))*AS6</f>
        <v>1.5801382494785654E-3</v>
      </c>
      <c r="BX6">
        <f>0.962*(0.943*(0.9442 - 0.0007*$B6 - dis_BMI*($C6-21.75)) - 0.19*0.5)*AT6</f>
        <v>2.6271654401996273E-4</v>
      </c>
      <c r="BY6">
        <f>0.962*(0.943*(0.9442 - 0.0007*$B6 - dis_BMI*($C6-21.75)))*AU6</f>
        <v>2.9815234159469468E-4</v>
      </c>
      <c r="BZ6">
        <f>0.962*(0.955*(0.9442 - 0.0007*$B6 - dis_BMI*($C6-21.75)) - 0.15*0.5)*AV6</f>
        <v>2.2015485929562632E-4</v>
      </c>
      <c r="CA6">
        <f>0.962*(0.955*(0.9442 - 0.0007*$B6 - dis_BMI*($C6-21.75)))*AW6</f>
        <v>2.6770217863286363E-4</v>
      </c>
      <c r="CB6">
        <f>0.962*(0.955*0.943*(0.9442 - 0.0007*$B6 - dis_BMI*($C6-21.75)) - 0.19*0.5)*AX6</f>
        <v>6.5777003303930689E-7</v>
      </c>
      <c r="CC6">
        <f>0.962*(0.955*0.943*(0.9442 - 0.0007*$B6 - dis_BMI*($C6-21.75)) - 0.15*0.5)*AY6</f>
        <v>6.6017498057355706E-7</v>
      </c>
      <c r="CD6">
        <f>0.962*(0.955*0.943*(0.9442 - 0.0007*$B6 - dis_BMI*($C6-21.75)))*AZ6</f>
        <v>3.4552879559721653E-7</v>
      </c>
      <c r="CE6">
        <f>0.962*(0.93*(0.9442 - 0.0007*$B6 - dis_BMI*($C6-21.75)))*BA6</f>
        <v>3.2021203416025903E-5</v>
      </c>
      <c r="CF6">
        <f>0.962*(0.93*(0.9442 - 0.0007*$B6 - dis_BMI*($C6-21.75)))*BB6</f>
        <v>3.7204823558198124E-5</v>
      </c>
      <c r="CG6">
        <f>0.962*(0.93*0.943*(0.9442 - 0.0007*$B6 - dis_BMI*($C6-21.75)))*BC6</f>
        <v>9.1376719559082149E-8</v>
      </c>
      <c r="CH6">
        <f>0.962*(0.93*0.943*(0.9442 - 0.0007*$B6 - dis_BMI*($C6-21.75))-0.19*0.5)*BD6</f>
        <v>8.2703154407046473E-8</v>
      </c>
      <c r="CI6">
        <f>0.962*(0.93*0.943*(0.9442 - 0.0007*$B6 - dis_BMI*($C6-21.75)))*BE6</f>
        <v>4.5145433306064867E-8</v>
      </c>
      <c r="CJ6">
        <f t="shared" si="18"/>
        <v>0</v>
      </c>
      <c r="CK6">
        <f t="shared" si="19"/>
        <v>0.80471180079083759</v>
      </c>
      <c r="CL6">
        <f>CK6/(1+r_)^A6</f>
        <v>0.73642529267679635</v>
      </c>
      <c r="CM6">
        <f>AD6*c_BN_2</f>
        <v>1650.988717159214</v>
      </c>
      <c r="CN6">
        <f>AE6*(c_Other+c_BN_2)</f>
        <v>143.02609755681263</v>
      </c>
      <c r="CO6">
        <f>AF6*(c_Stroke1+c_Stroke2+c_BN_2)</f>
        <v>37.169550496540118</v>
      </c>
      <c r="CP6">
        <f>AG6*(c_Stroke2 + c_BN_2)</f>
        <v>16.34721760412058</v>
      </c>
      <c r="CQ6">
        <f>AH6*(c_MI1+c_MI2 + c_BN_2)</f>
        <v>35.331045182940436</v>
      </c>
      <c r="CR6">
        <f>AI6*(c_MI2+c_BN_2)</f>
        <v>8.7749291646778289</v>
      </c>
      <c r="CS6">
        <f>AJ6*(c_Stroke1+c_Stroke2+c_MI2+c_BN_2)</f>
        <v>8.8372567631468335E-2</v>
      </c>
      <c r="CT6">
        <f>AK6*(c_Stroke2+c_MI1+c_MI2+c_BN_2)</f>
        <v>0.11070563805180146</v>
      </c>
      <c r="CU6">
        <f>AL6*(c_Stroke2+c_MI2+c_BN_2)</f>
        <v>2.3541477281629843E-2</v>
      </c>
      <c r="CV6">
        <f>AM6*(c_HF1+c_BN_2)</f>
        <v>4.637159148832839</v>
      </c>
      <c r="CW6">
        <f>AN6*(c_HF2+c_BN_2)</f>
        <v>4.3097668108426195</v>
      </c>
      <c r="CX6">
        <f>AO6*(c_Stroke2+c_HF1+c_BN_2)</f>
        <v>1.375697977836309E-2</v>
      </c>
      <c r="CY6">
        <f>AP6*(c_Stroke1+c_Stroke2+c_HF2+c_BN_2)</f>
        <v>1.6576448147060212E-2</v>
      </c>
      <c r="CZ6">
        <f>AQ6*(c_Stroke2+c_HF2+c_BN_2)</f>
        <v>6.5268316365228616E-3</v>
      </c>
      <c r="DA6">
        <f>AR6*(c_DM+c_BN_2)</f>
        <v>1787.7947984245025</v>
      </c>
      <c r="DB6">
        <f>AS6*(c_Other+c_DM+c_BN_2)</f>
        <v>55.188543757169192</v>
      </c>
      <c r="DC6">
        <f>AT6*(c_Stroke1+c_Stroke2+c_DM+c_BN_2)</f>
        <v>14.189688247663742</v>
      </c>
      <c r="DD6">
        <f>AU6*(c_Stroke2+c_DM+c_BN_2)</f>
        <v>7.6266512455755553</v>
      </c>
      <c r="DE6">
        <f>AV6*(c_MI1+c_MI2+c_DM+c_BN_2)</f>
        <v>13.039190385395207</v>
      </c>
      <c r="DF6">
        <f>AW6*(c_MI2+c_DM+c_BN_2)</f>
        <v>5.6191009305275781</v>
      </c>
      <c r="DG6">
        <f>AX6*(c_Stroke1+c_Stroke2+c_MI2+c_DM+c_BN_2)</f>
        <v>4.055954428211396E-2</v>
      </c>
      <c r="DH6">
        <f>AY6*(c_Stroke2+c_MI1+c_MI2+c_DM+c_BN_2)</f>
        <v>4.8070963170218091E-2</v>
      </c>
      <c r="DI6">
        <f>AZ6*(c_Stroke2+c_MI2+c_DM+c_BN_2)</f>
        <v>1.0695953617373544E-2</v>
      </c>
      <c r="DJ6">
        <f>BA6*(c_HF1+c_DM+c_BN_2)</f>
        <v>1.6822434337834331</v>
      </c>
      <c r="DK6">
        <f>BB6*(c_HF2+c_DM+c_BN_2)</f>
        <v>1.4038655507737412</v>
      </c>
      <c r="DL6">
        <f>BC6*(c_Stroke2+c_HF1+c_DM+c_BN_2)</f>
        <v>5.9066852823067969E-3</v>
      </c>
      <c r="DM6">
        <f>BD6*(c_Stroke1+c_Stroke2+c_HF2+c_DM+c_BN_2)</f>
        <v>6.8791102143857391E-3</v>
      </c>
      <c r="DN6">
        <f>BE6*(c_Stroke2+c_HF2+c_DM+c_BN_2)</f>
        <v>2.2096187159069782E-3</v>
      </c>
      <c r="DO6">
        <f t="shared" si="5"/>
        <v>0</v>
      </c>
      <c r="DP6">
        <f t="shared" si="38"/>
        <v>3787.5023669171806</v>
      </c>
      <c r="DQ6">
        <f>DP6/(1+r_)^A6</f>
        <v>3466.101200864608</v>
      </c>
    </row>
    <row r="7" spans="1:121" x14ac:dyDescent="0.3">
      <c r="A7">
        <v>4</v>
      </c>
      <c r="B7">
        <v>49</v>
      </c>
      <c r="C7">
        <f t="shared" si="39"/>
        <v>36.251999999999995</v>
      </c>
      <c r="D7">
        <f t="shared" si="1"/>
        <v>125</v>
      </c>
      <c r="E7">
        <f t="shared" si="40"/>
        <v>5.7</v>
      </c>
      <c r="F7">
        <v>2.7299999999999998E-3</v>
      </c>
      <c r="G7">
        <v>4.5100000000000001E-3</v>
      </c>
      <c r="H7">
        <f t="shared" si="3"/>
        <v>3.0859999999999993E-3</v>
      </c>
      <c r="I7">
        <f t="shared" si="20"/>
        <v>4.7655426853004217E-2</v>
      </c>
      <c r="J7">
        <f t="shared" si="21"/>
        <v>9.9184567579192584E-2</v>
      </c>
      <c r="K7">
        <f t="shared" si="22"/>
        <v>0.1360912883992127</v>
      </c>
      <c r="L7">
        <f t="shared" si="23"/>
        <v>4.8246136320450272E-2</v>
      </c>
      <c r="M7">
        <f t="shared" si="24"/>
        <v>6.6909097354810543E-2</v>
      </c>
      <c r="N7">
        <f t="shared" si="25"/>
        <v>0.21050020427842753</v>
      </c>
      <c r="O7">
        <f t="shared" si="26"/>
        <v>0.28392329755448975</v>
      </c>
      <c r="P7">
        <f t="shared" si="27"/>
        <v>0.10975718391652789</v>
      </c>
      <c r="Q7">
        <f t="shared" si="28"/>
        <v>0.15149181029003944</v>
      </c>
      <c r="R7">
        <f>IF(C7&lt;25, HT_f_low, IF(C7&lt;30, HT_f_mod, HT_f_high))</f>
        <v>0.42</v>
      </c>
      <c r="S7">
        <f>IF(C7&lt;25, HT_m_low, IF(C7&lt;30, HT_m_mod, HT_m_high))</f>
        <v>0.43099999999999999</v>
      </c>
      <c r="T7">
        <f>PREV_FEMALE*PREV_SMOKE*(1-$R7)*(1-EXP(-J7/10))+PREV_FEMALE*PREV_SMOKE*$R7*(1-EXP(-K7/10))+PREV_FEMALE*(1-PREV_SMOKE)*(1-$R7)*(1-EXP(-L7/10))+PREV_FEMALE*(1-PREV_SMOKE)*$R7*(1-EXP(-M7/10))+(1-PREV_FEMALE)*PREV_SMOKE*(1-$S7)*(1-EXP(-N7/10))+(1-PREV_FEMALE)*PREV_SMOKE*$S7*(1-EXP(-O7/10))+(1-PREV_FEMALE)*(1-PREV_SMOKE)*(1-$S7)*(1-EXP(-P7/10))+(1-PREV_FEMALE)*(1-PREV_SMOKE)*$S7*(1-EXP(-Q7/10))</f>
        <v>7.8736543604844677E-3</v>
      </c>
      <c r="U7">
        <f t="shared" si="29"/>
        <v>0.20333900620922118</v>
      </c>
      <c r="V7">
        <f t="shared" si="30"/>
        <v>0.27266504100557043</v>
      </c>
      <c r="W7">
        <f t="shared" si="31"/>
        <v>0.10202754635197453</v>
      </c>
      <c r="X7">
        <f t="shared" si="32"/>
        <v>0.13990731480371632</v>
      </c>
      <c r="Y7">
        <f t="shared" si="33"/>
        <v>0.33114992018711364</v>
      </c>
      <c r="Z7">
        <f t="shared" si="34"/>
        <v>0.43351096804074851</v>
      </c>
      <c r="AA7">
        <f t="shared" si="35"/>
        <v>0.17949551175869205</v>
      </c>
      <c r="AB7">
        <f t="shared" si="36"/>
        <v>0.24386846717489508</v>
      </c>
      <c r="AC7">
        <f>PREV_FEMALE*PREV_SMOKE*(1-$R7)*(1-EXP(-U7/10))+PREV_FEMALE*PREV_SMOKE*$R7*(1-EXP(-V7/10))+PREV_FEMALE*(1-PREV_SMOKE)*(1-$R7)*(1-EXP(-W7/10))+PREV_FEMALE*(1-PREV_SMOKE)*$R7*(1-EXP(-X7/10))+(1-PREV_FEMALE)*PREV_SMOKE*(1-$S7)*(1-EXP(-Y7/10))+(1-PREV_FEMALE)*PREV_SMOKE*$S7*(1-EXP(-Z7/10))+(1-PREV_FEMALE)*(1-PREV_SMOKE)*(1-$S7)*(1-EXP(-AA7/10))+(1-PREV_FEMALE)*(1-PREV_SMOKE)*$S7*(1-EXP(-AB7/10))</f>
        <v>1.5012057995420987E-2</v>
      </c>
      <c r="AD7">
        <f t="shared" si="37"/>
        <v>0.7427803984771979</v>
      </c>
      <c r="AE7">
        <f t="shared" si="6"/>
        <v>1.1320154222401162E-2</v>
      </c>
      <c r="AF7">
        <f t="shared" si="7"/>
        <v>1.5466808385833138E-3</v>
      </c>
      <c r="AG7">
        <f t="shared" si="8"/>
        <v>2.7626479615597541E-3</v>
      </c>
      <c r="AH7">
        <f t="shared" si="9"/>
        <v>1.1832791304843412E-3</v>
      </c>
      <c r="AI7">
        <f t="shared" si="10"/>
        <v>2.4328104118529204E-3</v>
      </c>
      <c r="AJ7">
        <f t="shared" si="11"/>
        <v>5.0637439251239831E-6</v>
      </c>
      <c r="AK7">
        <f t="shared" si="12"/>
        <v>4.7348924830884355E-6</v>
      </c>
      <c r="AL7">
        <f t="shared" si="13"/>
        <v>5.9318913940516333E-6</v>
      </c>
      <c r="AM7">
        <f t="shared" si="14"/>
        <v>1.7549429157171103E-4</v>
      </c>
      <c r="AN7">
        <f t="shared" si="15"/>
        <v>3.8087085293690861E-4</v>
      </c>
      <c r="AO7">
        <f t="shared" si="16"/>
        <v>6.6482199377150982E-7</v>
      </c>
      <c r="AP7">
        <f>AM6*T6*p_Stroke*p_Stroke_rec*(1-I6) + AN6*T6*p_Stroke*p_Stroke_rec*(1-I6) + AO6*(p_recur_Stroke*p_Stroke_rec)*(1-I6) + AP6*(p_recur_Stroke*p_Stroke_rec)*(1-I6) + AQ6*(p_recur_Stroke*p_Stroke_rec)*(1-I6)</f>
        <v>7.153461065781395E-7</v>
      </c>
      <c r="AQ7">
        <f>AO6*(1-p_recur_Stroke-H6*rr_Stroke*rr_HF)*(1-I6) + AP6*(1-p_recur_Stroke-H6*rr_Stroke*rr_HF)*(1-I6) + AQ6*(1-p_recur_Stroke-H6*rr_Stroke*rr_HF)*(1-I6)</f>
        <v>8.6798537223533209E-7</v>
      </c>
      <c r="AR7">
        <f>AR6*(1-AC6-H6*rr_DM) + AD6*(1-T6-H6)*I6</f>
        <v>0.1670859049635007</v>
      </c>
      <c r="AS7">
        <f>AR6*AC6*p_Other + AD6*T6*p_Other*I6 + AE6*(1-T6*p_Stroke-T6*p_MI-H6*rr_Other)*I6 + AS6*(1-AC6*p_Stroke-AC6*p_MI-H6*rr_Other*rr_DM)</f>
        <v>3.5625677284051513E-3</v>
      </c>
      <c r="AT7">
        <f>AR6*AC6*p_Stroke*p_Stroke_rec + AD6*T6*p_Stroke*p_Stroke_rec*I6 + AE6*T6*p_Stroke*p_Stroke_rec*I6 + AF6*p_recur_Stroke*p_Stroke_rec*I6 + AG6*p_recur_Stroke*p_Stroke_rec*I6 + AS6*AC6*p_Stroke*p_Stroke_rec + AT6*p_recur_Stroke*p_Stroke_rec + AU6*p_recur_Stroke*p_Stroke_rec</f>
        <v>5.6593554796467369E-4</v>
      </c>
      <c r="AU7">
        <f>AF6*(1-p_recur_Stroke-T6*p_MI-H6*rr_Stroke)*I6 + AG6*(1-p_recur_Stroke-T6*p_MI-H6*rr_Stroke)*I6 + AT6*(1-p_recur_Stroke-AC6*p_MI-H6*rr_Stroke*rr_DM) + AU6*(1-p_recur_Stroke-AC6*p_MI-H6*rr_Stroke*rr_DM)</f>
        <v>7.9774742228591133E-4</v>
      </c>
      <c r="AV7">
        <f>AR6*AC6*p_MI*p_MI_rec_young + AD6*T6*p_MI*p_MI_rec_young*I6 + AE6*T6*p_MI*p_MI_rec_young*I6 +AH6*(PREV_FEMALE*p_recur_MI_F + (1-PREV_FEMALE)*p_recur_MI_M)*p_MI_rec_young*I6 + AI6*(PREV_FEMALE*p_recur_MI_F + (1-PREV_FEMALE)*p_recur_MI_M)*p_MI_rec_young*I6 + AS6*AC6*p_MI*p_MI_rec_young + AV6*(PREV_FEMALE*p_recur_MI_F + (1-PREV_FEMALE)*p_recur_MI_M)*p_MI_rec_young + AW6*(PREV_FEMALE*p_recur_MI_F + (1-PREV_FEMALE)*p_recur_MI_M)*p_MI_rec_young</f>
        <v>4.4346005759235852E-4</v>
      </c>
      <c r="AW7">
        <f>AH6*(1-(PREV_FEMALE*p_recur_MI_F + (1-PREV_FEMALE)*p_recur_MI_M) - T6*p_Stroke - p_toHF_young - H6*rr_MI)*I6 + AI6*(1-(PREV_FEMALE*p_recur_MI_F + (1-PREV_FEMALE)*p_recur_MI_M) - T6*p_Stroke - p_toHF_young - H6*rr_MI)*I6 + AV6*(1-(PREV_FEMALE*p_recur_MI_F + (1-PREV_FEMALE)*p_recur_MI_M) - AC6*p_Stroke - p_toHF_young - H6*rr_MI*rr_DM) + AW6*(1-(PREV_FEMALE*p_recur_MI_F + (1-PREV_FEMALE)*p_recur_MI_M) - AC6*p_Stroke - p_toHF_young - H6*rr_MI*rr_DM)</f>
        <v>7.0423602926085135E-4</v>
      </c>
      <c r="AX7">
        <f>AH6*T6*p_Stroke*p_Stroke_rec*I6 + AI6*T6*p_Stroke*p_Stroke_rec*I6 + AJ6*p_recur_Stroke*p_Stroke_rec*I6 + AK6*p_recur_Stroke*p_Stroke_rec*I6 + AL6*p_recur_Stroke*p_Stroke_rec*I6 + AV6*AC6*p_Stroke*p_Stroke_rec + AW6*AC6*p_Stroke*p_Stroke_rec + AX6*p_recur_Stroke*p_Stroke_rec + AY6*p_recur_Stroke*p_Stroke_rec + AZ6*p_recur_Stroke*p_Stroke_rec</f>
        <v>2.4619710464754588E-6</v>
      </c>
      <c r="AY7">
        <f>AF6*T6*p_MI*p_MI_rec_young*I6 + AG6*T6*p_MI*p_MI_rec_young*I6 + AJ6*(PREV_FEMALE*p_recur_MI_F+(1-PREV_FEMALE)*p_recur_MI_M)*p_MI_rec_young*I6 + AK6*(PREV_FEMALE*p_recur_MI_F+(1-PREV_FEMALE)*p_recur_MI_M)*p_MI_rec_young*I6 + AL6*(PREV_FEMALE*p_recur_MI_F+(1-PREV_FEMALE)*p_recur_MI_M)*p_MI_rec_young*I6 + AT6*AC6*p_MI*p_MI_rec_young + AU6*AC6*p_MI*p_MI_rec_young + AX6*(PREV_FEMALE*p_recur_MI_F+(1-PREV_FEMALE)*p_recur_MI_M)*p_MI_rec_young + AY6*(PREV_FEMALE*p_recur_MI_F+(1-PREV_FEMALE)*p_recur_MI_M)*p_MI_rec_young + AZ6*(PREV_FEMALE*p_recur_MI_F+(1-PREV_FEMALE)*p_recur_MI_M)*p_MI_rec_young</f>
        <v>2.3423108829273845E-6</v>
      </c>
      <c r="AZ7">
        <f>AJ6*(1-p_recur_Stroke-(PREV_FEMALE*p_recur_MI_F + (1-PREV_FEMALE)*p_recur_MI_M) - p_toHF_young - H6*rr_MI*rr_Stroke)*I6 + AK6*(1-p_recur_Stroke-(PREV_FEMALE*p_recur_MI_F + (1-PREV_FEMALE)*p_recur_MI_M) - p_toHF_young - H6*rr_MI*rr_Stroke)*I6 + AL6*(1-p_recur_Stroke-(PREV_FEMALE*p_recur_MI_F + (1-PREV_FEMALE)*p_recur_MI_M) - p_toHF_young - H6*rr_MI*rr_Stroke)*I6 + AX6*(1-p_recur_Stroke-(PREV_FEMALE*p_recur_MI_F + (1-PREV_FEMALE)*p_recur_MI_M) - p_toHF_young - H6*rr_MI*rr_Stroke*rr_DM) + AY6*(1-p_recur_Stroke-(PREV_FEMALE*p_recur_MI_F + (1-PREV_FEMALE)*p_recur_MI_M) - p_toHF_young - H6*rr_MI*rr_Stroke*rr_DM) + AZ6*(1-p_recur_Stroke-(PREV_FEMALE*p_recur_MI_F + (1-PREV_FEMALE)*p_recur_MI_M) - p_toHF_young - H6*rr_MI*rr_Stroke*rr_DM)</f>
        <v>2.1964382806777693E-6</v>
      </c>
      <c r="BA7">
        <f>AR6*AC6*p_MI*p_MI_HF_young + AD6*T6*p_MI*p_MI_HF_young*I6 + AE6*T6*p_MI*p_MI_HF_young*I6 + AH6*p_toHF_young*I6 + AH6*(PREV_FEMALE*p_recur_MI_F + (1-PREV_FEMALE)*p_recur_MI_M)*p_MI_HF_young*I6 + AI6*p_toHF_young*I6 + AI6*(PREV_FEMALE*p_recur_MI_F + (1-PREV_FEMALE)*p_recur_MI_M)*p_MI_HF_young*I6 + AS6*AC6*p_MI*p_MI_HF_young + AV6*(PREV_FEMALE*p_recur_MI_F + (1-PREV_FEMALE)*p_recur_MI_M)*p_MI_HF_young + AV6*p_toHF_young + AW6*(PREV_FEMALE*p_recur_MI_F + (1-PREV_FEMALE)*p_recur_MI_M)*p_MI_HF_young + AW6*p_toHF_young</f>
        <v>6.3045996281331228E-5</v>
      </c>
      <c r="BB7">
        <f>AM6*(1-T6*p_Stroke - H6*rr_HF)*I6 + AN6*(1-T6*p_Stroke - H6*rr_HF)*I6 + BA6*(1-AC6*p_Stroke - H6*rr_HF*rr_DM) + BB6*(1-AC6*p_Stroke - H6*rr_HF*rr_DM)</f>
        <v>1.079178177058244E-4</v>
      </c>
      <c r="BC7">
        <f>AF6*T6*p_MI*p_MI_HF_young*I6 + AG6*T6*p_MI*p_MI_HF_young*I6 + AJ6*(PREV_FEMALE*p_recur_MI_F + (1-PREV_FEMALE)*p_recur_MI_M)*p_MI_HF_young*I6 + AJ6*p_toHF_young*I6 + AK6*(PREV_FEMALE*p_recur_MI_F + (1-PREV_FEMALE)*p_recur_MI_M)*p_MI_HF_young*I6 + AK6*p_toHF_young*I6 + AL6*(PREV_FEMALE*p_recur_MI_F + (1-PREV_FEMALE)*p_recur_MI_M)*p_MI_HF_young*I6 + AL6*p_toHF_young*I6 + AT6*AC6*p_MI*p_MI_HF_young + AU6*AC6*p_MI*p_MI_HF_young + AX6*(PREV_FEMALE*p_recur_MI_F + (1-PREV_FEMALE)*p_recur_MI_M)*p_MI_HF_young + AX6*p_toHF_young + AY6*(PREV_FEMALE*p_recur_MI_F + (1-PREV_FEMALE)*p_recur_MI_M)*p_MI_HF_young + AY6*p_toHF_young + AZ6*(PREV_FEMALE*p_recur_MI_F + (1-PREV_FEMALE)*p_recur_MI_M)*p_MI_HF_young + AZ6*p_toHF_young</f>
        <v>3.1760445386215613E-7</v>
      </c>
      <c r="BD7">
        <f>AM6*T6*p_Stroke*p_Stroke_rec*I6 + AN6*T6*p_Stroke*p_Stroke_rec*I6 + AO6*(p_recur_Stroke*p_Stroke_rec)*I6 + AP6*(p_recur_Stroke*p_Stroke_rec)*I6 + AQ6*(p_recur_Stroke*p_Stroke_rec)*I6 + BA6*AC6*p_Stroke*p_Stroke_rec + BB6*AC6*p_Stroke*p_Stroke_rec + BC6*(p_recur_Stroke*p_Stroke_rec) + BD6*(p_recur_Stroke*p_Stroke_rec) + BE6*(p_recur_Stroke*p_Stroke_rec)</f>
        <v>3.4115825853727501E-7</v>
      </c>
      <c r="BE7">
        <f>AO6*(1-p_recur_Stroke - H6*rr_Stroke*rr_HF)*I6 + AP6*(1-p_recur_Stroke-H6*rr_Stroke*rr_HF)*I6 + AQ6*(1-p_recur_Stroke-H6*rr_Stroke*rr_HF)*I6 + BC6*(1-p_recur_Stroke - H6*rr_Stroke*rr_HF*rr_DM) + BD6*(1-p_recur_Stroke-H6*rr_Stroke*rr_HF*rr_DM) + BE6*(1-p_recur_Stroke-H6*rr_Stroke*rr_HF*rr_DM)</f>
        <v>3.1691807542079651E-7</v>
      </c>
      <c r="BF7">
        <f>AD6*H6 + AE6*H6*rr_Other + AF6*H6*rr_Stroke + AG6*H6*rr_Stroke + AH6*H6*rr_MI + AI6*H6*rr_MI + AJ6*H6*rr_Stroke*rr_MI + AK6*H6*rr_Stroke*rr_MI + AL6*H6*rr_Stroke*rr_MI + AM6*H6*rr_HF + AN6*H6*rr_HF + AO6*H6*rr_Stroke*rr_HF + AP6*H6*rr_Stroke*rr_HF + AR6*H6*rr_DM + AS6*H6*rr_DM*rr_Other + AT6*H6*rr_DM*rr_Stroke + AU6*H6*rr_DM*rr_Stroke + AV6*H6*rr_DM*rr_MI + AW6*H6*rr_DM*rr_MI + AX6*H6*rr_DM*rr_Stroke*rr_MI + AY6*H6*rr_DM*rr_Stroke*rr_MI + AZ6*H6*rr_DM*rr_Stroke*rr_MI + BA6*H6*rr_DM*rr_HF + BB6*H6*rr_DM*rr_HF + BC6*H6*rr_DM*rr_Stroke*rr_HF + BD6*H6*rr_DM*rr_Stroke*rr_HF + AQ6*H6*rr_Stroke*rr_HF + BE6*H6*rr_DM*rr_Stroke*rr_HF
+ AD6*T6*p_MI*p_MI_mort + AD6*T6*p_Stroke*p_Stroke_mort + AE6*T6*p_MI*p_MI_mort + AE6*T6*p_Stroke*p_Stroke_mort + AF6*T6*p_MI*p_MI_mort + AF6*p_recur_Stroke*p_Stroke_mort + AG6*T6*p_MI*p_MI_mort + AG6*p_recur_Stroke*p_Stroke_mort + AH6*(PREV_FEMALE*p_recur_MI_F + (1-PREV_FEMALE)*p_recur_MI_M)*p_MI_mort + AH6*T6*p_Stroke*p_Stroke_mort + AI6*(PREV_FEMALE*p_recur_MI_F + (1-PREV_FEMALE)*p_recur_MI_M)*p_MI_mort + AI6*T6*p_Stroke*p_Stroke_mort + AJ6*(PREV_FEMALE*p_recur_MI_F + (1-PREV_FEMALE)*p_recur_MI_M)*p_MI_mort + AJ6*p_recur_Stroke*p_Stroke_mort + AK6*(PREV_FEMALE*p_recur_MI_F + (1-PREV_FEMALE)*p_recur_MI_M)*p_MI_mort + AK6*p_recur_Stroke*p_Stroke_mort + AL6*(PREV_FEMALE*p_recur_MI_F + (1-PREV_FEMALE)*p_recur_MI_M)*p_MI_mort + AL6*p_recur_Stroke*p_Stroke_mort + AM6*T6*p_Stroke*p_Stroke_mort + AN6*T6*p_Stroke*p_Stroke_mort + AO6*p_recur_Stroke*p_Stroke_mort + AP6*p_recur_Stroke*p_Stroke_mort + AQ6*p_recur_Stroke*p_Stroke_mort
+ AR6*AC6*p_MI*p_MI_mort + AR6*AC6*p_Stroke*p_Stroke_mort + AS6*AC6*p_MI*p_MI_mort + AS6*AC6*p_Stroke*p_Stroke_mort + AT6*AC6*p_MI*p_MI_mort + AT6*p_recur_Stroke*p_Stroke_mort + AU6*AC6*p_MI*p_MI_mort + AU6*p_recur_Stroke*p_Stroke_mort + AV6*(PREV_FEMALE*p_recur_MI_F + (1-PREV_FEMALE)*p_recur_MI_M)*p_MI_mort + AV6*AC6*p_Stroke*p_Stroke_mort + AW6*(PREV_FEMALE*p_recur_MI_F + (1-PREV_FEMALE)*p_recur_MI_M)*p_MI_mort + AW6*AC6*p_Stroke*p_Stroke_mort + AX6*(PREV_FEMALE*p_recur_MI_F + (1-PREV_FEMALE)*p_recur_MI_M)*p_MI_mort + AX6*p_recur_Stroke*p_Stroke_mort + AY6*(PREV_FEMALE*p_recur_MI_F + (1-PREV_FEMALE)*p_recur_MI_M)*p_MI_mort + AY6*p_recur_Stroke*p_Stroke_mort + AZ6*(PREV_FEMALE*p_recur_MI_F + (1-PREV_FEMALE)*p_recur_MI_M)*p_MI_mort + AZ6*p_recur_Stroke*p_Stroke_mort + BA6*AC6*p_Stroke*p_Stroke_mort + BB6*AC6*p_Stroke*p_Stroke_mort + BC6*p_recur_Stroke*p_Stroke_mort + BD6*p_recur_Stroke*p_Stroke_mort + BE6*p_recur_Stroke*p_Stroke_mort
+BF6</f>
        <v>1.1060893168142436E-2</v>
      </c>
      <c r="BG7">
        <f t="shared" si="17"/>
        <v>0.94700000000000017</v>
      </c>
      <c r="BH7">
        <f>(0.9442 - 0.0007*$B7 - dis_BMI*($C7-21.75))*AD7</f>
        <v>0.64030894015663853</v>
      </c>
      <c r="BI7">
        <f>0.959*(0.9442 - 0.0007*$B7 - dis_BMI*($C7-21.75))*AE7</f>
        <v>9.3583672007925296E-3</v>
      </c>
      <c r="BJ7">
        <f>(0.943*(0.9442 - 0.0007*$B7 - dis_BMI*($C7-21.75)) - 0.19*0.5)*AF7</f>
        <v>1.1103728866397851E-3</v>
      </c>
      <c r="BK7">
        <f>(0.943*(0.9442 - 0.0007*$B7 - dis_BMI*($C7-21.75)))*AG7</f>
        <v>2.2457756626042351E-3</v>
      </c>
      <c r="BL7">
        <f>(0.955*(0.9442 - 0.0007*$B7 - dis_BMI*($C7-21.75)) - 0.15*0.5)*AH7</f>
        <v>8.8539032158981013E-4</v>
      </c>
      <c r="BM7">
        <f>(0.955*(0.9442 - 0.0007*$B7 - dis_BMI*($C7-21.75)))*AI7</f>
        <v>2.0028146918345826E-3</v>
      </c>
      <c r="BN7">
        <f>(0.955*0.943*(0.9442 - 0.0007*$B7 - dis_BMI*($C7-21.75)) - 0.19*0.5)*AJ7</f>
        <v>3.4500609734340409E-6</v>
      </c>
      <c r="BO7">
        <f>(0.955*0.943*(0.9442 - 0.0007*$B7 - dis_BMI*($C7-21.75)) - 0.15*0.5)*AK7</f>
        <v>3.3207037478391021E-6</v>
      </c>
      <c r="BP7">
        <f>(0.955*0.943*(0.9442 - 0.0007*$B7 - dis_BMI*($C7-21.75)))*AL7</f>
        <v>4.6050821977046627E-6</v>
      </c>
      <c r="BQ7">
        <f>(0.93*(0.9442 - 0.0007*$B7 - dis_BMI*($C7-21.75)))*AM7</f>
        <v>1.406938370819743E-4</v>
      </c>
      <c r="BR7">
        <f>(0.93*(0.9442 - 0.0007*$B7 - dis_BMI*($C7-21.75)))*AN7</f>
        <v>3.0534430067476843E-4</v>
      </c>
      <c r="BS7">
        <f>(0.93*0.943*(0.9442 - 0.0007*$B7 - dis_BMI*($C7-21.75)))*AO7</f>
        <v>5.026077151870669E-7</v>
      </c>
      <c r="BT7">
        <f>(0.93*0.943*(0.9442 - 0.0007*$B7 - dis_BMI*($C7-21.75))-0.19*0.5)*AP7</f>
        <v>4.7284623821591967E-7</v>
      </c>
      <c r="BU7">
        <f>(0.93*0.943*(0.9442 - 0.0007*$B7 - dis_BMI*($C7-21.75)))*AQ7</f>
        <v>6.5619992846525965E-7</v>
      </c>
      <c r="BV7">
        <f>0.962*(0.9442 - 0.0007*$B7 - dis_BMI*($C7-21.75))*AR7</f>
        <v>0.13856196014575412</v>
      </c>
      <c r="BW7">
        <f>0.962*0.959*(0.9442 - 0.0007*$B7 - dis_BMI*($C7-21.75))*AS7</f>
        <v>2.8332568006358373E-3</v>
      </c>
      <c r="BX7">
        <f>0.962*(0.943*(0.9442 - 0.0007*$B7 - dis_BMI*($C7-21.75)) - 0.19*0.5)*AT7</f>
        <v>3.9085006577929947E-4</v>
      </c>
      <c r="BY7">
        <f>0.962*(0.943*(0.9442 - 0.0007*$B7 - dis_BMI*($C7-21.75)))*AU7</f>
        <v>6.2385161754690578E-4</v>
      </c>
      <c r="BZ7">
        <f>0.962*(0.955*(0.9442 - 0.0007*$B7 - dis_BMI*($C7-21.75)) - 0.15*0.5)*AV7</f>
        <v>3.1921048384853855E-4</v>
      </c>
      <c r="CA7">
        <f>0.962*(0.955*(0.9442 - 0.0007*$B7 - dis_BMI*($C7-21.75)))*AW7</f>
        <v>5.577323235740261E-4</v>
      </c>
      <c r="CB7">
        <f>0.962*(0.955*0.943*(0.9442 - 0.0007*$B7 - dis_BMI*($C7-21.75)) - 0.19*0.5)*AX7</f>
        <v>1.6136637708063082E-6</v>
      </c>
      <c r="CC7">
        <f>0.962*(0.955*0.943*(0.9442 - 0.0007*$B7 - dis_BMI*($C7-21.75)) - 0.15*0.5)*AY7</f>
        <v>1.5803002864838143E-6</v>
      </c>
      <c r="CD7">
        <f>0.962*(0.955*0.943*(0.9442 - 0.0007*$B7 - dis_BMI*($C7-21.75)))*AZ7</f>
        <v>1.6403566051672554E-6</v>
      </c>
      <c r="CE7">
        <f>0.962*(0.93*(0.9442 - 0.0007*$B7 - dis_BMI*($C7-21.75)))*BA7</f>
        <v>4.8623326115820931E-5</v>
      </c>
      <c r="CF7">
        <f>0.962*(0.93*(0.9442 - 0.0007*$B7 - dis_BMI*($C7-21.75)))*BB7</f>
        <v>8.3230078887211068E-5</v>
      </c>
      <c r="CG7">
        <f>0.962*(0.93*0.943*(0.9442 - 0.0007*$B7 - dis_BMI*($C7-21.75)))*BC7</f>
        <v>2.3098587782866655E-7</v>
      </c>
      <c r="CH7">
        <f>0.962*(0.93*0.943*(0.9442 - 0.0007*$B7 - dis_BMI*($C7-21.75))-0.19*0.5)*BD7</f>
        <v>2.1693752519171466E-7</v>
      </c>
      <c r="CI7">
        <f>0.962*(0.93*0.943*(0.9442 - 0.0007*$B7 - dis_BMI*($C7-21.75)))*BE7</f>
        <v>2.3048669173454166E-7</v>
      </c>
      <c r="CJ7">
        <f t="shared" si="18"/>
        <v>0</v>
      </c>
      <c r="CK7">
        <f t="shared" si="19"/>
        <v>0.79979493413155611</v>
      </c>
      <c r="CL7">
        <f>CK7/(1+r_)^A7</f>
        <v>0.71060743996446918</v>
      </c>
      <c r="CM7">
        <f>AD7*c_BN_2</f>
        <v>1556.1249348097297</v>
      </c>
      <c r="CN7">
        <f>AE7*(c_Other+c_BN_2)</f>
        <v>185.35620523759664</v>
      </c>
      <c r="CO7">
        <f>AF7*(c_Stroke1+c_Stroke2+c_BN_2)</f>
        <v>40.076047208532245</v>
      </c>
      <c r="CP7">
        <f>AG7*(c_Stroke2 + c_BN_2)</f>
        <v>23.744959229606089</v>
      </c>
      <c r="CQ7">
        <f>AH7*(c_MI1+c_MI2 + c_BN_2)</f>
        <v>36.972739711113725</v>
      </c>
      <c r="CR7">
        <f>AI7*(c_MI2+c_BN_2)</f>
        <v>12.679807866577422</v>
      </c>
      <c r="CS7">
        <f>AJ7*(c_Stroke1+c_Stroke2+c_MI2+c_BN_2)</f>
        <v>0.14699035865849899</v>
      </c>
      <c r="CT7">
        <f>AK7*(c_Stroke2+c_MI1+c_MI2+c_BN_2)</f>
        <v>0.17872325166665609</v>
      </c>
      <c r="CU7">
        <f>AL7*(c_Stroke2+c_MI2+c_BN_2)</f>
        <v>6.9474312007132735E-2</v>
      </c>
      <c r="CV7">
        <f>AM7*(c_HF1+c_BN_2)</f>
        <v>5.111271242026084</v>
      </c>
      <c r="CW7">
        <f>AN7*(c_HF2+c_BN_2)</f>
        <v>6.7414140969832825</v>
      </c>
      <c r="CX7">
        <f>AO7*(c_Stroke2+c_HF1+c_BN_2)</f>
        <v>2.3684283528110039E-2</v>
      </c>
      <c r="CY7">
        <f>AP7*(c_Stroke1+c_Stroke2+c_HF2+c_BN_2)</f>
        <v>2.9698308960698038E-2</v>
      </c>
      <c r="CZ7">
        <f>AQ7*(c_Stroke2+c_HF2+c_BN_2)</f>
        <v>2.1005246008095037E-2</v>
      </c>
      <c r="DA7">
        <f>AR7*(c_DM+c_BN_2)</f>
        <v>2259.0014351065297</v>
      </c>
      <c r="DB7">
        <f>AS7*(c_Other+c_DM+c_BN_2)</f>
        <v>99.035820281934804</v>
      </c>
      <c r="DC7">
        <f>AT7*(c_Stroke1+c_Stroke2+c_DM+c_BN_2)</f>
        <v>21.129769618809057</v>
      </c>
      <c r="DD7">
        <f>AU7*(c_Stroke2+c_DM+c_BN_2)</f>
        <v>15.970903394163946</v>
      </c>
      <c r="DE7">
        <f>AV7*(c_MI1+c_MI2+c_DM+c_BN_2)</f>
        <v>18.92288411752353</v>
      </c>
      <c r="DF7">
        <f>AW7*(c_MI2+c_DM+c_BN_2)</f>
        <v>11.716374818812785</v>
      </c>
      <c r="DG7">
        <f>AX7*(c_Stroke1+c_Stroke2+c_MI2+c_DM+c_BN_2)</f>
        <v>9.9594114743071727E-2</v>
      </c>
      <c r="DH7">
        <f>AY7*(c_Stroke2+c_MI1+c_MI2+c_DM+c_BN_2)</f>
        <v>0.11517376842442242</v>
      </c>
      <c r="DI7">
        <f>AZ7*(c_Stroke2+c_MI2+c_DM+c_BN_2)</f>
        <v>5.081899250004155E-2</v>
      </c>
      <c r="DJ7">
        <f>BA7*(c_HF1+c_DM+c_BN_2)</f>
        <v>2.5565151492079812</v>
      </c>
      <c r="DK7">
        <f>BB7*(c_HF2+c_DM+c_BN_2)</f>
        <v>3.1431064406821356</v>
      </c>
      <c r="DL7">
        <f>BC7*(c_Stroke2+c_HF1+c_DM+c_BN_2)</f>
        <v>1.4943289554214445E-2</v>
      </c>
      <c r="DM7">
        <f>BD7*(c_Stroke1+c_Stroke2+c_HF2+c_DM+c_BN_2)</f>
        <v>1.8061259365221877E-2</v>
      </c>
      <c r="DN7">
        <f>BE7*(c_Stroke2+c_HF2+c_DM+c_BN_2)</f>
        <v>1.1290206436865876E-2</v>
      </c>
      <c r="DO7">
        <f t="shared" si="5"/>
        <v>0</v>
      </c>
      <c r="DP7">
        <f t="shared" si="38"/>
        <v>4299.0636457216833</v>
      </c>
      <c r="DQ7">
        <f>DP7/(1+r_)^A7</f>
        <v>3819.6623673889176</v>
      </c>
    </row>
    <row r="8" spans="1:121" x14ac:dyDescent="0.3">
      <c r="A8">
        <v>5</v>
      </c>
      <c r="B8">
        <v>50</v>
      </c>
      <c r="C8">
        <f t="shared" si="39"/>
        <v>36.251999999999995</v>
      </c>
      <c r="D8">
        <f t="shared" si="1"/>
        <v>125</v>
      </c>
      <c r="E8">
        <f t="shared" si="40"/>
        <v>5.7</v>
      </c>
      <c r="F8">
        <v>2.99E-3</v>
      </c>
      <c r="G8">
        <v>4.8500000000000001E-3</v>
      </c>
      <c r="H8">
        <f t="shared" si="3"/>
        <v>3.362E-3</v>
      </c>
      <c r="I8">
        <f t="shared" si="20"/>
        <v>4.7655426853004217E-2</v>
      </c>
      <c r="J8">
        <f t="shared" si="21"/>
        <v>0.10448638311367897</v>
      </c>
      <c r="K8">
        <f t="shared" si="22"/>
        <v>0.14320382219610372</v>
      </c>
      <c r="L8">
        <f t="shared" si="23"/>
        <v>5.0902057316529747E-2</v>
      </c>
      <c r="M8">
        <f t="shared" si="24"/>
        <v>7.0553715355198054E-2</v>
      </c>
      <c r="N8">
        <f t="shared" si="25"/>
        <v>0.22252029554715036</v>
      </c>
      <c r="O8">
        <f t="shared" si="26"/>
        <v>0.29927945033800019</v>
      </c>
      <c r="P8">
        <f t="shared" si="27"/>
        <v>0.11645019918499666</v>
      </c>
      <c r="Q8">
        <f t="shared" si="28"/>
        <v>0.16049160050602662</v>
      </c>
      <c r="R8">
        <f>IF(C8&lt;25, HT_f_low, IF(C8&lt;30, HT_f_mod, HT_f_high))</f>
        <v>0.42</v>
      </c>
      <c r="S8">
        <f>IF(C8&lt;25, HT_m_low, IF(C8&lt;30, HT_m_mod, HT_m_high))</f>
        <v>0.43099999999999999</v>
      </c>
      <c r="T8">
        <f>PREV_FEMALE*PREV_SMOKE*(1-$R8)*(1-EXP(-J8/10))+PREV_FEMALE*PREV_SMOKE*$R8*(1-EXP(-K8/10))+PREV_FEMALE*(1-PREV_SMOKE)*(1-$R8)*(1-EXP(-L8/10))+PREV_FEMALE*(1-PREV_SMOKE)*$R8*(1-EXP(-M8/10))+(1-PREV_FEMALE)*PREV_SMOKE*(1-$S8)*(1-EXP(-N8/10))+(1-PREV_FEMALE)*PREV_SMOKE*$S8*(1-EXP(-O8/10))+(1-PREV_FEMALE)*(1-PREV_SMOKE)*(1-$S8)*(1-EXP(-P8/10))+(1-PREV_FEMALE)*(1-PREV_SMOKE)*$S8*(1-EXP(-Q8/10))</f>
        <v>8.3127961902246736E-3</v>
      </c>
      <c r="U8">
        <f t="shared" si="29"/>
        <v>0.2135079844296307</v>
      </c>
      <c r="V8">
        <f t="shared" si="30"/>
        <v>0.28563397623781606</v>
      </c>
      <c r="W8">
        <f t="shared" si="31"/>
        <v>0.10747207980267015</v>
      </c>
      <c r="X8">
        <f t="shared" si="32"/>
        <v>0.14720180771280222</v>
      </c>
      <c r="Y8">
        <f t="shared" si="33"/>
        <v>0.34838550423341541</v>
      </c>
      <c r="Z8">
        <f t="shared" si="34"/>
        <v>0.45402724393500249</v>
      </c>
      <c r="AA8">
        <f t="shared" si="35"/>
        <v>0.18996480549947214</v>
      </c>
      <c r="AB8">
        <f t="shared" si="36"/>
        <v>0.257464865207086</v>
      </c>
      <c r="AC8">
        <f>PREV_FEMALE*PREV_SMOKE*(1-$R8)*(1-EXP(-U8/10))+PREV_FEMALE*PREV_SMOKE*$R8*(1-EXP(-V8/10))+PREV_FEMALE*(1-PREV_SMOKE)*(1-$R8)*(1-EXP(-W8/10))+PREV_FEMALE*(1-PREV_SMOKE)*$R8*(1-EXP(-X8/10))+(1-PREV_FEMALE)*PREV_SMOKE*(1-$S8)*(1-EXP(-Y8/10))+(1-PREV_FEMALE)*PREV_SMOKE*$S8*(1-EXP(-Z8/10))+(1-PREV_FEMALE)*(1-PREV_SMOKE)*(1-$S8)*(1-EXP(-AA8/10))+(1-PREV_FEMALE)*(1-PREV_SMOKE)*$S8*(1-EXP(-AB8/10))</f>
        <v>1.580013506989348E-2</v>
      </c>
      <c r="AD8">
        <f t="shared" si="37"/>
        <v>0.69963020964763312</v>
      </c>
      <c r="AE8">
        <f t="shared" si="6"/>
        <v>1.3742606995473495E-2</v>
      </c>
      <c r="AF8">
        <f t="shared" si="7"/>
        <v>1.6495852101813067E-3</v>
      </c>
      <c r="AG8">
        <f t="shared" si="8"/>
        <v>3.5647401378301655E-3</v>
      </c>
      <c r="AH8">
        <f t="shared" si="9"/>
        <v>1.2302341935105296E-3</v>
      </c>
      <c r="AI8">
        <f t="shared" si="10"/>
        <v>3.1242274089723359E-3</v>
      </c>
      <c r="AJ8">
        <f t="shared" si="11"/>
        <v>7.3914237859657618E-6</v>
      </c>
      <c r="AK8">
        <f t="shared" si="12"/>
        <v>6.744502693062001E-6</v>
      </c>
      <c r="AL8">
        <f t="shared" si="13"/>
        <v>1.1664692034646839E-5</v>
      </c>
      <c r="AM8">
        <f t="shared" si="14"/>
        <v>1.9034450929402655E-4</v>
      </c>
      <c r="AN8">
        <f t="shared" si="15"/>
        <v>5.2591587626419516E-4</v>
      </c>
      <c r="AO8">
        <f t="shared" si="16"/>
        <v>9.9673813874362884E-7</v>
      </c>
      <c r="AP8">
        <f>AM7*T7*p_Stroke*p_Stroke_rec*(1-I7) + AN7*T7*p_Stroke*p_Stroke_rec*(1-I7) + AO7*(p_recur_Stroke*p_Stroke_rec)*(1-I7) + AP7*(p_recur_Stroke*p_Stroke_rec)*(1-I7) + AQ7*(p_recur_Stroke*p_Stroke_rec)*(1-I7)</f>
        <v>1.1191351389519128E-6</v>
      </c>
      <c r="AQ8">
        <f>AO7*(1-p_recur_Stroke-H7*rr_Stroke*rr_HF)*(1-I7) + AP7*(1-p_recur_Stroke-H7*rr_Stroke*rr_HF)*(1-I7) + AQ7*(1-p_recur_Stroke-H7*rr_Stroke*rr_HF)*(1-I7)</f>
        <v>1.8464562995179848E-6</v>
      </c>
      <c r="AR8">
        <f>AR7*(1-AC7-H7*rr_DM) + AD7*(1-T7-H7)*I7</f>
        <v>0.19899420289635797</v>
      </c>
      <c r="AS8">
        <f>AR7*AC7*p_Other + AD7*T7*p_Other*I7 + AE7*(1-T7*p_Stroke-T7*p_MI-H7*rr_Other)*I7 + AS7*(1-AC7*p_Stroke-AC7*p_MI-H7*rr_Other*rr_DM)</f>
        <v>5.5817273651359717E-3</v>
      </c>
      <c r="AT8">
        <f>AR7*AC7*p_Stroke*p_Stroke_rec + AD7*T7*p_Stroke*p_Stroke_rec*I7 + AE7*T7*p_Stroke*p_Stroke_rec*I7 + AF7*p_recur_Stroke*p_Stroke_rec*I7 + AG7*p_recur_Stroke*p_Stroke_rec*I7 + AS7*AC7*p_Stroke*p_Stroke_rec + AT7*p_recur_Stroke*p_Stroke_rec + AU7*p_recur_Stroke*p_Stroke_rec</f>
        <v>7.7516968178482264E-4</v>
      </c>
      <c r="AU8">
        <f>AF7*(1-p_recur_Stroke-T7*p_MI-H7*rr_Stroke)*I7 + AG7*(1-p_recur_Stroke-T7*p_MI-H7*rr_Stroke)*I7 + AT7*(1-p_recur_Stroke-AC7*p_MI-H7*rr_Stroke*rr_DM) + AU7*(1-p_recur_Stroke-AC7*p_MI-H7*rr_Stroke*rr_DM)</f>
        <v>1.3587693616593597E-3</v>
      </c>
      <c r="AV8">
        <f>AR7*AC7*p_MI*p_MI_rec_young + AD7*T7*p_MI*p_MI_rec_young*I7 + AE7*T7*p_MI*p_MI_rec_young*I7 +AH7*(PREV_FEMALE*p_recur_MI_F + (1-PREV_FEMALE)*p_recur_MI_M)*p_MI_rec_young*I7 + AI7*(PREV_FEMALE*p_recur_MI_F + (1-PREV_FEMALE)*p_recur_MI_M)*p_MI_rec_young*I7 + AS7*AC7*p_MI*p_MI_rec_young + AV7*(PREV_FEMALE*p_recur_MI_F + (1-PREV_FEMALE)*p_recur_MI_M)*p_MI_rec_young + AW7*(PREV_FEMALE*p_recur_MI_F + (1-PREV_FEMALE)*p_recur_MI_M)*p_MI_rec_young</f>
        <v>5.9383251801613723E-4</v>
      </c>
      <c r="AW8">
        <f>AH7*(1-(PREV_FEMALE*p_recur_MI_F + (1-PREV_FEMALE)*p_recur_MI_M) - T7*p_Stroke - p_toHF_young - H7*rr_MI)*I7 + AI7*(1-(PREV_FEMALE*p_recur_MI_F + (1-PREV_FEMALE)*p_recur_MI_M) - T7*p_Stroke - p_toHF_young - H7*rr_MI)*I7 + AV7*(1-(PREV_FEMALE*p_recur_MI_F + (1-PREV_FEMALE)*p_recur_MI_M) - AC7*p_Stroke - p_toHF_young - H7*rr_MI*rr_DM) + AW7*(1-(PREV_FEMALE*p_recur_MI_F + (1-PREV_FEMALE)*p_recur_MI_M) - AC7*p_Stroke - p_toHF_young - H7*rr_MI*rr_DM)</f>
        <v>1.194817968747511E-3</v>
      </c>
      <c r="AX8">
        <f>AH7*T7*p_Stroke*p_Stroke_rec*I7 + AI7*T7*p_Stroke*p_Stroke_rec*I7 + AJ7*p_recur_Stroke*p_Stroke_rec*I7 + AK7*p_recur_Stroke*p_Stroke_rec*I7 + AL7*p_recur_Stroke*p_Stroke_rec*I7 + AV7*AC7*p_Stroke*p_Stroke_rec + AW7*AC7*p_Stroke*p_Stroke_rec + AX7*p_recur_Stroke*p_Stroke_rec + AY7*p_recur_Stroke*p_Stroke_rec + AZ7*p_recur_Stroke*p_Stroke_rec</f>
        <v>4.7884628617285795E-6</v>
      </c>
      <c r="AY8">
        <f>AF7*T7*p_MI*p_MI_rec_young*I7 + AG7*T7*p_MI*p_MI_rec_young*I7 + AJ7*(PREV_FEMALE*p_recur_MI_F+(1-PREV_FEMALE)*p_recur_MI_M)*p_MI_rec_young*I7 + AK7*(PREV_FEMALE*p_recur_MI_F+(1-PREV_FEMALE)*p_recur_MI_M)*p_MI_rec_young*I7 + AL7*(PREV_FEMALE*p_recur_MI_F+(1-PREV_FEMALE)*p_recur_MI_M)*p_MI_rec_young*I7 + AT7*AC7*p_MI*p_MI_rec_young + AU7*AC7*p_MI*p_MI_rec_young + AX7*(PREV_FEMALE*p_recur_MI_F+(1-PREV_FEMALE)*p_recur_MI_M)*p_MI_rec_young + AY7*(PREV_FEMALE*p_recur_MI_F+(1-PREV_FEMALE)*p_recur_MI_M)*p_MI_rec_young + AZ7*(PREV_FEMALE*p_recur_MI_F+(1-PREV_FEMALE)*p_recur_MI_M)*p_MI_rec_young</f>
        <v>4.4589794161847649E-6</v>
      </c>
      <c r="AZ8">
        <f>AJ7*(1-p_recur_Stroke-(PREV_FEMALE*p_recur_MI_F + (1-PREV_FEMALE)*p_recur_MI_M) - p_toHF_young - H7*rr_MI*rr_Stroke)*I7 + AK7*(1-p_recur_Stroke-(PREV_FEMALE*p_recur_MI_F + (1-PREV_FEMALE)*p_recur_MI_M) - p_toHF_young - H7*rr_MI*rr_Stroke)*I7 + AL7*(1-p_recur_Stroke-(PREV_FEMALE*p_recur_MI_F + (1-PREV_FEMALE)*p_recur_MI_M) - p_toHF_young - H7*rr_MI*rr_Stroke)*I7 + AX7*(1-p_recur_Stroke-(PREV_FEMALE*p_recur_MI_F + (1-PREV_FEMALE)*p_recur_MI_M) - p_toHF_young - H7*rr_MI*rr_Stroke*rr_DM) + AY7*(1-p_recur_Stroke-(PREV_FEMALE*p_recur_MI_F + (1-PREV_FEMALE)*p_recur_MI_M) - p_toHF_young - H7*rr_MI*rr_Stroke*rr_DM) + AZ7*(1-p_recur_Stroke-(PREV_FEMALE*p_recur_MI_F + (1-PREV_FEMALE)*p_recur_MI_M) - p_toHF_young - H7*rr_MI*rr_Stroke*rr_DM)</f>
        <v>6.0187064924523053E-6</v>
      </c>
      <c r="BA8">
        <f>AR7*AC7*p_MI*p_MI_HF_young + AD7*T7*p_MI*p_MI_HF_young*I7 + AE7*T7*p_MI*p_MI_HF_young*I7 + AH7*p_toHF_young*I7 + AH7*(PREV_FEMALE*p_recur_MI_F + (1-PREV_FEMALE)*p_recur_MI_M)*p_MI_HF_young*I7 + AI7*p_toHF_young*I7 + AI7*(PREV_FEMALE*p_recur_MI_F + (1-PREV_FEMALE)*p_recur_MI_M)*p_MI_HF_young*I7 + AS7*AC7*p_MI*p_MI_HF_young + AV7*(PREV_FEMALE*p_recur_MI_F + (1-PREV_FEMALE)*p_recur_MI_M)*p_MI_HF_young + AV7*p_toHF_young + AW7*(PREV_FEMALE*p_recur_MI_F + (1-PREV_FEMALE)*p_recur_MI_M)*p_MI_HF_young + AW7*p_toHF_young</f>
        <v>8.7771723917666247E-5</v>
      </c>
      <c r="BB8">
        <f>AM7*(1-T7*p_Stroke - H7*rr_HF)*I7 + AN7*(1-T7*p_Stroke - H7*rr_HF)*I7 + BA7*(1-AC7*p_Stroke - H7*rr_HF*rr_DM) + BB7*(1-AC7*p_Stroke - H7*rr_HF*rr_DM)</f>
        <v>1.9558614786407074E-4</v>
      </c>
      <c r="BC8">
        <f>AF7*T7*p_MI*p_MI_HF_young*I7 + AG7*T7*p_MI*p_MI_HF_young*I7 + AJ7*(PREV_FEMALE*p_recur_MI_F + (1-PREV_FEMALE)*p_recur_MI_M)*p_MI_HF_young*I7 + AJ7*p_toHF_young*I7 + AK7*(PREV_FEMALE*p_recur_MI_F + (1-PREV_FEMALE)*p_recur_MI_M)*p_MI_HF_young*I7 + AK7*p_toHF_young*I7 + AL7*(PREV_FEMALE*p_recur_MI_F + (1-PREV_FEMALE)*p_recur_MI_M)*p_MI_HF_young*I7 + AL7*p_toHF_young*I7 + AT7*AC7*p_MI*p_MI_HF_young + AU7*AC7*p_MI*p_MI_HF_young + AX7*(PREV_FEMALE*p_recur_MI_F + (1-PREV_FEMALE)*p_recur_MI_M)*p_MI_HF_young + AX7*p_toHF_young + AY7*(PREV_FEMALE*p_recur_MI_F + (1-PREV_FEMALE)*p_recur_MI_M)*p_MI_HF_young + AY7*p_toHF_young + AZ7*(PREV_FEMALE*p_recur_MI_F + (1-PREV_FEMALE)*p_recur_MI_M)*p_MI_HF_young + AZ7*p_toHF_young</f>
        <v>6.3312448261426681E-7</v>
      </c>
      <c r="BD8">
        <f>AM7*T7*p_Stroke*p_Stroke_rec*I7 + AN7*T7*p_Stroke*p_Stroke_rec*I7 + AO7*(p_recur_Stroke*p_Stroke_rec)*I7 + AP7*(p_recur_Stroke*p_Stroke_rec)*I7 + AQ7*(p_recur_Stroke*p_Stroke_rec)*I7 + BA7*AC7*p_Stroke*p_Stroke_rec + BB7*AC7*p_Stroke*p_Stroke_rec + BC7*(p_recur_Stroke*p_Stroke_rec) + BD7*(p_recur_Stroke*p_Stroke_rec) + BE7*(p_recur_Stroke*p_Stroke_rec)</f>
        <v>7.0679215897849922E-7</v>
      </c>
      <c r="BE8">
        <f>AO7*(1-p_recur_Stroke - H7*rr_Stroke*rr_HF)*I7 + AP7*(1-p_recur_Stroke-H7*rr_Stroke*rr_HF)*I7 + AQ7*(1-p_recur_Stroke-H7*rr_Stroke*rr_HF)*I7 + BC7*(1-p_recur_Stroke - H7*rr_Stroke*rr_HF*rr_DM) + BD7*(1-p_recur_Stroke-H7*rr_Stroke*rr_HF*rr_DM) + BE7*(1-p_recur_Stroke-H7*rr_Stroke*rr_HF*rr_DM)</f>
        <v>9.3127095854569069E-7</v>
      </c>
      <c r="BF8">
        <f>AD7*H7 + AE7*H7*rr_Other + AF7*H7*rr_Stroke + AG7*H7*rr_Stroke + AH7*H7*rr_MI + AI7*H7*rr_MI + AJ7*H7*rr_Stroke*rr_MI + AK7*H7*rr_Stroke*rr_MI + AL7*H7*rr_Stroke*rr_MI + AM7*H7*rr_HF + AN7*H7*rr_HF + AO7*H7*rr_Stroke*rr_HF + AP7*H7*rr_Stroke*rr_HF + AR7*H7*rr_DM + AS7*H7*rr_DM*rr_Other + AT7*H7*rr_DM*rr_Stroke + AU7*H7*rr_DM*rr_Stroke + AV7*H7*rr_DM*rr_MI + AW7*H7*rr_DM*rr_MI + AX7*H7*rr_DM*rr_Stroke*rr_MI + AY7*H7*rr_DM*rr_Stroke*rr_MI + AZ7*H7*rr_DM*rr_Stroke*rr_MI + BA7*H7*rr_DM*rr_HF + BB7*H7*rr_DM*rr_HF + BC7*H7*rr_DM*rr_Stroke*rr_HF + BD7*H7*rr_DM*rr_Stroke*rr_HF + AQ7*H7*rr_Stroke*rr_HF + BE7*H7*rr_DM*rr_Stroke*rr_HF
+ AD7*T7*p_MI*p_MI_mort + AD7*T7*p_Stroke*p_Stroke_mort + AE7*T7*p_MI*p_MI_mort + AE7*T7*p_Stroke*p_Stroke_mort + AF7*T7*p_MI*p_MI_mort + AF7*p_recur_Stroke*p_Stroke_mort + AG7*T7*p_MI*p_MI_mort + AG7*p_recur_Stroke*p_Stroke_mort + AH7*(PREV_FEMALE*p_recur_MI_F + (1-PREV_FEMALE)*p_recur_MI_M)*p_MI_mort + AH7*T7*p_Stroke*p_Stroke_mort + AI7*(PREV_FEMALE*p_recur_MI_F + (1-PREV_FEMALE)*p_recur_MI_M)*p_MI_mort + AI7*T7*p_Stroke*p_Stroke_mort + AJ7*(PREV_FEMALE*p_recur_MI_F + (1-PREV_FEMALE)*p_recur_MI_M)*p_MI_mort + AJ7*p_recur_Stroke*p_Stroke_mort + AK7*(PREV_FEMALE*p_recur_MI_F + (1-PREV_FEMALE)*p_recur_MI_M)*p_MI_mort + AK7*p_recur_Stroke*p_Stroke_mort + AL7*(PREV_FEMALE*p_recur_MI_F + (1-PREV_FEMALE)*p_recur_MI_M)*p_MI_mort + AL7*p_recur_Stroke*p_Stroke_mort + AM7*T7*p_Stroke*p_Stroke_mort + AN7*T7*p_Stroke*p_Stroke_mort + AO7*p_recur_Stroke*p_Stroke_mort + AP7*p_recur_Stroke*p_Stroke_mort + AQ7*p_recur_Stroke*p_Stroke_mort
+ AR7*AC7*p_MI*p_MI_mort + AR7*AC7*p_Stroke*p_Stroke_mort + AS7*AC7*p_MI*p_MI_mort + AS7*AC7*p_Stroke*p_Stroke_mort + AT7*AC7*p_MI*p_MI_mort + AT7*p_recur_Stroke*p_Stroke_mort + AU7*AC7*p_MI*p_MI_mort + AU7*p_recur_Stroke*p_Stroke_mort + AV7*(PREV_FEMALE*p_recur_MI_F + (1-PREV_FEMALE)*p_recur_MI_M)*p_MI_mort + AV7*AC7*p_Stroke*p_Stroke_mort + AW7*(PREV_FEMALE*p_recur_MI_F + (1-PREV_FEMALE)*p_recur_MI_M)*p_MI_mort + AW7*AC7*p_Stroke*p_Stroke_mort + AX7*(PREV_FEMALE*p_recur_MI_F + (1-PREV_FEMALE)*p_recur_MI_M)*p_MI_mort + AX7*p_recur_Stroke*p_Stroke_mort + AY7*(PREV_FEMALE*p_recur_MI_F + (1-PREV_FEMALE)*p_recur_MI_M)*p_MI_mort + AY7*p_recur_Stroke*p_Stroke_mort + AZ7*(PREV_FEMALE*p_recur_MI_F + (1-PREV_FEMALE)*p_recur_MI_M)*p_MI_mort + AZ7*p_recur_Stroke*p_Stroke_mort + BA7*AC7*p_Stroke*p_Stroke_mort + BB7*AC7*p_Stroke*p_Stroke_mort + BC7*p_recur_Stroke*p_Stroke_mort + BD7*p_recur_Stroke*p_Stroke_mort + BE7*p_recur_Stroke*p_Stroke_mort
+BF7</f>
        <v>1.4512958072895869E-2</v>
      </c>
      <c r="BG8">
        <f t="shared" si="17"/>
        <v>0.94699999999999995</v>
      </c>
      <c r="BH8">
        <f>(0.9442 - 0.0007*$B8 - dis_BMI*($C8-21.75))*AD8</f>
        <v>0.60262186352060509</v>
      </c>
      <c r="BI8">
        <f>0.959*(0.9442 - 0.0007*$B8 - dis_BMI*($C8-21.75))*AE8</f>
        <v>1.1351782577136782E-2</v>
      </c>
      <c r="BJ8">
        <f>(0.943*(0.9442 - 0.0007*$B8 - dis_BMI*($C8-21.75)) - 0.19*0.5)*AF8</f>
        <v>1.1831597565490021E-3</v>
      </c>
      <c r="BK8">
        <f>(0.943*(0.9442 - 0.0007*$B8 - dis_BMI*($C8-21.75)))*AG8</f>
        <v>2.8954488631803025E-3</v>
      </c>
      <c r="BL8">
        <f>(0.955*(0.9442 - 0.0007*$B8 - dis_BMI*($C8-21.75)) - 0.15*0.5)*AH8</f>
        <v>9.1970210388476992E-4</v>
      </c>
      <c r="BM8">
        <f>(0.955*(0.9442 - 0.0007*$B8 - dis_BMI*($C8-21.75)))*AI8</f>
        <v>2.569936189170638E-3</v>
      </c>
      <c r="BN8">
        <f>(0.955*0.943*(0.9442 - 0.0007*$B8 - dis_BMI*($C8-21.75)) - 0.19*0.5)*AJ8</f>
        <v>5.0313105285768867E-6</v>
      </c>
      <c r="BO8">
        <f>(0.955*0.943*(0.9442 - 0.0007*$B8 - dis_BMI*($C8-21.75)) - 0.15*0.5)*AK8</f>
        <v>4.7258441639541495E-6</v>
      </c>
      <c r="BP8">
        <f>(0.955*0.943*(0.9442 - 0.0007*$B8 - dis_BMI*($C8-21.75)))*AL8</f>
        <v>9.0482516749739118E-6</v>
      </c>
      <c r="BQ8">
        <f>(0.93*(0.9442 - 0.0007*$B8 - dis_BMI*($C8-21.75)))*AM8</f>
        <v>1.5247534773018303E-4</v>
      </c>
      <c r="BR8">
        <f>(0.93*(0.9442 - 0.0007*$B8 - dis_BMI*($C8-21.75)))*AN8</f>
        <v>4.2128457714710448E-4</v>
      </c>
      <c r="BS8">
        <f>(0.93*0.943*(0.9442 - 0.0007*$B8 - dis_BMI*($C8-21.75)))*AO8</f>
        <v>7.5292557246471725E-7</v>
      </c>
      <c r="BT8">
        <f>(0.93*0.943*(0.9442 - 0.0007*$B8 - dis_BMI*($C8-21.75))-0.19*0.5)*AP8</f>
        <v>7.390651489729744E-7</v>
      </c>
      <c r="BU8">
        <f>(0.93*0.943*(0.9442 - 0.0007*$B8 - dis_BMI*($C8-21.75)))*AQ8</f>
        <v>1.3947937901704462E-6</v>
      </c>
      <c r="BV8">
        <f>0.962*(0.9442 - 0.0007*$B8 - dis_BMI*($C8-21.75))*AR8</f>
        <v>0.16488905425752334</v>
      </c>
      <c r="BW8">
        <f>0.962*0.959*(0.9442 - 0.0007*$B8 - dis_BMI*($C8-21.75))*AS8</f>
        <v>4.4354596159744564E-3</v>
      </c>
      <c r="BX8">
        <f>0.962*(0.943*(0.9442 - 0.0007*$B8 - dis_BMI*($C8-21.75)) - 0.19*0.5)*AT8</f>
        <v>5.3486045025361603E-4</v>
      </c>
      <c r="BY8">
        <f>0.962*(0.943*(0.9442 - 0.0007*$B8 - dis_BMI*($C8-21.75)))*AU8</f>
        <v>1.0617171696868813E-3</v>
      </c>
      <c r="BZ8">
        <f>0.962*(0.955*(0.9442 - 0.0007*$B8 - dis_BMI*($C8-21.75)) - 0.15*0.5)*AV8</f>
        <v>4.2706937941690293E-4</v>
      </c>
      <c r="CA8">
        <f>0.962*(0.955*(0.9442 - 0.0007*$B8 - dis_BMI*($C8-21.75)))*AW8</f>
        <v>9.4548908419816785E-4</v>
      </c>
      <c r="CB8">
        <f>0.962*(0.955*0.943*(0.9442 - 0.0007*$B8 - dis_BMI*($C8-21.75)) - 0.19*0.5)*AX8</f>
        <v>3.1356256961842425E-6</v>
      </c>
      <c r="CC8">
        <f>0.962*(0.955*0.943*(0.9442 - 0.0007*$B8 - dis_BMI*($C8-21.75)) - 0.15*0.5)*AY8</f>
        <v>3.0056610521747328E-6</v>
      </c>
      <c r="CD8">
        <f>0.962*(0.955*0.943*(0.9442 - 0.0007*$B8 - dis_BMI*($C8-21.75)))*AZ8</f>
        <v>4.491274835550064E-6</v>
      </c>
      <c r="CE8">
        <f>0.962*(0.93*(0.9442 - 0.0007*$B8 - dis_BMI*($C8-21.75)))*BA8</f>
        <v>6.7637723074942982E-5</v>
      </c>
      <c r="CF8">
        <f>0.962*(0.93*(0.9442 - 0.0007*$B8 - dis_BMI*($C8-21.75)))*BB8</f>
        <v>1.5072054092197455E-4</v>
      </c>
      <c r="CG8">
        <f>0.962*(0.93*0.943*(0.9442 - 0.0007*$B8 - dis_BMI*($C8-21.75)))*BC8</f>
        <v>4.6008190353615343E-7</v>
      </c>
      <c r="CH8">
        <f>0.962*(0.93*0.943*(0.9442 - 0.0007*$B8 - dis_BMI*($C8-21.75))-0.19*0.5)*BD8</f>
        <v>4.4902134477949645E-7</v>
      </c>
      <c r="CI8">
        <f>0.962*(0.93*0.943*(0.9442 - 0.0007*$B8 - dis_BMI*($C8-21.75)))*BE8</f>
        <v>6.7674039952847754E-7</v>
      </c>
      <c r="CJ8">
        <f t="shared" si="18"/>
        <v>0</v>
      </c>
      <c r="CK8">
        <f t="shared" si="19"/>
        <v>0.79466157175256513</v>
      </c>
      <c r="CL8">
        <f>CK8/(1+r_)^A8</f>
        <v>0.68548205240628945</v>
      </c>
      <c r="CM8">
        <f>AD8*c_BN_2</f>
        <v>1465.7252892117913</v>
      </c>
      <c r="CN8">
        <f>AE8*(c_Other+c_BN_2)</f>
        <v>225.02144694388301</v>
      </c>
      <c r="CO8">
        <f>AF8*(c_Stroke1+c_Stroke2+c_BN_2)</f>
        <v>42.742402381007835</v>
      </c>
      <c r="CP8">
        <f>AG8*(c_Stroke2 + c_BN_2)</f>
        <v>30.638941484650271</v>
      </c>
      <c r="CQ8">
        <f>AH8*(c_MI1+c_MI2 + c_BN_2)</f>
        <v>38.439897610430009</v>
      </c>
      <c r="CR8">
        <f>AI8*(c_MI2+c_BN_2)</f>
        <v>16.283473255563816</v>
      </c>
      <c r="CS8">
        <f>AJ8*(c_Stroke1+c_Stroke2+c_MI2+c_BN_2)</f>
        <v>0.21455824965901413</v>
      </c>
      <c r="CT8">
        <f>AK8*(c_Stroke2+c_MI1+c_MI2+c_BN_2)</f>
        <v>0.25457799865231828</v>
      </c>
      <c r="CU8">
        <f>AL8*(c_Stroke2+c_MI2+c_BN_2)</f>
        <v>0.13661687310978379</v>
      </c>
      <c r="CV8">
        <f>AM8*(c_HF1+c_BN_2)</f>
        <v>5.543783833188523</v>
      </c>
      <c r="CW8">
        <f>AN8*(c_HF2+c_BN_2)</f>
        <v>9.3087110098762551</v>
      </c>
      <c r="CX8">
        <f>AO8*(c_Stroke2+c_HF1+c_BN_2)</f>
        <v>3.5508796192741776E-2</v>
      </c>
      <c r="CY8">
        <f>AP8*(c_Stroke1+c_Stroke2+c_HF2+c_BN_2)</f>
        <v>4.6462014428727612E-2</v>
      </c>
      <c r="CZ8">
        <f>AQ8*(c_Stroke2+c_HF2+c_BN_2)</f>
        <v>4.4684242448335229E-2</v>
      </c>
      <c r="DA8">
        <f>AR8*(c_DM+c_BN_2)</f>
        <v>2690.4016231587598</v>
      </c>
      <c r="DB8">
        <f>AS8*(c_Other+c_DM+c_BN_2)</f>
        <v>155.16643902341488</v>
      </c>
      <c r="DC8">
        <f>AT8*(c_Stroke1+c_Stroke2+c_DM+c_BN_2)</f>
        <v>28.941735239118138</v>
      </c>
      <c r="DD8">
        <f>AU8*(c_Stroke2+c_DM+c_BN_2)</f>
        <v>27.20256262042038</v>
      </c>
      <c r="DE8">
        <f>AV8*(c_MI1+c_MI2+c_DM+c_BN_2)</f>
        <v>25.339427376266592</v>
      </c>
      <c r="DF8">
        <f>AW8*(c_MI2+c_DM+c_BN_2)</f>
        <v>19.878186546052341</v>
      </c>
      <c r="DG8">
        <f>AX8*(c_Stroke1+c_Stroke2+c_MI2+c_DM+c_BN_2)</f>
        <v>0.19370768814550623</v>
      </c>
      <c r="DH8">
        <f>AY8*(c_Stroke2+c_MI1+c_MI2+c_DM+c_BN_2)</f>
        <v>0.21925247687322108</v>
      </c>
      <c r="DI8">
        <f>AZ8*(c_Stroke2+c_MI2+c_DM+c_BN_2)</f>
        <v>0.13925481211586899</v>
      </c>
      <c r="DJ8">
        <f>BA8*(c_HF1+c_DM+c_BN_2)</f>
        <v>3.5591434048613664</v>
      </c>
      <c r="DK8">
        <f>BB8*(c_HF2+c_DM+c_BN_2)</f>
        <v>5.6964465565410602</v>
      </c>
      <c r="DL8">
        <f>BC8*(c_Stroke2+c_HF1+c_DM+c_BN_2)</f>
        <v>2.9788506907001255E-2</v>
      </c>
      <c r="DM8">
        <f>BD8*(c_Stroke1+c_Stroke2+c_HF2+c_DM+c_BN_2)</f>
        <v>3.7418283688480727E-2</v>
      </c>
      <c r="DN8">
        <f>BE8*(c_Stroke2+c_HF2+c_DM+c_BN_2)</f>
        <v>3.3176527898190228E-2</v>
      </c>
      <c r="DO8">
        <f t="shared" si="5"/>
        <v>0</v>
      </c>
      <c r="DP8">
        <f t="shared" si="38"/>
        <v>4791.2745161259445</v>
      </c>
      <c r="DQ8">
        <f>DP8/(1+r_)^A8</f>
        <v>4132.9954860062253</v>
      </c>
    </row>
    <row r="9" spans="1:121" x14ac:dyDescent="0.3">
      <c r="A9">
        <v>6</v>
      </c>
      <c r="B9">
        <v>51</v>
      </c>
      <c r="C9">
        <f t="shared" si="39"/>
        <v>36.251999999999995</v>
      </c>
      <c r="D9">
        <f t="shared" si="1"/>
        <v>125</v>
      </c>
      <c r="E9">
        <f t="shared" si="40"/>
        <v>5.7</v>
      </c>
      <c r="F9">
        <v>3.3800000000000002E-3</v>
      </c>
      <c r="G9">
        <v>5.3099999999999996E-3</v>
      </c>
      <c r="H9">
        <f t="shared" si="3"/>
        <v>3.7660000000000003E-3</v>
      </c>
      <c r="I9">
        <f t="shared" si="20"/>
        <v>4.7655426853004217E-2</v>
      </c>
      <c r="J9">
        <f t="shared" si="21"/>
        <v>0.10994101324470607</v>
      </c>
      <c r="K9">
        <f t="shared" si="22"/>
        <v>0.1505037807217352</v>
      </c>
      <c r="L9">
        <f t="shared" si="23"/>
        <v>5.3643186212086746E-2</v>
      </c>
      <c r="M9">
        <f t="shared" si="24"/>
        <v>7.4310979924655629E-2</v>
      </c>
      <c r="N9">
        <f t="shared" si="25"/>
        <v>0.23486425795425514</v>
      </c>
      <c r="O9">
        <f t="shared" si="26"/>
        <v>0.31494762863231707</v>
      </c>
      <c r="P9">
        <f t="shared" si="27"/>
        <v>0.12337850328253386</v>
      </c>
      <c r="Q9">
        <f t="shared" si="28"/>
        <v>0.16977815990657097</v>
      </c>
      <c r="R9">
        <f>IF(C9&lt;25, HT_f_low, IF(C9&lt;30, HT_f_mod, HT_f_high))</f>
        <v>0.42</v>
      </c>
      <c r="S9">
        <f>IF(C9&lt;25, HT_m_low, IF(C9&lt;30, HT_m_mod, HT_m_high))</f>
        <v>0.43099999999999999</v>
      </c>
      <c r="T9">
        <f>PREV_FEMALE*PREV_SMOKE*(1-$R9)*(1-EXP(-J9/10))+PREV_FEMALE*PREV_SMOKE*$R9*(1-EXP(-K9/10))+PREV_FEMALE*(1-PREV_SMOKE)*(1-$R9)*(1-EXP(-L9/10))+PREV_FEMALE*(1-PREV_SMOKE)*$R9*(1-EXP(-M9/10))+(1-PREV_FEMALE)*PREV_SMOKE*(1-$S9)*(1-EXP(-N9/10))+(1-PREV_FEMALE)*PREV_SMOKE*$S9*(1-EXP(-O9/10))+(1-PREV_FEMALE)*(1-PREV_SMOKE)*(1-$S9)*(1-EXP(-P9/10))+(1-PREV_FEMALE)*(1-PREV_SMOKE)*$S9*(1-EXP(-Q9/10))</f>
        <v>8.7652816003881365E-3</v>
      </c>
      <c r="U9">
        <f t="shared" si="29"/>
        <v>0.22389641070848898</v>
      </c>
      <c r="V9">
        <f t="shared" si="30"/>
        <v>0.29881361202917556</v>
      </c>
      <c r="W9">
        <f t="shared" si="31"/>
        <v>0.11307252341114338</v>
      </c>
      <c r="X9">
        <f t="shared" si="32"/>
        <v>0.15468661475823442</v>
      </c>
      <c r="Y9">
        <f t="shared" si="33"/>
        <v>0.36589193277613508</v>
      </c>
      <c r="Z9">
        <f t="shared" si="34"/>
        <v>0.47463770071867029</v>
      </c>
      <c r="AA9">
        <f t="shared" si="35"/>
        <v>0.2007436801853888</v>
      </c>
      <c r="AB9">
        <f t="shared" si="36"/>
        <v>0.27138768461579155</v>
      </c>
      <c r="AC9">
        <f>PREV_FEMALE*PREV_SMOKE*(1-$R9)*(1-EXP(-U9/10))+PREV_FEMALE*PREV_SMOKE*$R9*(1-EXP(-V9/10))+PREV_FEMALE*(1-PREV_SMOKE)*(1-$R9)*(1-EXP(-W9/10))+PREV_FEMALE*(1-PREV_SMOKE)*$R9*(1-EXP(-X9/10))+(1-PREV_FEMALE)*PREV_SMOKE*(1-$S9)*(1-EXP(-Y9/10))+(1-PREV_FEMALE)*PREV_SMOKE*$S9*(1-EXP(-Z9/10))+(1-PREV_FEMALE)*(1-PREV_SMOKE)*(1-$S9)*(1-EXP(-AA9/10))+(1-PREV_FEMALE)*(1-PREV_SMOKE)*$S9*(1-EXP(-AB9/10))</f>
        <v>1.6607242009656593E-2</v>
      </c>
      <c r="AD9">
        <f t="shared" si="37"/>
        <v>0.65851024469926966</v>
      </c>
      <c r="AE9">
        <f t="shared" si="6"/>
        <v>1.6001436405178961E-2</v>
      </c>
      <c r="AF9">
        <f t="shared" si="7"/>
        <v>1.7432434179950327E-3</v>
      </c>
      <c r="AG9">
        <f t="shared" si="8"/>
        <v>4.3085969468917044E-3</v>
      </c>
      <c r="AH9">
        <f t="shared" si="9"/>
        <v>1.2717193545042746E-3</v>
      </c>
      <c r="AI9">
        <f t="shared" si="10"/>
        <v>3.7599385142529809E-3</v>
      </c>
      <c r="AJ9">
        <f t="shared" si="11"/>
        <v>1.000707732256428E-5</v>
      </c>
      <c r="AK9">
        <f t="shared" si="12"/>
        <v>8.9464358199948241E-6</v>
      </c>
      <c r="AL9">
        <f t="shared" si="13"/>
        <v>1.9098450194832238E-5</v>
      </c>
      <c r="AM9">
        <f t="shared" si="14"/>
        <v>2.0380785883898593E-4</v>
      </c>
      <c r="AN9">
        <f t="shared" si="15"/>
        <v>6.7664867962702704E-4</v>
      </c>
      <c r="AO9">
        <f t="shared" si="16"/>
        <v>1.3785425906480058E-6</v>
      </c>
      <c r="AP9">
        <f>AM8*T8*p_Stroke*p_Stroke_rec*(1-I8) + AN8*T8*p_Stroke*p_Stroke_rec*(1-I8) + AO8*(p_recur_Stroke*p_Stroke_rec)*(1-I8) + AP8*(p_recur_Stroke*p_Stroke_rec)*(1-I8) + AQ8*(p_recur_Stroke*p_Stroke_rec)*(1-I8)</f>
        <v>1.61644718064657E-6</v>
      </c>
      <c r="AQ9">
        <f>AO8*(1-p_recur_Stroke-H8*rr_Stroke*rr_HF)*(1-I8) + AP8*(1-p_recur_Stroke-H8*rr_Stroke*rr_HF)*(1-I8) + AQ8*(1-p_recur_Stroke-H8*rr_Stroke*rr_HF)*(1-I8)</f>
        <v>3.2484126869232064E-6</v>
      </c>
      <c r="AR9">
        <f>AR8*(1-AC8-H8*rr_DM) + AD8*(1-T8-H8)*I8</f>
        <v>0.22803262116801482</v>
      </c>
      <c r="AS9">
        <f>AR8*AC8*p_Other + AD8*T8*p_Other*I8 + AE8*(1-T8*p_Stroke-T8*p_MI-H8*rr_Other)*I8 + AS8*(1-AC8*p_Stroke-AC8*p_MI-H8*rr_Other*rr_DM)</f>
        <v>8.0310257807439146E-3</v>
      </c>
      <c r="AT9">
        <f>AR8*AC8*p_Stroke*p_Stroke_rec + AD8*T8*p_Stroke*p_Stroke_rec*I8 + AE8*T8*p_Stroke*p_Stroke_rec*I8 + AF8*p_recur_Stroke*p_Stroke_rec*I8 + AG8*p_recur_Stroke*p_Stroke_rec*I8 + AS8*AC8*p_Stroke*p_Stroke_rec + AT8*p_recur_Stroke*p_Stroke_rec + AU8*p_recur_Stroke*p_Stroke_rec</f>
        <v>1.0067794252238908E-3</v>
      </c>
      <c r="AU9">
        <f>AF8*(1-p_recur_Stroke-T8*p_MI-H8*rr_Stroke)*I8 + AG8*(1-p_recur_Stroke-T8*p_MI-H8*rr_Stroke)*I8 + AT8*(1-p_recur_Stroke-AC8*p_MI-H8*rr_Stroke*rr_DM) + AU8*(1-p_recur_Stroke-AC8*p_MI-H8*rr_Stroke*rr_DM)</f>
        <v>2.0602274824324711E-3</v>
      </c>
      <c r="AV9">
        <f>AR8*AC8*p_MI*p_MI_rec_young + AD8*T8*p_MI*p_MI_rec_young*I8 + AE8*T8*p_MI*p_MI_rec_young*I8 +AH8*(PREV_FEMALE*p_recur_MI_F + (1-PREV_FEMALE)*p_recur_MI_M)*p_MI_rec_young*I8 + AI8*(PREV_FEMALE*p_recur_MI_F + (1-PREV_FEMALE)*p_recur_MI_M)*p_MI_rec_young*I8 + AS8*AC8*p_MI*p_MI_rec_young + AV8*(PREV_FEMALE*p_recur_MI_F + (1-PREV_FEMALE)*p_recur_MI_M)*p_MI_rec_young + AW8*(PREV_FEMALE*p_recur_MI_F + (1-PREV_FEMALE)*p_recur_MI_M)*p_MI_rec_young</f>
        <v>7.5593699777715075E-4</v>
      </c>
      <c r="AW9">
        <f>AH8*(1-(PREV_FEMALE*p_recur_MI_F + (1-PREV_FEMALE)*p_recur_MI_M) - T8*p_Stroke - p_toHF_young - H8*rr_MI)*I8 + AI8*(1-(PREV_FEMALE*p_recur_MI_F + (1-PREV_FEMALE)*p_recur_MI_M) - T8*p_Stroke - p_toHF_young - H8*rr_MI)*I8 + AV8*(1-(PREV_FEMALE*p_recur_MI_F + (1-PREV_FEMALE)*p_recur_MI_M) - AC8*p_Stroke - p_toHF_young - H8*rr_MI*rr_DM) + AW8*(1-(PREV_FEMALE*p_recur_MI_F + (1-PREV_FEMALE)*p_recur_MI_M) - AC8*p_Stroke - p_toHF_young - H8*rr_MI*rr_DM)</f>
        <v>1.8053689780861055E-3</v>
      </c>
      <c r="AX9">
        <f>AH8*T8*p_Stroke*p_Stroke_rec*I8 + AI8*T8*p_Stroke*p_Stroke_rec*I8 + AJ8*p_recur_Stroke*p_Stroke_rec*I8 + AK8*p_recur_Stroke*p_Stroke_rec*I8 + AL8*p_recur_Stroke*p_Stroke_rec*I8 + AV8*AC8*p_Stroke*p_Stroke_rec + AW8*AC8*p_Stroke*p_Stroke_rec + AX8*p_recur_Stroke*p_Stroke_rec + AY8*p_recur_Stroke*p_Stroke_rec + AZ8*p_recur_Stroke*p_Stroke_rec</f>
        <v>8.1661485910511043E-6</v>
      </c>
      <c r="AY9">
        <f>AF8*T8*p_MI*p_MI_rec_young*I8 + AG8*T8*p_MI*p_MI_rec_young*I8 + AJ8*(PREV_FEMALE*p_recur_MI_F+(1-PREV_FEMALE)*p_recur_MI_M)*p_MI_rec_young*I8 + AK8*(PREV_FEMALE*p_recur_MI_F+(1-PREV_FEMALE)*p_recur_MI_M)*p_MI_rec_young*I8 + AL8*(PREV_FEMALE*p_recur_MI_F+(1-PREV_FEMALE)*p_recur_MI_M)*p_MI_rec_young*I8 + AT8*AC8*p_MI*p_MI_rec_young + AU8*AC8*p_MI*p_MI_rec_young + AX8*(PREV_FEMALE*p_recur_MI_F+(1-PREV_FEMALE)*p_recur_MI_M)*p_MI_rec_young + AY8*(PREV_FEMALE*p_recur_MI_F+(1-PREV_FEMALE)*p_recur_MI_M)*p_MI_rec_young + AZ8*(PREV_FEMALE*p_recur_MI_F+(1-PREV_FEMALE)*p_recur_MI_M)*p_MI_rec_young</f>
        <v>7.462872806340309E-6</v>
      </c>
      <c r="AZ9">
        <f>AJ8*(1-p_recur_Stroke-(PREV_FEMALE*p_recur_MI_F + (1-PREV_FEMALE)*p_recur_MI_M) - p_toHF_young - H8*rr_MI*rr_Stroke)*I8 + AK8*(1-p_recur_Stroke-(PREV_FEMALE*p_recur_MI_F + (1-PREV_FEMALE)*p_recur_MI_M) - p_toHF_young - H8*rr_MI*rr_Stroke)*I8 + AL8*(1-p_recur_Stroke-(PREV_FEMALE*p_recur_MI_F + (1-PREV_FEMALE)*p_recur_MI_M) - p_toHF_young - H8*rr_MI*rr_Stroke)*I8 + AX8*(1-p_recur_Stroke-(PREV_FEMALE*p_recur_MI_F + (1-PREV_FEMALE)*p_recur_MI_M) - p_toHF_young - H8*rr_MI*rr_Stroke*rr_DM) + AY8*(1-p_recur_Stroke-(PREV_FEMALE*p_recur_MI_F + (1-PREV_FEMALE)*p_recur_MI_M) - p_toHF_young - H8*rr_MI*rr_Stroke*rr_DM) + AZ8*(1-p_recur_Stroke-(PREV_FEMALE*p_recur_MI_F + (1-PREV_FEMALE)*p_recur_MI_M) - p_toHF_young - H8*rr_MI*rr_Stroke*rr_DM)</f>
        <v>1.2783589179195816E-5</v>
      </c>
      <c r="BA9">
        <f>AR8*AC8*p_MI*p_MI_HF_young + AD8*T8*p_MI*p_MI_HF_young*I8 + AE8*T8*p_MI*p_MI_HF_young*I8 + AH8*p_toHF_young*I8 + AH8*(PREV_FEMALE*p_recur_MI_F + (1-PREV_FEMALE)*p_recur_MI_M)*p_MI_HF_young*I8 + AI8*p_toHF_young*I8 + AI8*(PREV_FEMALE*p_recur_MI_F + (1-PREV_FEMALE)*p_recur_MI_M)*p_MI_HF_young*I8 + AS8*AC8*p_MI*p_MI_HF_young + AV8*(PREV_FEMALE*p_recur_MI_F + (1-PREV_FEMALE)*p_recur_MI_M)*p_MI_HF_young + AV8*p_toHF_young + AW8*(PREV_FEMALE*p_recur_MI_F + (1-PREV_FEMALE)*p_recur_MI_M)*p_MI_HF_young + AW8*p_toHF_young</f>
        <v>1.1552128420513051E-4</v>
      </c>
      <c r="BB9">
        <f>AM8*(1-T8*p_Stroke - H8*rr_HF)*I8 + AN8*(1-T8*p_Stroke - H8*rr_HF)*I8 + BA8*(1-AC8*p_Stroke - H8*rr_HF*rr_DM) + BB8*(1-AC8*p_Stroke - H8*rr_HF*rr_DM)</f>
        <v>3.1419381988530807E-4</v>
      </c>
      <c r="BC9">
        <f>AF8*T8*p_MI*p_MI_HF_young*I8 + AG8*T8*p_MI*p_MI_HF_young*I8 + AJ8*(PREV_FEMALE*p_recur_MI_F + (1-PREV_FEMALE)*p_recur_MI_M)*p_MI_HF_young*I8 + AJ8*p_toHF_young*I8 + AK8*(PREV_FEMALE*p_recur_MI_F + (1-PREV_FEMALE)*p_recur_MI_M)*p_MI_HF_young*I8 + AK8*p_toHF_young*I8 + AL8*(PREV_FEMALE*p_recur_MI_F + (1-PREV_FEMALE)*p_recur_MI_M)*p_MI_HF_young*I8 + AL8*p_toHF_young*I8 + AT8*AC8*p_MI*p_MI_HF_young + AU8*AC8*p_MI*p_MI_HF_young + AX8*(PREV_FEMALE*p_recur_MI_F + (1-PREV_FEMALE)*p_recur_MI_M)*p_MI_HF_young + AX8*p_toHF_young + AY8*(PREV_FEMALE*p_recur_MI_F + (1-PREV_FEMALE)*p_recur_MI_M)*p_MI_HF_young + AY8*p_toHF_young + AZ8*(PREV_FEMALE*p_recur_MI_F + (1-PREV_FEMALE)*p_recur_MI_M)*p_MI_HF_young + AZ8*p_toHF_young</f>
        <v>1.1019326083004628E-6</v>
      </c>
      <c r="BD9">
        <f>AM8*T8*p_Stroke*p_Stroke_rec*I8 + AN8*T8*p_Stroke*p_Stroke_rec*I8 + AO8*(p_recur_Stroke*p_Stroke_rec)*I8 + AP8*(p_recur_Stroke*p_Stroke_rec)*I8 + AQ8*(p_recur_Stroke*p_Stroke_rec)*I8 + BA8*AC8*p_Stroke*p_Stroke_rec + BB8*AC8*p_Stroke*p_Stroke_rec + BC8*(p_recur_Stroke*p_Stroke_rec) + BD8*(p_recur_Stroke*p_Stroke_rec) + BE8*(p_recur_Stroke*p_Stroke_rec)</f>
        <v>1.2789791093602743E-6</v>
      </c>
      <c r="BE9">
        <f>AO8*(1-p_recur_Stroke - H8*rr_Stroke*rr_HF)*I8 + AP8*(1-p_recur_Stroke-H8*rr_Stroke*rr_HF)*I8 + AQ8*(1-p_recur_Stroke-H8*rr_Stroke*rr_HF)*I8 + BC8*(1-p_recur_Stroke - H8*rr_Stroke*rr_HF*rr_DM) + BD8*(1-p_recur_Stroke-H8*rr_Stroke*rr_HF*rr_DM) + BE8*(1-p_recur_Stroke-H8*rr_Stroke*rr_HF*rr_DM)</f>
        <v>2.111173642913432E-6</v>
      </c>
      <c r="BF9">
        <f>AD8*H8 + AE8*H8*rr_Other + AF8*H8*rr_Stroke + AG8*H8*rr_Stroke + AH8*H8*rr_MI + AI8*H8*rr_MI + AJ8*H8*rr_Stroke*rr_MI + AK8*H8*rr_Stroke*rr_MI + AL8*H8*rr_Stroke*rr_MI + AM8*H8*rr_HF + AN8*H8*rr_HF + AO8*H8*rr_Stroke*rr_HF + AP8*H8*rr_Stroke*rr_HF + AR8*H8*rr_DM + AS8*H8*rr_DM*rr_Other + AT8*H8*rr_DM*rr_Stroke + AU8*H8*rr_DM*rr_Stroke + AV8*H8*rr_DM*rr_MI + AW8*H8*rr_DM*rr_MI + AX8*H8*rr_DM*rr_Stroke*rr_MI + AY8*H8*rr_DM*rr_Stroke*rr_MI + AZ8*H8*rr_DM*rr_Stroke*rr_MI + BA8*H8*rr_DM*rr_HF + BB8*H8*rr_DM*rr_HF + BC8*H8*rr_DM*rr_Stroke*rr_HF + BD8*H8*rr_DM*rr_Stroke*rr_HF + AQ8*H8*rr_Stroke*rr_HF + BE8*H8*rr_DM*rr_Stroke*rr_HF
+ AD8*T8*p_MI*p_MI_mort + AD8*T8*p_Stroke*p_Stroke_mort + AE8*T8*p_MI*p_MI_mort + AE8*T8*p_Stroke*p_Stroke_mort + AF8*T8*p_MI*p_MI_mort + AF8*p_recur_Stroke*p_Stroke_mort + AG8*T8*p_MI*p_MI_mort + AG8*p_recur_Stroke*p_Stroke_mort + AH8*(PREV_FEMALE*p_recur_MI_F + (1-PREV_FEMALE)*p_recur_MI_M)*p_MI_mort + AH8*T8*p_Stroke*p_Stroke_mort + AI8*(PREV_FEMALE*p_recur_MI_F + (1-PREV_FEMALE)*p_recur_MI_M)*p_MI_mort + AI8*T8*p_Stroke*p_Stroke_mort + AJ8*(PREV_FEMALE*p_recur_MI_F + (1-PREV_FEMALE)*p_recur_MI_M)*p_MI_mort + AJ8*p_recur_Stroke*p_Stroke_mort + AK8*(PREV_FEMALE*p_recur_MI_F + (1-PREV_FEMALE)*p_recur_MI_M)*p_MI_mort + AK8*p_recur_Stroke*p_Stroke_mort + AL8*(PREV_FEMALE*p_recur_MI_F + (1-PREV_FEMALE)*p_recur_MI_M)*p_MI_mort + AL8*p_recur_Stroke*p_Stroke_mort + AM8*T8*p_Stroke*p_Stroke_mort + AN8*T8*p_Stroke*p_Stroke_mort + AO8*p_recur_Stroke*p_Stroke_mort + AP8*p_recur_Stroke*p_Stroke_mort + AQ8*p_recur_Stroke*p_Stroke_mort
+ AR8*AC8*p_MI*p_MI_mort + AR8*AC8*p_Stroke*p_Stroke_mort + AS8*AC8*p_MI*p_MI_mort + AS8*AC8*p_Stroke*p_Stroke_mort + AT8*AC8*p_MI*p_MI_mort + AT8*p_recur_Stroke*p_Stroke_mort + AU8*AC8*p_MI*p_MI_mort + AU8*p_recur_Stroke*p_Stroke_mort + AV8*(PREV_FEMALE*p_recur_MI_F + (1-PREV_FEMALE)*p_recur_MI_M)*p_MI_mort + AV8*AC8*p_Stroke*p_Stroke_mort + AW8*(PREV_FEMALE*p_recur_MI_F + (1-PREV_FEMALE)*p_recur_MI_M)*p_MI_mort + AW8*AC8*p_Stroke*p_Stroke_mort + AX8*(PREV_FEMALE*p_recur_MI_F + (1-PREV_FEMALE)*p_recur_MI_M)*p_MI_mort + AX8*p_recur_Stroke*p_Stroke_mort + AY8*(PREV_FEMALE*p_recur_MI_F + (1-PREV_FEMALE)*p_recur_MI_M)*p_MI_mort + AY8*p_recur_Stroke*p_Stroke_mort + AZ8*(PREV_FEMALE*p_recur_MI_F + (1-PREV_FEMALE)*p_recur_MI_M)*p_MI_mort + AZ8*p_recur_Stroke*p_Stroke_mort + BA8*AC8*p_Stroke*p_Stroke_mort + BB8*AC8*p_Stroke*p_Stroke_mort + BC8*p_recur_Stroke*p_Stroke_mort + BD8*p_recur_Stroke*p_Stroke_mort + BE8*p_recur_Stroke*p_Stroke_mort
+BF8</f>
        <v>1.832548912533986E-2</v>
      </c>
      <c r="BG9">
        <f t="shared" si="17"/>
        <v>0.94699999999999984</v>
      </c>
      <c r="BH9">
        <f>(0.9442 - 0.0007*$B9 - dis_BMI*($C9-21.75))*AD9</f>
        <v>0.56674249593281145</v>
      </c>
      <c r="BI9">
        <f>0.959*(0.9442 - 0.0007*$B9 - dis_BMI*($C9-21.75))*AE9</f>
        <v>1.3206897876698882E-2</v>
      </c>
      <c r="BJ9">
        <f>(0.943*(0.9442 - 0.0007*$B9 - dis_BMI*($C9-21.75)) - 0.19*0.5)*AF9</f>
        <v>1.2491850938707587E-3</v>
      </c>
      <c r="BK9">
        <f>(0.943*(0.9442 - 0.0007*$B9 - dis_BMI*($C9-21.75)))*AG9</f>
        <v>3.496800090643154E-3</v>
      </c>
      <c r="BL9">
        <f>(0.955*(0.9442 - 0.0007*$B9 - dis_BMI*($C9-21.75)) - 0.15*0.5)*AH9</f>
        <v>9.4986555840875732E-4</v>
      </c>
      <c r="BM9">
        <f>(0.955*(0.9442 - 0.0007*$B9 - dis_BMI*($C9-21.75)))*AI9</f>
        <v>3.0903477846962405E-3</v>
      </c>
      <c r="BN9">
        <f>(0.955*0.943*(0.9442 - 0.0007*$B9 - dis_BMI*($C9-21.75)) - 0.19*0.5)*AJ9</f>
        <v>6.8054662768693399E-6</v>
      </c>
      <c r="BO9">
        <f>(0.955*0.943*(0.9442 - 0.0007*$B9 - dis_BMI*($C9-21.75)) - 0.15*0.5)*AK9</f>
        <v>6.2630894866845394E-6</v>
      </c>
      <c r="BP9">
        <f>(0.955*0.943*(0.9442 - 0.0007*$B9 - dis_BMI*($C9-21.75)))*AL9</f>
        <v>1.4802546479007354E-5</v>
      </c>
      <c r="BQ9">
        <f>(0.93*(0.9442 - 0.0007*$B9 - dis_BMI*($C9-21.75)))*AM9</f>
        <v>1.6312747637745159E-4</v>
      </c>
      <c r="BR9">
        <f>(0.93*(0.9442 - 0.0007*$B9 - dis_BMI*($C9-21.75)))*AN9</f>
        <v>5.415884948229353E-4</v>
      </c>
      <c r="BS9">
        <f>(0.93*0.943*(0.9442 - 0.0007*$B9 - dis_BMI*($C9-21.75)))*AO9</f>
        <v>1.0404903873062922E-6</v>
      </c>
      <c r="BT9">
        <f>(0.93*0.943*(0.9442 - 0.0007*$B9 - dis_BMI*($C9-21.75))-0.19*0.5)*AP9</f>
        <v>1.0664924979756139E-6</v>
      </c>
      <c r="BU9">
        <f>(0.93*0.943*(0.9442 - 0.0007*$B9 - dis_BMI*($C9-21.75)))*AQ9</f>
        <v>2.4518228146716924E-6</v>
      </c>
      <c r="BV9">
        <f>0.962*(0.9442 - 0.0007*$B9 - dis_BMI*($C9-21.75))*AR9</f>
        <v>0.18879708911802007</v>
      </c>
      <c r="BW9">
        <f>0.962*0.959*(0.9442 - 0.0007*$B9 - dis_BMI*($C9-21.75))*AS9</f>
        <v>6.3765818973478359E-3</v>
      </c>
      <c r="BX9">
        <f>0.962*(0.943*(0.9442 - 0.0007*$B9 - dis_BMI*($C9-21.75)) - 0.19*0.5)*AT9</f>
        <v>6.9402987097829088E-4</v>
      </c>
      <c r="BY9">
        <f>0.962*(0.943*(0.9442 - 0.0007*$B9 - dis_BMI*($C9-21.75)))*AU9</f>
        <v>1.6085152531422411E-3</v>
      </c>
      <c r="BZ9">
        <f>0.962*(0.955*(0.9442 - 0.0007*$B9 - dis_BMI*($C9-21.75)) - 0.15*0.5)*AV9</f>
        <v>5.4316469460442157E-4</v>
      </c>
      <c r="CA9">
        <f>0.962*(0.955*(0.9442 - 0.0007*$B9 - dis_BMI*($C9-21.75)))*AW9</f>
        <v>1.4274722091349218E-3</v>
      </c>
      <c r="CB9">
        <f>0.962*(0.955*0.943*(0.9442 - 0.0007*$B9 - dis_BMI*($C9-21.75)) - 0.19*0.5)*AX9</f>
        <v>5.3424809331209659E-6</v>
      </c>
      <c r="CC9">
        <f>0.962*(0.955*0.943*(0.9442 - 0.0007*$B9 - dis_BMI*($C9-21.75)) - 0.15*0.5)*AY9</f>
        <v>5.025967523875167E-6</v>
      </c>
      <c r="CD9">
        <f>0.962*(0.955*0.943*(0.9442 - 0.0007*$B9 - dis_BMI*($C9-21.75)))*AZ9</f>
        <v>9.5316082489815068E-6</v>
      </c>
      <c r="CE9">
        <f>0.962*(0.93*(0.9442 - 0.0007*$B9 - dis_BMI*($C9-21.75)))*BA9</f>
        <v>8.8949450881073869E-5</v>
      </c>
      <c r="CF9">
        <f>0.962*(0.93*(0.9442 - 0.0007*$B9 - dis_BMI*($C9-21.75)))*BB9</f>
        <v>2.4192397047282816E-4</v>
      </c>
      <c r="CG9">
        <f>0.962*(0.93*0.943*(0.9442 - 0.0007*$B9 - dis_BMI*($C9-21.75)))*BC9</f>
        <v>8.0010685414838001E-7</v>
      </c>
      <c r="CH9">
        <f>0.962*(0.93*0.943*(0.9442 - 0.0007*$B9 - dis_BMI*($C9-21.75))-0.19*0.5)*BD9</f>
        <v>8.1177338743464937E-7</v>
      </c>
      <c r="CI9">
        <f>0.962*(0.93*0.943*(0.9442 - 0.0007*$B9 - dis_BMI*($C9-21.75)))*BE9</f>
        <v>1.5329108960643977E-6</v>
      </c>
      <c r="CJ9">
        <f t="shared" si="18"/>
        <v>0</v>
      </c>
      <c r="CK9">
        <f t="shared" si="19"/>
        <v>0.78927350952869735</v>
      </c>
      <c r="CL9">
        <f>CK9/(1+r_)^A9</f>
        <v>0.66100413844774031</v>
      </c>
      <c r="CM9">
        <f>AD9*c_BN_2</f>
        <v>1379.57896264497</v>
      </c>
      <c r="CN9">
        <f>AE9*(c_Other+c_BN_2)</f>
        <v>262.0075196984003</v>
      </c>
      <c r="CO9">
        <f>AF9*(c_Stroke1+c_Stroke2+c_BN_2)</f>
        <v>45.169180203669292</v>
      </c>
      <c r="CP9">
        <f>AG9*(c_Stroke2 + c_BN_2)</f>
        <v>37.032390758534198</v>
      </c>
      <c r="CQ9">
        <f>AH9*(c_MI1+c_MI2 + c_BN_2)</f>
        <v>39.736142950840566</v>
      </c>
      <c r="CR9">
        <f>AI9*(c_MI2+c_BN_2)</f>
        <v>19.596799536286536</v>
      </c>
      <c r="CS9">
        <f>AJ9*(c_Stroke1+c_Stroke2+c_MI2+c_BN_2)</f>
        <v>0.2904854405193959</v>
      </c>
      <c r="CT9">
        <f>AK9*(c_Stroke2+c_MI1+c_MI2+c_BN_2)</f>
        <v>0.33769216646152461</v>
      </c>
      <c r="CU9">
        <f>AL9*(c_Stroke2+c_MI2+c_BN_2)</f>
        <v>0.22368104868187519</v>
      </c>
      <c r="CV9">
        <f>AM9*(c_HF1+c_BN_2)</f>
        <v>5.9359038886854654</v>
      </c>
      <c r="CW9">
        <f>AN9*(c_HF2+c_BN_2)</f>
        <v>11.976681629398378</v>
      </c>
      <c r="CX9">
        <f>AO9*(c_Stroke2+c_HF1+c_BN_2)</f>
        <v>4.9110579791835203E-2</v>
      </c>
      <c r="CY9">
        <f>AP9*(c_Stroke1+c_Stroke2+c_HF2+c_BN_2)</f>
        <v>6.7108421151722997E-2</v>
      </c>
      <c r="CZ9">
        <f>AQ9*(c_Stroke2+c_HF2+c_BN_2)</f>
        <v>7.8611587023541596E-2</v>
      </c>
      <c r="DA9">
        <f>AR9*(c_DM+c_BN_2)</f>
        <v>3083.0010381915604</v>
      </c>
      <c r="DB9">
        <f>AS9*(c_Other+c_DM+c_BN_2)</f>
        <v>223.2544856789001</v>
      </c>
      <c r="DC9">
        <f>AT9*(c_Stroke1+c_Stroke2+c_DM+c_BN_2)</f>
        <v>37.589116620159189</v>
      </c>
      <c r="DD9">
        <f>AU9*(c_Stroke2+c_DM+c_BN_2)</f>
        <v>41.245754198298073</v>
      </c>
      <c r="DE9">
        <f>AV9*(c_MI1+c_MI2+c_DM+c_BN_2)</f>
        <v>32.256587632148801</v>
      </c>
      <c r="DF9">
        <f>AW9*(c_MI2+c_DM+c_BN_2)</f>
        <v>30.035923688418539</v>
      </c>
      <c r="DG9">
        <f>AX9*(c_Stroke1+c_Stroke2+c_MI2+c_DM+c_BN_2)</f>
        <v>0.33034520895379033</v>
      </c>
      <c r="DH9">
        <f>AY9*(c_Stroke2+c_MI1+c_MI2+c_DM+c_BN_2)</f>
        <v>0.36695691876055936</v>
      </c>
      <c r="DI9">
        <f>AZ9*(c_Stroke2+c_MI2+c_DM+c_BN_2)</f>
        <v>0.29577390283905358</v>
      </c>
      <c r="DJ9">
        <f>BA9*(c_HF1+c_DM+c_BN_2)</f>
        <v>4.6843880745180417</v>
      </c>
      <c r="DK9">
        <f>BB9*(c_HF2+c_DM+c_BN_2)</f>
        <v>9.1508950041595973</v>
      </c>
      <c r="DL9">
        <f>BC9*(c_Stroke2+c_HF1+c_DM+c_BN_2)</f>
        <v>5.1845929220536775E-2</v>
      </c>
      <c r="DM9">
        <f>BD9*(c_Stroke1+c_Stroke2+c_HF2+c_DM+c_BN_2)</f>
        <v>6.7710433028642283E-2</v>
      </c>
      <c r="DN9">
        <f>BE9*(c_Stroke2+c_HF2+c_DM+c_BN_2)</f>
        <v>7.521056102879102E-2</v>
      </c>
      <c r="DO9">
        <f t="shared" si="5"/>
        <v>0</v>
      </c>
      <c r="DP9">
        <f t="shared" si="38"/>
        <v>5264.4863025964087</v>
      </c>
      <c r="DQ9">
        <f>DP9/(1+r_)^A9</f>
        <v>4408.9243979512339</v>
      </c>
    </row>
    <row r="10" spans="1:121" x14ac:dyDescent="0.3">
      <c r="A10">
        <v>7</v>
      </c>
      <c r="B10">
        <v>52</v>
      </c>
      <c r="C10">
        <f t="shared" si="39"/>
        <v>36.251999999999995</v>
      </c>
      <c r="D10">
        <f t="shared" si="1"/>
        <v>125</v>
      </c>
      <c r="E10">
        <f t="shared" si="40"/>
        <v>5.7</v>
      </c>
      <c r="F10">
        <v>3.5999999999999999E-3</v>
      </c>
      <c r="G10">
        <v>5.8500000000000002E-3</v>
      </c>
      <c r="H10">
        <f t="shared" si="3"/>
        <v>4.0499999999999998E-3</v>
      </c>
      <c r="I10">
        <f t="shared" si="20"/>
        <v>4.7655426853004217E-2</v>
      </c>
      <c r="J10">
        <f t="shared" si="21"/>
        <v>0.11554790860218833</v>
      </c>
      <c r="K10">
        <f t="shared" si="22"/>
        <v>0.15798886473650442</v>
      </c>
      <c r="L10">
        <f t="shared" si="23"/>
        <v>5.6470069185031613E-2</v>
      </c>
      <c r="M10">
        <f t="shared" si="24"/>
        <v>7.8181224954725237E-2</v>
      </c>
      <c r="N10">
        <f t="shared" si="25"/>
        <v>0.24752184029639812</v>
      </c>
      <c r="O10">
        <f t="shared" si="26"/>
        <v>0.33090582675451918</v>
      </c>
      <c r="P10">
        <f t="shared" si="27"/>
        <v>0.13054206752637731</v>
      </c>
      <c r="Q10">
        <f t="shared" si="28"/>
        <v>0.17934823436938929</v>
      </c>
      <c r="R10">
        <f>IF(C10&lt;25, HT_f_low, IF(C10&lt;30, HT_f_mod, HT_f_high))</f>
        <v>0.42</v>
      </c>
      <c r="S10">
        <f>IF(C10&lt;25, HT_m_low, IF(C10&lt;30, HT_m_mod, HT_m_high))</f>
        <v>0.43099999999999999</v>
      </c>
      <c r="T10">
        <f>PREV_FEMALE*PREV_SMOKE*(1-$R10)*(1-EXP(-J10/10))+PREV_FEMALE*PREV_SMOKE*$R10*(1-EXP(-K10/10))+PREV_FEMALE*(1-PREV_SMOKE)*(1-$R10)*(1-EXP(-L10/10))+PREV_FEMALE*(1-PREV_SMOKE)*$R10*(1-EXP(-M10/10))+(1-PREV_FEMALE)*PREV_SMOKE*(1-$S10)*(1-EXP(-N10/10))+(1-PREV_FEMALE)*PREV_SMOKE*$S10*(1-EXP(-O10/10))+(1-PREV_FEMALE)*(1-PREV_SMOKE)*(1-$S10)*(1-EXP(-P10/10))+(1-PREV_FEMALE)*(1-PREV_SMOKE)*$S10*(1-EXP(-Q10/10))</f>
        <v>9.2310447700100096E-3</v>
      </c>
      <c r="U10">
        <f t="shared" si="29"/>
        <v>0.23449705583642388</v>
      </c>
      <c r="V10">
        <f t="shared" si="30"/>
        <v>0.31218984366810232</v>
      </c>
      <c r="W10">
        <f t="shared" si="31"/>
        <v>0.11882822010949134</v>
      </c>
      <c r="X10">
        <f t="shared" si="32"/>
        <v>0.16235921403069586</v>
      </c>
      <c r="Y10">
        <f t="shared" si="33"/>
        <v>0.3836385036587413</v>
      </c>
      <c r="Z10">
        <f t="shared" si="34"/>
        <v>0.49529234608144235</v>
      </c>
      <c r="AA10">
        <f t="shared" si="35"/>
        <v>0.21182588555854875</v>
      </c>
      <c r="AB10">
        <f t="shared" si="36"/>
        <v>0.28562167706905739</v>
      </c>
      <c r="AC10">
        <f>PREV_FEMALE*PREV_SMOKE*(1-$R10)*(1-EXP(-U10/10))+PREV_FEMALE*PREV_SMOKE*$R10*(1-EXP(-V10/10))+PREV_FEMALE*(1-PREV_SMOKE)*(1-$R10)*(1-EXP(-W10/10))+PREV_FEMALE*(1-PREV_SMOKE)*$R10*(1-EXP(-X10/10))+(1-PREV_FEMALE)*PREV_SMOKE*(1-$S10)*(1-EXP(-Y10/10))+(1-PREV_FEMALE)*PREV_SMOKE*$S10*(1-EXP(-Z10/10))+(1-PREV_FEMALE)*(1-PREV_SMOKE)*(1-$S10)*(1-EXP(-AA10/10))+(1-PREV_FEMALE)*(1-PREV_SMOKE)*$S10*(1-EXP(-AB10/10))</f>
        <v>1.7432863446877243E-2</v>
      </c>
      <c r="AD10">
        <f t="shared" si="37"/>
        <v>0.61926993208921821</v>
      </c>
      <c r="AE10">
        <f t="shared" si="6"/>
        <v>1.809306055249495E-2</v>
      </c>
      <c r="AF10">
        <f t="shared" si="7"/>
        <v>1.8277041307239287E-3</v>
      </c>
      <c r="AG10">
        <f t="shared" si="8"/>
        <v>4.9927738777158443E-3</v>
      </c>
      <c r="AH10">
        <f t="shared" si="9"/>
        <v>1.307868046970426E-3</v>
      </c>
      <c r="AI10">
        <f t="shared" si="10"/>
        <v>4.3411184150631971E-3</v>
      </c>
      <c r="AJ10">
        <f t="shared" si="11"/>
        <v>1.2888385380626654E-5</v>
      </c>
      <c r="AK10">
        <f t="shared" si="12"/>
        <v>1.1323682680758925E-5</v>
      </c>
      <c r="AL10">
        <f t="shared" si="13"/>
        <v>2.8094888314107662E-5</v>
      </c>
      <c r="AM10">
        <f t="shared" si="14"/>
        <v>2.1592567203232351E-4</v>
      </c>
      <c r="AN10">
        <f t="shared" si="15"/>
        <v>8.3106041598124229E-4</v>
      </c>
      <c r="AO10">
        <f t="shared" si="16"/>
        <v>1.806510615578218E-6</v>
      </c>
      <c r="AP10">
        <f>AM9*T9*p_Stroke*p_Stroke_rec*(1-I9) + AN9*T9*p_Stroke*p_Stroke_rec*(1-I9) + AO9*(p_recur_Stroke*p_Stroke_rec)*(1-I9) + AP9*(p_recur_Stroke*p_Stroke_rec)*(1-I9) + AQ9*(p_recur_Stroke*p_Stroke_rec)*(1-I9)</f>
        <v>2.2116145121927003E-6</v>
      </c>
      <c r="AQ10">
        <f>AO9*(1-p_recur_Stroke-H9*rr_Stroke*rr_HF)*(1-I9) + AP9*(1-p_recur_Stroke-H9*rr_Stroke*rr_HF)*(1-I9) + AQ9*(1-p_recur_Stroke-H9*rr_Stroke*rr_HF)*(1-I9)</f>
        <v>5.1048068842396051E-6</v>
      </c>
      <c r="AR10">
        <f>AR9*(1-AC9-H9*rr_DM) + AD9*(1-T9-H9)*I9</f>
        <v>0.25424637706014913</v>
      </c>
      <c r="AS10">
        <f>AR9*AC9*p_Other + AD9*T9*p_Other*I9 + AE9*(1-T9*p_Stroke-T9*p_MI-H9*rr_Other)*I9 + AS9*(1-AC9*p_Stroke-AC9*p_MI-H9*rr_Other*rr_DM)</f>
        <v>1.0893147706598867E-2</v>
      </c>
      <c r="AT10">
        <f>AR9*AC9*p_Stroke*p_Stroke_rec + AD9*T9*p_Stroke*p_Stroke_rec*I9 + AE9*T9*p_Stroke*p_Stroke_rec*I9 + AF9*p_recur_Stroke*p_Stroke_rec*I9 + AG9*p_recur_Stroke*p_Stroke_rec*I9 + AS9*AC9*p_Stroke*p_Stroke_rec + AT9*p_recur_Stroke*p_Stroke_rec + AU9*p_recur_Stroke*p_Stroke_rec</f>
        <v>1.2596055475326278E-3</v>
      </c>
      <c r="AU10">
        <f>AF9*(1-p_recur_Stroke-T9*p_MI-H9*rr_Stroke)*I9 + AG9*(1-p_recur_Stroke-T9*p_MI-H9*rr_Stroke)*I9 + AT9*(1-p_recur_Stroke-AC9*p_MI-H9*rr_Stroke*rr_DM) + AU9*(1-p_recur_Stroke-AC9*p_MI-H9*rr_Stroke*rr_DM)</f>
        <v>2.8960239575854122E-3</v>
      </c>
      <c r="AV10">
        <f>AR9*AC9*p_MI*p_MI_rec_young + AD9*T9*p_MI*p_MI_rec_young*I9 + AE9*T9*p_MI*p_MI_rec_young*I9 +AH9*(PREV_FEMALE*p_recur_MI_F + (1-PREV_FEMALE)*p_recur_MI_M)*p_MI_rec_young*I9 + AI9*(PREV_FEMALE*p_recur_MI_F + (1-PREV_FEMALE)*p_recur_MI_M)*p_MI_rec_young*I9 + AS9*AC9*p_MI*p_MI_rec_young + AV9*(PREV_FEMALE*p_recur_MI_F + (1-PREV_FEMALE)*p_recur_MI_M)*p_MI_rec_young + AW9*(PREV_FEMALE*p_recur_MI_F + (1-PREV_FEMALE)*p_recur_MI_M)*p_MI_rec_young</f>
        <v>9.2894134522471857E-4</v>
      </c>
      <c r="AW10">
        <f>AH9*(1-(PREV_FEMALE*p_recur_MI_F + (1-PREV_FEMALE)*p_recur_MI_M) - T9*p_Stroke - p_toHF_young - H9*rr_MI)*I9 + AI9*(1-(PREV_FEMALE*p_recur_MI_F + (1-PREV_FEMALE)*p_recur_MI_M) - T9*p_Stroke - p_toHF_young - H9*rr_MI)*I9 + AV9*(1-(PREV_FEMALE*p_recur_MI_F + (1-PREV_FEMALE)*p_recur_MI_M) - AC9*p_Stroke - p_toHF_young - H9*rr_MI*rr_DM) + AW9*(1-(PREV_FEMALE*p_recur_MI_F + (1-PREV_FEMALE)*p_recur_MI_M) - AC9*p_Stroke - p_toHF_young - H9*rr_MI*rr_DM)</f>
        <v>2.5306976794139771E-3</v>
      </c>
      <c r="AX10">
        <f>AH9*T9*p_Stroke*p_Stroke_rec*I9 + AI9*T9*p_Stroke*p_Stroke_rec*I9 + AJ9*p_recur_Stroke*p_Stroke_rec*I9 + AK9*p_recur_Stroke*p_Stroke_rec*I9 + AL9*p_recur_Stroke*p_Stroke_rec*I9 + AV9*AC9*p_Stroke*p_Stroke_rec + AW9*AC9*p_Stroke*p_Stroke_rec + AX9*p_recur_Stroke*p_Stroke_rec + AY9*p_recur_Stroke*p_Stroke_rec + AZ9*p_recur_Stroke*p_Stroke_rec</f>
        <v>1.2782354312683484E-5</v>
      </c>
      <c r="AY10">
        <f>AF9*T9*p_MI*p_MI_rec_young*I9 + AG9*T9*p_MI*p_MI_rec_young*I9 + AJ9*(PREV_FEMALE*p_recur_MI_F+(1-PREV_FEMALE)*p_recur_MI_M)*p_MI_rec_young*I9 + AK9*(PREV_FEMALE*p_recur_MI_F+(1-PREV_FEMALE)*p_recur_MI_M)*p_MI_rec_young*I9 + AL9*(PREV_FEMALE*p_recur_MI_F+(1-PREV_FEMALE)*p_recur_MI_M)*p_MI_rec_young*I9 + AT9*AC9*p_MI*p_MI_rec_young + AU9*AC9*p_MI*p_MI_rec_young + AX9*(PREV_FEMALE*p_recur_MI_F+(1-PREV_FEMALE)*p_recur_MI_M)*p_MI_rec_young + AY9*(PREV_FEMALE*p_recur_MI_F+(1-PREV_FEMALE)*p_recur_MI_M)*p_MI_rec_young + AZ9*(PREV_FEMALE*p_recur_MI_F+(1-PREV_FEMALE)*p_recur_MI_M)*p_MI_rec_young</f>
        <v>1.1489620432110762E-5</v>
      </c>
      <c r="AZ10">
        <f>AJ9*(1-p_recur_Stroke-(PREV_FEMALE*p_recur_MI_F + (1-PREV_FEMALE)*p_recur_MI_M) - p_toHF_young - H9*rr_MI*rr_Stroke)*I9 + AK9*(1-p_recur_Stroke-(PREV_FEMALE*p_recur_MI_F + (1-PREV_FEMALE)*p_recur_MI_M) - p_toHF_young - H9*rr_MI*rr_Stroke)*I9 + AL9*(1-p_recur_Stroke-(PREV_FEMALE*p_recur_MI_F + (1-PREV_FEMALE)*p_recur_MI_M) - p_toHF_young - H9*rr_MI*rr_Stroke)*I9 + AX9*(1-p_recur_Stroke-(PREV_FEMALE*p_recur_MI_F + (1-PREV_FEMALE)*p_recur_MI_M) - p_toHF_young - H9*rr_MI*rr_Stroke*rr_DM) + AY9*(1-p_recur_Stroke-(PREV_FEMALE*p_recur_MI_F + (1-PREV_FEMALE)*p_recur_MI_M) - p_toHF_young - H9*rr_MI*rr_Stroke*rr_DM) + AZ9*(1-p_recur_Stroke-(PREV_FEMALE*p_recur_MI_F + (1-PREV_FEMALE)*p_recur_MI_M) - p_toHF_young - H9*rr_MI*rr_Stroke*rr_DM)</f>
        <v>2.3354100601277624E-5</v>
      </c>
      <c r="BA10">
        <f>AR9*AC9*p_MI*p_MI_HF_young + AD9*T9*p_MI*p_MI_HF_young*I9 + AE9*T9*p_MI*p_MI_HF_young*I9 + AH9*p_toHF_young*I9 + AH9*(PREV_FEMALE*p_recur_MI_F + (1-PREV_FEMALE)*p_recur_MI_M)*p_MI_HF_young*I9 + AI9*p_toHF_young*I9 + AI9*(PREV_FEMALE*p_recur_MI_F + (1-PREV_FEMALE)*p_recur_MI_M)*p_MI_HF_young*I9 + AS9*AC9*p_MI*p_MI_HF_young + AV9*(PREV_FEMALE*p_recur_MI_F + (1-PREV_FEMALE)*p_recur_MI_M)*p_MI_HF_young + AV9*p_toHF_young + AW9*(PREV_FEMALE*p_recur_MI_F + (1-PREV_FEMALE)*p_recur_MI_M)*p_MI_HF_young + AW9*p_toHF_young</f>
        <v>1.4613658382308048E-4</v>
      </c>
      <c r="BB10">
        <f>AM9*(1-T9*p_Stroke - H9*rr_HF)*I9 + AN9*(1-T9*p_Stroke - H9*rr_HF)*I9 + BA9*(1-AC9*p_Stroke - H9*rr_HF*rr_DM) + BB9*(1-AC9*p_Stroke - H9*rr_HF*rr_DM)</f>
        <v>4.6627297367130271E-4</v>
      </c>
      <c r="BC10">
        <f>AF9*T9*p_MI*p_MI_HF_young*I9 + AG9*T9*p_MI*p_MI_HF_young*I9 + AJ9*(PREV_FEMALE*p_recur_MI_F + (1-PREV_FEMALE)*p_recur_MI_M)*p_MI_HF_young*I9 + AJ9*p_toHF_young*I9 + AK9*(PREV_FEMALE*p_recur_MI_F + (1-PREV_FEMALE)*p_recur_MI_M)*p_MI_HF_young*I9 + AK9*p_toHF_young*I9 + AL9*(PREV_FEMALE*p_recur_MI_F + (1-PREV_FEMALE)*p_recur_MI_M)*p_MI_HF_young*I9 + AL9*p_toHF_young*I9 + AT9*AC9*p_MI*p_MI_HF_young + AU9*AC9*p_MI*p_MI_HF_young + AX9*(PREV_FEMALE*p_recur_MI_F + (1-PREV_FEMALE)*p_recur_MI_M)*p_MI_HF_young + AX9*p_toHF_young + AY9*(PREV_FEMALE*p_recur_MI_F + (1-PREV_FEMALE)*p_recur_MI_M)*p_MI_HF_young + AY9*p_toHF_young + AZ9*(PREV_FEMALE*p_recur_MI_F + (1-PREV_FEMALE)*p_recur_MI_M)*p_MI_HF_young + AZ9*p_toHF_young</f>
        <v>1.7544597495996723E-6</v>
      </c>
      <c r="BD10">
        <f>AM9*T9*p_Stroke*p_Stroke_rec*I9 + AN9*T9*p_Stroke*p_Stroke_rec*I9 + AO9*(p_recur_Stroke*p_Stroke_rec)*I9 + AP9*(p_recur_Stroke*p_Stroke_rec)*I9 + AQ9*(p_recur_Stroke*p_Stroke_rec)*I9 + BA9*AC9*p_Stroke*p_Stroke_rec + BB9*AC9*p_Stroke*p_Stroke_rec + BC9*(p_recur_Stroke*p_Stroke_rec) + BD9*(p_recur_Stroke*p_Stroke_rec) + BE9*(p_recur_Stroke*p_Stroke_rec)</f>
        <v>2.1166542418949338E-6</v>
      </c>
      <c r="BE10">
        <f>AO9*(1-p_recur_Stroke - H9*rr_Stroke*rr_HF)*I9 + AP9*(1-p_recur_Stroke-H9*rr_Stroke*rr_HF)*I9 + AQ9*(1-p_recur_Stroke-H9*rr_Stroke*rr_HF)*I9 + BC9*(1-p_recur_Stroke - H9*rr_Stroke*rr_HF*rr_DM) + BD9*(1-p_recur_Stroke-H9*rr_Stroke*rr_HF*rr_DM) + BE9*(1-p_recur_Stroke-H9*rr_Stroke*rr_HF*rr_DM)</f>
        <v>4.0976541565153822E-6</v>
      </c>
      <c r="BF10">
        <f>AD9*H9 + AE9*H9*rr_Other + AF9*H9*rr_Stroke + AG9*H9*rr_Stroke + AH9*H9*rr_MI + AI9*H9*rr_MI + AJ9*H9*rr_Stroke*rr_MI + AK9*H9*rr_Stroke*rr_MI + AL9*H9*rr_Stroke*rr_MI + AM9*H9*rr_HF + AN9*H9*rr_HF + AO9*H9*rr_Stroke*rr_HF + AP9*H9*rr_Stroke*rr_HF + AR9*H9*rr_DM + AS9*H9*rr_DM*rr_Other + AT9*H9*rr_DM*rr_Stroke + AU9*H9*rr_DM*rr_Stroke + AV9*H9*rr_DM*rr_MI + AW9*H9*rr_DM*rr_MI + AX9*H9*rr_DM*rr_Stroke*rr_MI + AY9*H9*rr_DM*rr_Stroke*rr_MI + AZ9*H9*rr_DM*rr_Stroke*rr_MI + BA9*H9*rr_DM*rr_HF + BB9*H9*rr_DM*rr_HF + BC9*H9*rr_DM*rr_Stroke*rr_HF + BD9*H9*rr_DM*rr_Stroke*rr_HF + AQ9*H9*rr_Stroke*rr_HF + BE9*H9*rr_DM*rr_Stroke*rr_HF
+ AD9*T9*p_MI*p_MI_mort + AD9*T9*p_Stroke*p_Stroke_mort + AE9*T9*p_MI*p_MI_mort + AE9*T9*p_Stroke*p_Stroke_mort + AF9*T9*p_MI*p_MI_mort + AF9*p_recur_Stroke*p_Stroke_mort + AG9*T9*p_MI*p_MI_mort + AG9*p_recur_Stroke*p_Stroke_mort + AH9*(PREV_FEMALE*p_recur_MI_F + (1-PREV_FEMALE)*p_recur_MI_M)*p_MI_mort + AH9*T9*p_Stroke*p_Stroke_mort + AI9*(PREV_FEMALE*p_recur_MI_F + (1-PREV_FEMALE)*p_recur_MI_M)*p_MI_mort + AI9*T9*p_Stroke*p_Stroke_mort + AJ9*(PREV_FEMALE*p_recur_MI_F + (1-PREV_FEMALE)*p_recur_MI_M)*p_MI_mort + AJ9*p_recur_Stroke*p_Stroke_mort + AK9*(PREV_FEMALE*p_recur_MI_F + (1-PREV_FEMALE)*p_recur_MI_M)*p_MI_mort + AK9*p_recur_Stroke*p_Stroke_mort + AL9*(PREV_FEMALE*p_recur_MI_F + (1-PREV_FEMALE)*p_recur_MI_M)*p_MI_mort + AL9*p_recur_Stroke*p_Stroke_mort + AM9*T9*p_Stroke*p_Stroke_mort + AN9*T9*p_Stroke*p_Stroke_mort + AO9*p_recur_Stroke*p_Stroke_mort + AP9*p_recur_Stroke*p_Stroke_mort + AQ9*p_recur_Stroke*p_Stroke_mort
+ AR9*AC9*p_MI*p_MI_mort + AR9*AC9*p_Stroke*p_Stroke_mort + AS9*AC9*p_MI*p_MI_mort + AS9*AC9*p_Stroke*p_Stroke_mort + AT9*AC9*p_MI*p_MI_mort + AT9*p_recur_Stroke*p_Stroke_mort + AU9*AC9*p_MI*p_MI_mort + AU9*p_recur_Stroke*p_Stroke_mort + AV9*(PREV_FEMALE*p_recur_MI_F + (1-PREV_FEMALE)*p_recur_MI_M)*p_MI_mort + AV9*AC9*p_Stroke*p_Stroke_mort + AW9*(PREV_FEMALE*p_recur_MI_F + (1-PREV_FEMALE)*p_recur_MI_M)*p_MI_mort + AW9*AC9*p_Stroke*p_Stroke_mort + AX9*(PREV_FEMALE*p_recur_MI_F + (1-PREV_FEMALE)*p_recur_MI_M)*p_MI_mort + AX9*p_recur_Stroke*p_Stroke_mort + AY9*(PREV_FEMALE*p_recur_MI_F + (1-PREV_FEMALE)*p_recur_MI_M)*p_MI_mort + AY9*p_recur_Stroke*p_Stroke_mort + AZ9*(PREV_FEMALE*p_recur_MI_F + (1-PREV_FEMALE)*p_recur_MI_M)*p_MI_mort + AZ9*p_recur_Stroke*p_Stroke_mort + BA9*AC9*p_Stroke*p_Stroke_mort + BB9*AC9*p_Stroke*p_Stroke_mort + BC9*p_recur_Stroke*p_Stroke_mort + BD9*p_recur_Stroke*p_Stroke_mort + BE9*p_recur_Stroke*p_Stroke_mort
+BF9</f>
        <v>2.2636329213919254E-2</v>
      </c>
      <c r="BG10">
        <f t="shared" si="17"/>
        <v>0.94700000000000006</v>
      </c>
      <c r="BH10">
        <f>(0.9442 - 0.0007*$B10 - dis_BMI*($C10-21.75))*AD10</f>
        <v>0.53253709091857138</v>
      </c>
      <c r="BI10">
        <f>0.959*(0.9442 - 0.0007*$B10 - dis_BMI*($C10-21.75))*AE10</f>
        <v>1.4921088679593733E-2</v>
      </c>
      <c r="BJ10">
        <f>(0.943*(0.9442 - 0.0007*$B10 - dis_BMI*($C10-21.75)) - 0.19*0.5)*AF10</f>
        <v>1.3085020520009862E-3</v>
      </c>
      <c r="BK10">
        <f>(0.943*(0.9442 - 0.0007*$B10 - dis_BMI*($C10-21.75)))*AG10</f>
        <v>4.0487732760356009E-3</v>
      </c>
      <c r="BL10">
        <f>(0.955*(0.9442 - 0.0007*$B10 - dis_BMI*($C10-21.75)) - 0.15*0.5)*AH10</f>
        <v>9.7599122926248611E-4</v>
      </c>
      <c r="BM10">
        <f>(0.955*(0.9442 - 0.0007*$B10 - dis_BMI*($C10-21.75)))*AI10</f>
        <v>3.5651259038177144E-3</v>
      </c>
      <c r="BN10">
        <f>(0.955*0.943*(0.9442 - 0.0007*$B10 - dis_BMI*($C10-21.75)) - 0.19*0.5)*AJ10</f>
        <v>8.7568191933929795E-6</v>
      </c>
      <c r="BO10">
        <f>(0.955*0.943*(0.9442 - 0.0007*$B10 - dis_BMI*($C10-21.75)) - 0.15*0.5)*AK10</f>
        <v>7.9201791807492636E-6</v>
      </c>
      <c r="BP10">
        <f>(0.955*0.943*(0.9442 - 0.0007*$B10 - dis_BMI*($C10-21.75)))*AL10</f>
        <v>2.1757662809294E-5</v>
      </c>
      <c r="BQ10">
        <f>(0.93*(0.9442 - 0.0007*$B10 - dis_BMI*($C10-21.75)))*AM10</f>
        <v>1.7268598659592792E-4</v>
      </c>
      <c r="BR10">
        <f>(0.93*(0.9442 - 0.0007*$B10 - dis_BMI*($C10-21.75)))*AN10</f>
        <v>6.6463837534362126E-4</v>
      </c>
      <c r="BS10">
        <f>(0.93*0.943*(0.9442 - 0.0007*$B10 - dis_BMI*($C10-21.75)))*AO10</f>
        <v>1.3624012295773565E-6</v>
      </c>
      <c r="BT10">
        <f>(0.93*0.943*(0.9442 - 0.0007*$B10 - dis_BMI*($C10-21.75))-0.19*0.5)*AP10</f>
        <v>1.457811719531162E-6</v>
      </c>
      <c r="BU10">
        <f>(0.93*0.943*(0.9442 - 0.0007*$B10 - dis_BMI*($C10-21.75)))*AQ10</f>
        <v>3.8498501563562301E-6</v>
      </c>
      <c r="BV10">
        <f>0.962*(0.9442 - 0.0007*$B10 - dis_BMI*($C10-21.75))*AR10</f>
        <v>0.21032926915756875</v>
      </c>
      <c r="BW10">
        <f>0.962*0.959*(0.9442 - 0.0007*$B10 - dis_BMI*($C10-21.75))*AS10</f>
        <v>8.6420532781100127E-3</v>
      </c>
      <c r="BX10">
        <f>0.962*(0.943*(0.9442 - 0.0007*$B10 - dis_BMI*($C10-21.75)) - 0.19*0.5)*AT10</f>
        <v>8.6751731428830019E-4</v>
      </c>
      <c r="BY10">
        <f>0.962*(0.943*(0.9442 - 0.0007*$B10 - dis_BMI*($C10-21.75)))*AU10</f>
        <v>2.259221345700984E-3</v>
      </c>
      <c r="BZ10">
        <f>0.962*(0.955*(0.9442 - 0.0007*$B10 - dis_BMI*($C10-21.75)) - 0.15*0.5)*AV10</f>
        <v>6.6687640274743637E-4</v>
      </c>
      <c r="CA10">
        <f>0.962*(0.955*(0.9442 - 0.0007*$B10 - dis_BMI*($C10-21.75)))*AW10</f>
        <v>1.9993488542335946E-3</v>
      </c>
      <c r="CB10">
        <f>0.962*(0.955*0.943*(0.9442 - 0.0007*$B10 - dis_BMI*($C10-21.75)) - 0.19*0.5)*AX10</f>
        <v>8.354756419046694E-6</v>
      </c>
      <c r="CC10">
        <f>0.962*(0.955*0.943*(0.9442 - 0.0007*$B10 - dis_BMI*($C10-21.75)) - 0.15*0.5)*AY10</f>
        <v>7.7308646500049664E-6</v>
      </c>
      <c r="CD10">
        <f>0.962*(0.955*0.943*(0.9442 - 0.0007*$B10 - dis_BMI*($C10-21.75)))*AZ10</f>
        <v>1.7398954431856094E-5</v>
      </c>
      <c r="CE10">
        <f>0.962*(0.93*(0.9442 - 0.0007*$B10 - dis_BMI*($C10-21.75)))*BA10</f>
        <v>1.1243119820284088E-4</v>
      </c>
      <c r="CF10">
        <f>0.962*(0.93*(0.9442 - 0.0007*$B10 - dis_BMI*($C10-21.75)))*BB10</f>
        <v>3.5873035860023005E-4</v>
      </c>
      <c r="CG10">
        <f>0.962*(0.93*0.943*(0.9442 - 0.0007*$B10 - dis_BMI*($C10-21.75)))*BC10</f>
        <v>1.2728668914014847E-6</v>
      </c>
      <c r="CH10">
        <f>0.962*(0.93*0.943*(0.9442 - 0.0007*$B10 - dis_BMI*($C10-21.75))-0.19*0.5)*BD10</f>
        <v>1.342199273871471E-6</v>
      </c>
      <c r="CI10">
        <f>0.962*(0.93*0.943*(0.9442 - 0.0007*$B10 - dis_BMI*($C10-21.75)))*BE10</f>
        <v>2.9728629051947341E-6</v>
      </c>
      <c r="CJ10">
        <f t="shared" si="18"/>
        <v>0</v>
      </c>
      <c r="CK10">
        <f t="shared" si="19"/>
        <v>0.7835135215595338</v>
      </c>
      <c r="CL10">
        <f>CK10/(1+r_)^A10</f>
        <v>0.63706819340279475</v>
      </c>
      <c r="CM10">
        <f>AD10*c_BN_2</f>
        <v>1297.3705077269121</v>
      </c>
      <c r="CN10">
        <f>AE10*(c_Other+c_BN_2)</f>
        <v>296.2557734865523</v>
      </c>
      <c r="CO10">
        <f>AF10*(c_Stroke1+c_Stroke2+c_BN_2)</f>
        <v>47.357641731187719</v>
      </c>
      <c r="CP10">
        <f>AG10*(c_Stroke2 + c_BN_2)</f>
        <v>42.91289147896768</v>
      </c>
      <c r="CQ10">
        <f>AH10*(c_MI1+c_MI2 + c_BN_2)</f>
        <v>40.865644995637929</v>
      </c>
      <c r="CR10">
        <f>AI10*(c_MI2+c_BN_2)</f>
        <v>22.625909179309382</v>
      </c>
      <c r="CS10">
        <f>AJ10*(c_Stroke1+c_Stroke2+c_MI2+c_BN_2)</f>
        <v>0.37412405082883055</v>
      </c>
      <c r="CT10">
        <f>AK10*(c_Stroke2+c_MI1+c_MI2+c_BN_2)</f>
        <v>0.42742372646792637</v>
      </c>
      <c r="CU10">
        <f>AL10*(c_Stroke2+c_MI2+c_BN_2)</f>
        <v>0.32904733193482893</v>
      </c>
      <c r="CV10">
        <f>AM10*(c_HF1+c_BN_2)</f>
        <v>6.2888351979414221</v>
      </c>
      <c r="CW10">
        <f>AN10*(c_HF2+c_BN_2)</f>
        <v>14.709769362867988</v>
      </c>
      <c r="CX10">
        <f>AO10*(c_Stroke2+c_HF1+c_BN_2)</f>
        <v>6.4356940679974009E-2</v>
      </c>
      <c r="CY10">
        <f>AP10*(c_Stroke1+c_Stroke2+c_HF2+c_BN_2)</f>
        <v>9.1817388088192148E-2</v>
      </c>
      <c r="CZ10">
        <f>AQ10*(c_Stroke2+c_HF2+c_BN_2)</f>
        <v>0.12353632659859844</v>
      </c>
      <c r="DA10">
        <f>AR10*(c_DM+c_BN_2)</f>
        <v>3437.4110178532164</v>
      </c>
      <c r="DB10">
        <f>AS10*(c_Other+c_DM+c_BN_2)</f>
        <v>302.81861309574191</v>
      </c>
      <c r="DC10">
        <f>AT10*(c_Stroke1+c_Stroke2+c_DM+c_BN_2)</f>
        <v>47.028632722678189</v>
      </c>
      <c r="DD10">
        <f>AU10*(c_Stroke2+c_DM+c_BN_2)</f>
        <v>57.978399630859954</v>
      </c>
      <c r="DE10">
        <f>AV10*(c_MI1+c_MI2+c_DM+c_BN_2)</f>
        <v>39.638856142083966</v>
      </c>
      <c r="DF10">
        <f>AW10*(c_MI2+c_DM+c_BN_2)</f>
        <v>42.103217292410335</v>
      </c>
      <c r="DG10">
        <f>AX10*(c_Stroke1+c_Stroke2+c_MI2+c_DM+c_BN_2)</f>
        <v>0.51708457901098492</v>
      </c>
      <c r="DH10">
        <f>AY10*(c_Stroke2+c_MI1+c_MI2+c_DM+c_BN_2)</f>
        <v>0.56495612626731828</v>
      </c>
      <c r="DI10">
        <f>AZ10*(c_Stroke2+c_MI2+c_DM+c_BN_2)</f>
        <v>0.54034382561176042</v>
      </c>
      <c r="DJ10">
        <f>BA10*(c_HF1+c_DM+c_BN_2)</f>
        <v>5.9258384740259133</v>
      </c>
      <c r="DK10">
        <f>BB10*(c_HF2+c_DM+c_BN_2)</f>
        <v>13.580200358176691</v>
      </c>
      <c r="DL10">
        <f>BC10*(c_Stroke2+c_HF1+c_DM+c_BN_2)</f>
        <v>8.2547331218664588E-2</v>
      </c>
      <c r="DM10">
        <f>BD10*(c_Stroke1+c_Stroke2+c_HF2+c_DM+c_BN_2)</f>
        <v>0.1120577922201597</v>
      </c>
      <c r="DN10">
        <f>BE10*(c_Stroke2+c_HF2+c_DM+c_BN_2)</f>
        <v>0.14597892932586048</v>
      </c>
      <c r="DO10">
        <f t="shared" si="5"/>
        <v>0</v>
      </c>
      <c r="DP10">
        <f t="shared" si="38"/>
        <v>5718.2450230768227</v>
      </c>
      <c r="DQ10">
        <f>DP10/(1+r_)^A10</f>
        <v>4649.4564880451444</v>
      </c>
    </row>
    <row r="11" spans="1:121" x14ac:dyDescent="0.3">
      <c r="A11">
        <v>8</v>
      </c>
      <c r="B11">
        <v>53</v>
      </c>
      <c r="C11">
        <f t="shared" si="39"/>
        <v>36.251999999999995</v>
      </c>
      <c r="D11">
        <f t="shared" si="1"/>
        <v>125</v>
      </c>
      <c r="E11">
        <f t="shared" si="40"/>
        <v>5.7</v>
      </c>
      <c r="F11">
        <v>3.9199999999999999E-3</v>
      </c>
      <c r="G11">
        <v>6.4099999999999999E-3</v>
      </c>
      <c r="H11">
        <f t="shared" si="3"/>
        <v>4.4180000000000001E-3</v>
      </c>
      <c r="I11">
        <f t="shared" si="20"/>
        <v>4.7655426853004217E-2</v>
      </c>
      <c r="J11">
        <f t="shared" si="21"/>
        <v>0.12130636431507158</v>
      </c>
      <c r="K11">
        <f t="shared" si="22"/>
        <v>0.16565652168236955</v>
      </c>
      <c r="L11">
        <f t="shared" si="23"/>
        <v>5.9383206348755713E-2</v>
      </c>
      <c r="M11">
        <f t="shared" si="24"/>
        <v>8.2164703567383479E-2</v>
      </c>
      <c r="N11">
        <f t="shared" si="25"/>
        <v>0.2604818015565985</v>
      </c>
      <c r="O11">
        <f t="shared" si="26"/>
        <v>0.34713077215481236</v>
      </c>
      <c r="P11">
        <f t="shared" si="27"/>
        <v>0.13794049049338197</v>
      </c>
      <c r="Q11">
        <f t="shared" si="28"/>
        <v>0.18919793873890722</v>
      </c>
      <c r="R11">
        <f>IF(C11&lt;25, HT_f_low, IF(C11&lt;30, HT_f_mod, HT_f_high))</f>
        <v>0.42</v>
      </c>
      <c r="S11">
        <f>IF(C11&lt;25, HT_m_low, IF(C11&lt;30, HT_m_mod, HT_m_high))</f>
        <v>0.43099999999999999</v>
      </c>
      <c r="T11">
        <f>PREV_FEMALE*PREV_SMOKE*(1-$R11)*(1-EXP(-J11/10))+PREV_FEMALE*PREV_SMOKE*$R11*(1-EXP(-K11/10))+PREV_FEMALE*(1-PREV_SMOKE)*(1-$R11)*(1-EXP(-L11/10))+PREV_FEMALE*(1-PREV_SMOKE)*$R11*(1-EXP(-M11/10))+(1-PREV_FEMALE)*PREV_SMOKE*(1-$S11)*(1-EXP(-N11/10))+(1-PREV_FEMALE)*PREV_SMOKE*$S11*(1-EXP(-O11/10))+(1-PREV_FEMALE)*(1-PREV_SMOKE)*(1-$S11)*(1-EXP(-P11/10))+(1-PREV_FEMALE)*(1-PREV_SMOKE)*$S11*(1-EXP(-Q11/10))</f>
        <v>9.7100023512526248E-3</v>
      </c>
      <c r="U11">
        <f t="shared" si="29"/>
        <v>0.24530227030091267</v>
      </c>
      <c r="V11">
        <f t="shared" si="30"/>
        <v>0.32574806712131543</v>
      </c>
      <c r="W11">
        <f t="shared" si="31"/>
        <v>0.12473835010295553</v>
      </c>
      <c r="X11">
        <f t="shared" si="32"/>
        <v>0.17021681997037663</v>
      </c>
      <c r="Y11">
        <f t="shared" si="33"/>
        <v>0.401593263804361</v>
      </c>
      <c r="Z11">
        <f t="shared" si="34"/>
        <v>0.51594078991588854</v>
      </c>
      <c r="AA11">
        <f t="shared" si="35"/>
        <v>0.2232043634432499</v>
      </c>
      <c r="AB11">
        <f t="shared" si="36"/>
        <v>0.30015044367689359</v>
      </c>
      <c r="AC11">
        <f>PREV_FEMALE*PREV_SMOKE*(1-$R11)*(1-EXP(-U11/10))+PREV_FEMALE*PREV_SMOKE*$R11*(1-EXP(-V11/10))+PREV_FEMALE*(1-PREV_SMOKE)*(1-$R11)*(1-EXP(-W11/10))+PREV_FEMALE*(1-PREV_SMOKE)*$R11*(1-EXP(-X11/10))+(1-PREV_FEMALE)*PREV_SMOKE*(1-$S11)*(1-EXP(-Y11/10))+(1-PREV_FEMALE)*PREV_SMOKE*$S11*(1-EXP(-Z11/10))+(1-PREV_FEMALE)*(1-PREV_SMOKE)*(1-$S11)*(1-EXP(-AA11/10))+(1-PREV_FEMALE)*(1-PREV_SMOKE)*$S11*(1-EXP(-AB11/10))</f>
        <v>1.8276448304761203E-2</v>
      </c>
      <c r="AD11">
        <f t="shared" si="37"/>
        <v>0.58192575196707252</v>
      </c>
      <c r="AE11">
        <f t="shared" si="6"/>
        <v>2.0020907661057068E-2</v>
      </c>
      <c r="AF11">
        <f t="shared" si="7"/>
        <v>1.9027224989490922E-3</v>
      </c>
      <c r="AG11">
        <f t="shared" si="8"/>
        <v>5.6204611361592681E-3</v>
      </c>
      <c r="AH11">
        <f t="shared" si="9"/>
        <v>1.3386723326213809E-3</v>
      </c>
      <c r="AI11">
        <f t="shared" si="10"/>
        <v>4.8707351514905746E-3</v>
      </c>
      <c r="AJ11">
        <f t="shared" si="11"/>
        <v>1.6007761381000061E-5</v>
      </c>
      <c r="AK11">
        <f t="shared" si="12"/>
        <v>1.3853680752923502E-5</v>
      </c>
      <c r="AL11">
        <f t="shared" si="13"/>
        <v>3.8549806874649702E-5</v>
      </c>
      <c r="AM11">
        <f t="shared" si="14"/>
        <v>2.2671193668405271E-4</v>
      </c>
      <c r="AN11">
        <f t="shared" si="15"/>
        <v>9.876249923089248E-4</v>
      </c>
      <c r="AO11">
        <f t="shared" si="16"/>
        <v>2.2758794911841932E-6</v>
      </c>
      <c r="AP11">
        <f>AM10*T10*p_Stroke*p_Stroke_rec*(1-I10) + AN10*T10*p_Stroke*p_Stroke_rec*(1-I10) + AO10*(p_recur_Stroke*p_Stroke_rec)*(1-I10) + AP10*(p_recur_Stroke*p_Stroke_rec)*(1-I10) + AQ10*(p_recur_Stroke*p_Stroke_rec)*(1-I10)</f>
        <v>2.9067824664614462E-6</v>
      </c>
      <c r="AQ11">
        <f>AO10*(1-p_recur_Stroke-H10*rr_Stroke*rr_HF)*(1-I10) + AP10*(1-p_recur_Stroke-H10*rr_Stroke*rr_HF)*(1-I10) + AQ10*(1-p_recur_Stroke-H10*rr_Stroke*rr_HF)*(1-I10)</f>
        <v>7.4451469387624397E-6</v>
      </c>
      <c r="AR11">
        <f>AR10*(1-AC10-H10*rr_DM) + AD10*(1-T10-H10)*I10</f>
        <v>0.27774961061518638</v>
      </c>
      <c r="AS11">
        <f>AR10*AC10*p_Other + AD10*T10*p_Other*I10 + AE10*(1-T10*p_Stroke-T10*p_MI-H10*rr_Other)*I10 + AS10*(1-AC10*p_Stroke-AC10*p_MI-H10*rr_Other*rr_DM)</f>
        <v>1.4150878798478818E-2</v>
      </c>
      <c r="AT11">
        <f>AR10*AC10*p_Stroke*p_Stroke_rec + AD10*T10*p_Stroke*p_Stroke_rec*I10 + AE10*T10*p_Stroke*p_Stroke_rec*I10 + AF10*p_recur_Stroke*p_Stroke_rec*I10 + AG10*p_recur_Stroke*p_Stroke_rec*I10 + AS10*AC10*p_Stroke*p_Stroke_rec + AT10*p_recur_Stroke*p_Stroke_rec + AU10*p_recur_Stroke*p_Stroke_rec</f>
        <v>1.5320390028517039E-3</v>
      </c>
      <c r="AU11">
        <f>AF10*(1-p_recur_Stroke-T10*p_MI-H10*rr_Stroke)*I10 + AG10*(1-p_recur_Stroke-T10*p_MI-H10*rr_Stroke)*I10 + AT10*(1-p_recur_Stroke-AC10*p_MI-H10*rr_Stroke*rr_DM) + AU10*(1-p_recur_Stroke-AC10*p_MI-H10*rr_Stroke*rr_DM)</f>
        <v>3.8616839981623391E-3</v>
      </c>
      <c r="AV11">
        <f>AR10*AC10*p_MI*p_MI_rec_young + AD10*T10*p_MI*p_MI_rec_young*I10 + AE10*T10*p_MI*p_MI_rec_young*I10 +AH10*(PREV_FEMALE*p_recur_MI_F + (1-PREV_FEMALE)*p_recur_MI_M)*p_MI_rec_young*I10 + AI10*(PREV_FEMALE*p_recur_MI_F + (1-PREV_FEMALE)*p_recur_MI_M)*p_MI_rec_young*I10 + AS10*AC10*p_MI*p_MI_rec_young + AV10*(PREV_FEMALE*p_recur_MI_F + (1-PREV_FEMALE)*p_recur_MI_M)*p_MI_rec_young + AW10*(PREV_FEMALE*p_recur_MI_F + (1-PREV_FEMALE)*p_recur_MI_M)*p_MI_rec_young</f>
        <v>1.1118000946733829E-3</v>
      </c>
      <c r="AW11">
        <f>AH10*(1-(PREV_FEMALE*p_recur_MI_F + (1-PREV_FEMALE)*p_recur_MI_M) - T10*p_Stroke - p_toHF_young - H10*rr_MI)*I10 + AI10*(1-(PREV_FEMALE*p_recur_MI_F + (1-PREV_FEMALE)*p_recur_MI_M) - T10*p_Stroke - p_toHF_young - H10*rr_MI)*I10 + AV10*(1-(PREV_FEMALE*p_recur_MI_F + (1-PREV_FEMALE)*p_recur_MI_M) - AC10*p_Stroke - p_toHF_young - H10*rr_MI*rr_DM) + AW10*(1-(PREV_FEMALE*p_recur_MI_F + (1-PREV_FEMALE)*p_recur_MI_M) - AC10*p_Stroke - p_toHF_young - H10*rr_MI*rr_DM)</f>
        <v>3.3661656355977493E-3</v>
      </c>
      <c r="AX11">
        <f>AH10*T10*p_Stroke*p_Stroke_rec*I10 + AI10*T10*p_Stroke*p_Stroke_rec*I10 + AJ10*p_recur_Stroke*p_Stroke_rec*I10 + AK10*p_recur_Stroke*p_Stroke_rec*I10 + AL10*p_recur_Stroke*p_Stroke_rec*I10 + AV10*AC10*p_Stroke*p_Stroke_rec + AW10*AC10*p_Stroke*p_Stroke_rec + AX10*p_recur_Stroke*p_Stroke_rec + AY10*p_recur_Stroke*p_Stroke_rec + AZ10*p_recur_Stroke*p_Stroke_rec</f>
        <v>1.8820844201593518E-5</v>
      </c>
      <c r="AY11">
        <f>AF10*T10*p_MI*p_MI_rec_young*I10 + AG10*T10*p_MI*p_MI_rec_young*I10 + AJ10*(PREV_FEMALE*p_recur_MI_F+(1-PREV_FEMALE)*p_recur_MI_M)*p_MI_rec_young*I10 + AK10*(PREV_FEMALE*p_recur_MI_F+(1-PREV_FEMALE)*p_recur_MI_M)*p_MI_rec_young*I10 + AL10*(PREV_FEMALE*p_recur_MI_F+(1-PREV_FEMALE)*p_recur_MI_M)*p_MI_rec_young*I10 + AT10*AC10*p_MI*p_MI_rec_young + AU10*AC10*p_MI*p_MI_rec_young + AX10*(PREV_FEMALE*p_recur_MI_F+(1-PREV_FEMALE)*p_recur_MI_M)*p_MI_rec_young + AY10*(PREV_FEMALE*p_recur_MI_F+(1-PREV_FEMALE)*p_recur_MI_M)*p_MI_rec_young + AZ10*(PREV_FEMALE*p_recur_MI_F+(1-PREV_FEMALE)*p_recur_MI_M)*p_MI_rec_young</f>
        <v>1.6667767140528109E-5</v>
      </c>
      <c r="AZ11">
        <f>AJ10*(1-p_recur_Stroke-(PREV_FEMALE*p_recur_MI_F + (1-PREV_FEMALE)*p_recur_MI_M) - p_toHF_young - H10*rr_MI*rr_Stroke)*I10 + AK10*(1-p_recur_Stroke-(PREV_FEMALE*p_recur_MI_F + (1-PREV_FEMALE)*p_recur_MI_M) - p_toHF_young - H10*rr_MI*rr_Stroke)*I10 + AL10*(1-p_recur_Stroke-(PREV_FEMALE*p_recur_MI_F + (1-PREV_FEMALE)*p_recur_MI_M) - p_toHF_young - H10*rr_MI*rr_Stroke)*I10 + AX10*(1-p_recur_Stroke-(PREV_FEMALE*p_recur_MI_F + (1-PREV_FEMALE)*p_recur_MI_M) - p_toHF_young - H10*rr_MI*rr_Stroke*rr_DM) + AY10*(1-p_recur_Stroke-(PREV_FEMALE*p_recur_MI_F + (1-PREV_FEMALE)*p_recur_MI_M) - p_toHF_young - H10*rr_MI*rr_Stroke*rr_DM) + AZ10*(1-p_recur_Stroke-(PREV_FEMALE*p_recur_MI_F + (1-PREV_FEMALE)*p_recur_MI_M) - p_toHF_young - H10*rr_MI*rr_Stroke*rr_DM)</f>
        <v>3.8642396837286238E-5</v>
      </c>
      <c r="BA11">
        <f>AR10*AC10*p_MI*p_MI_HF_young + AD10*T10*p_MI*p_MI_HF_young*I10 + AE10*T10*p_MI*p_MI_HF_young*I10 + AH10*p_toHF_young*I10 + AH10*(PREV_FEMALE*p_recur_MI_F + (1-PREV_FEMALE)*p_recur_MI_M)*p_MI_HF_young*I10 + AI10*p_toHF_young*I10 + AI10*(PREV_FEMALE*p_recur_MI_F + (1-PREV_FEMALE)*p_recur_MI_M)*p_MI_HF_young*I10 + AS10*AC10*p_MI*p_MI_HF_young + AV10*(PREV_FEMALE*p_recur_MI_F + (1-PREV_FEMALE)*p_recur_MI_M)*p_MI_HF_young + AV10*p_toHF_young + AW10*(PREV_FEMALE*p_recur_MI_F + (1-PREV_FEMALE)*p_recur_MI_M)*p_MI_HF_young + AW10*p_toHF_young</f>
        <v>1.794194503077328E-4</v>
      </c>
      <c r="BB11">
        <f>AM10*(1-T10*p_Stroke - H10*rr_HF)*I10 + AN10*(1-T10*p_Stroke - H10*rr_HF)*I10 + BA10*(1-AC10*p_Stroke - H10*rr_HF*rr_DM) + BB10*(1-AC10*p_Stroke - H10*rr_HF*rr_DM)</f>
        <v>6.5418374691122104E-4</v>
      </c>
      <c r="BC11">
        <f>AF10*T10*p_MI*p_MI_HF_young*I10 + AG10*T10*p_MI*p_MI_HF_young*I10 + AJ10*(PREV_FEMALE*p_recur_MI_F + (1-PREV_FEMALE)*p_recur_MI_M)*p_MI_HF_young*I10 + AJ10*p_toHF_young*I10 + AK10*(PREV_FEMALE*p_recur_MI_F + (1-PREV_FEMALE)*p_recur_MI_M)*p_MI_HF_young*I10 + AK10*p_toHF_young*I10 + AL10*(PREV_FEMALE*p_recur_MI_F + (1-PREV_FEMALE)*p_recur_MI_M)*p_MI_HF_young*I10 + AL10*p_toHF_young*I10 + AT10*AC10*p_MI*p_MI_HF_young + AU10*AC10*p_MI*p_MI_HF_young + AX10*(PREV_FEMALE*p_recur_MI_F + (1-PREV_FEMALE)*p_recur_MI_M)*p_MI_HF_young + AX10*p_toHF_young + AY10*(PREV_FEMALE*p_recur_MI_F + (1-PREV_FEMALE)*p_recur_MI_M)*p_MI_HF_young + AY10*p_toHF_young + AZ10*(PREV_FEMALE*p_recur_MI_F + (1-PREV_FEMALE)*p_recur_MI_M)*p_MI_HF_young + AZ10*p_toHF_young</f>
        <v>2.6204067269216883E-6</v>
      </c>
      <c r="BD11">
        <f>AM10*T10*p_Stroke*p_Stroke_rec*I10 + AN10*T10*p_Stroke*p_Stroke_rec*I10 + AO10*(p_recur_Stroke*p_Stroke_rec)*I10 + AP10*(p_recur_Stroke*p_Stroke_rec)*I10 + AQ10*(p_recur_Stroke*p_Stroke_rec)*I10 + BA10*AC10*p_Stroke*p_Stroke_rec + BB10*AC10*p_Stroke*p_Stroke_rec + BC10*(p_recur_Stroke*p_Stroke_rec) + BD10*(p_recur_Stroke*p_Stroke_rec) + BE10*(p_recur_Stroke*p_Stroke_rec)</f>
        <v>3.2842603601235713E-6</v>
      </c>
      <c r="BE11">
        <f>AO10*(1-p_recur_Stroke - H10*rr_Stroke*rr_HF)*I10 + AP10*(1-p_recur_Stroke-H10*rr_Stroke*rr_HF)*I10 + AQ10*(1-p_recur_Stroke-H10*rr_Stroke*rr_HF)*I10 + BC10*(1-p_recur_Stroke - H10*rr_Stroke*rr_HF*rr_DM) + BD10*(1-p_recur_Stroke-H10*rr_Stroke*rr_HF*rr_DM) + BE10*(1-p_recur_Stroke-H10*rr_Stroke*rr_HF*rr_DM)</f>
        <v>7.1736452641588289E-6</v>
      </c>
      <c r="BF11">
        <f>AD10*H10 + AE10*H10*rr_Other + AF10*H10*rr_Stroke + AG10*H10*rr_Stroke + AH10*H10*rr_MI + AI10*H10*rr_MI + AJ10*H10*rr_Stroke*rr_MI + AK10*H10*rr_Stroke*rr_MI + AL10*H10*rr_Stroke*rr_MI + AM10*H10*rr_HF + AN10*H10*rr_HF + AO10*H10*rr_Stroke*rr_HF + AP10*H10*rr_Stroke*rr_HF + AR10*H10*rr_DM + AS10*H10*rr_DM*rr_Other + AT10*H10*rr_DM*rr_Stroke + AU10*H10*rr_DM*rr_Stroke + AV10*H10*rr_DM*rr_MI + AW10*H10*rr_DM*rr_MI + AX10*H10*rr_DM*rr_Stroke*rr_MI + AY10*H10*rr_DM*rr_Stroke*rr_MI + AZ10*H10*rr_DM*rr_Stroke*rr_MI + BA10*H10*rr_DM*rr_HF + BB10*H10*rr_DM*rr_HF + BC10*H10*rr_DM*rr_Stroke*rr_HF + BD10*H10*rr_DM*rr_Stroke*rr_HF + AQ10*H10*rr_Stroke*rr_HF + BE10*H10*rr_DM*rr_Stroke*rr_HF
+ AD10*T10*p_MI*p_MI_mort + AD10*T10*p_Stroke*p_Stroke_mort + AE10*T10*p_MI*p_MI_mort + AE10*T10*p_Stroke*p_Stroke_mort + AF10*T10*p_MI*p_MI_mort + AF10*p_recur_Stroke*p_Stroke_mort + AG10*T10*p_MI*p_MI_mort + AG10*p_recur_Stroke*p_Stroke_mort + AH10*(PREV_FEMALE*p_recur_MI_F + (1-PREV_FEMALE)*p_recur_MI_M)*p_MI_mort + AH10*T10*p_Stroke*p_Stroke_mort + AI10*(PREV_FEMALE*p_recur_MI_F + (1-PREV_FEMALE)*p_recur_MI_M)*p_MI_mort + AI10*T10*p_Stroke*p_Stroke_mort + AJ10*(PREV_FEMALE*p_recur_MI_F + (1-PREV_FEMALE)*p_recur_MI_M)*p_MI_mort + AJ10*p_recur_Stroke*p_Stroke_mort + AK10*(PREV_FEMALE*p_recur_MI_F + (1-PREV_FEMALE)*p_recur_MI_M)*p_MI_mort + AK10*p_recur_Stroke*p_Stroke_mort + AL10*(PREV_FEMALE*p_recur_MI_F + (1-PREV_FEMALE)*p_recur_MI_M)*p_MI_mort + AL10*p_recur_Stroke*p_Stroke_mort + AM10*T10*p_Stroke*p_Stroke_mort + AN10*T10*p_Stroke*p_Stroke_mort + AO10*p_recur_Stroke*p_Stroke_mort + AP10*p_recur_Stroke*p_Stroke_mort + AQ10*p_recur_Stroke*p_Stroke_mort
+ AR10*AC10*p_MI*p_MI_mort + AR10*AC10*p_Stroke*p_Stroke_mort + AS10*AC10*p_MI*p_MI_mort + AS10*AC10*p_Stroke*p_Stroke_mort + AT10*AC10*p_MI*p_MI_mort + AT10*p_recur_Stroke*p_Stroke_mort + AU10*AC10*p_MI*p_MI_mort + AU10*p_recur_Stroke*p_Stroke_mort + AV10*(PREV_FEMALE*p_recur_MI_F + (1-PREV_FEMALE)*p_recur_MI_M)*p_MI_mort + AV10*AC10*p_Stroke*p_Stroke_mort + AW10*(PREV_FEMALE*p_recur_MI_F + (1-PREV_FEMALE)*p_recur_MI_M)*p_MI_mort + AW10*AC10*p_Stroke*p_Stroke_mort + AX10*(PREV_FEMALE*p_recur_MI_F + (1-PREV_FEMALE)*p_recur_MI_M)*p_MI_mort + AX10*p_recur_Stroke*p_Stroke_mort + AY10*(PREV_FEMALE*p_recur_MI_F + (1-PREV_FEMALE)*p_recur_MI_M)*p_MI_mort + AY10*p_recur_Stroke*p_Stroke_mort + AZ10*(PREV_FEMALE*p_recur_MI_F + (1-PREV_FEMALE)*p_recur_MI_M)*p_MI_mort + AZ10*p_recur_Stroke*p_Stroke_mort + BA10*AC10*p_Stroke*p_Stroke_mort + BB10*AC10*p_Stroke*p_Stroke_mort + BC10*p_recur_Stroke*p_Stroke_mort + BD10*p_recur_Stroke*p_Stroke_mort + BE10*p_recur_Stroke*p_Stroke_mort
+BF10</f>
        <v>2.7332382603052291E-2</v>
      </c>
      <c r="BG11">
        <f t="shared" si="17"/>
        <v>0.94699999999999995</v>
      </c>
      <c r="BH11">
        <f>(0.9442 - 0.0007*$B11 - dis_BMI*($C11-21.75))*AD11</f>
        <v>0.50001586166774403</v>
      </c>
      <c r="BI11">
        <f>0.959*(0.9442 - 0.0007*$B11 - dis_BMI*($C11-21.75))*AE11</f>
        <v>1.6497516626212041E-2</v>
      </c>
      <c r="BJ11">
        <f>(0.943*(0.9442 - 0.0007*$B11 - dis_BMI*($C11-21.75)) - 0.19*0.5)*AF11</f>
        <v>1.3609537121459002E-3</v>
      </c>
      <c r="BK11">
        <f>(0.943*(0.9442 - 0.0007*$B11 - dis_BMI*($C11-21.75)))*AG11</f>
        <v>4.5540715204378749E-3</v>
      </c>
      <c r="BL11">
        <f>(0.955*(0.9442 - 0.0007*$B11 - dis_BMI*($C11-21.75)) - 0.15*0.5)*AH11</f>
        <v>9.9808390012538382E-4</v>
      </c>
      <c r="BM11">
        <f>(0.955*(0.9442 - 0.0007*$B11 - dis_BMI*($C11-21.75)))*AI11</f>
        <v>3.9968154156232935E-3</v>
      </c>
      <c r="BN11">
        <f>(0.955*0.943*(0.9442 - 0.0007*$B11 - dis_BMI*($C11-21.75)) - 0.19*0.5)*AJ11</f>
        <v>1.0866140980937462E-5</v>
      </c>
      <c r="BO11">
        <f>(0.955*0.943*(0.9442 - 0.0007*$B11 - dis_BMI*($C11-21.75)) - 0.15*0.5)*AK11</f>
        <v>9.6810149022418815E-6</v>
      </c>
      <c r="BP11">
        <f>(0.955*0.943*(0.9442 - 0.0007*$B11 - dis_BMI*($C11-21.75)))*AL11</f>
        <v>2.9830015287413141E-5</v>
      </c>
      <c r="BQ11">
        <f>(0.93*(0.9442 - 0.0007*$B11 - dis_BMI*($C11-21.75)))*AM11</f>
        <v>1.8116468382620087E-4</v>
      </c>
      <c r="BR11">
        <f>(0.93*(0.9442 - 0.0007*$B11 - dis_BMI*($C11-21.75)))*AN11</f>
        <v>7.8920753837433979E-4</v>
      </c>
      <c r="BS11">
        <f>(0.93*0.943*(0.9442 - 0.0007*$B11 - dis_BMI*($C11-21.75)))*AO11</f>
        <v>1.714984141515625E-6</v>
      </c>
      <c r="BT11">
        <f>(0.93*0.943*(0.9442 - 0.0007*$B11 - dis_BMI*($C11-21.75))-0.19*0.5)*AP11</f>
        <v>1.9142553999986321E-6</v>
      </c>
      <c r="BU11">
        <f>(0.93*0.943*(0.9442 - 0.0007*$B11 - dis_BMI*($C11-21.75)))*AQ11</f>
        <v>5.6102746128212341E-6</v>
      </c>
      <c r="BV11">
        <f>0.962*(0.9442 - 0.0007*$B11 - dis_BMI*($C11-21.75))*AR11</f>
        <v>0.22958564802226941</v>
      </c>
      <c r="BW11">
        <f>0.962*0.959*(0.9442 - 0.0007*$B11 - dis_BMI*($C11-21.75))*AS11</f>
        <v>1.1217428122733191E-2</v>
      </c>
      <c r="BX11">
        <f>0.962*(0.943*(0.9442 - 0.0007*$B11 - dis_BMI*($C11-21.75)) - 0.19*0.5)*AT11</f>
        <v>1.0541751993808895E-3</v>
      </c>
      <c r="BY11">
        <f>0.962*(0.943*(0.9442 - 0.0007*$B11 - dis_BMI*($C11-21.75)))*AU11</f>
        <v>3.0100915338911469E-3</v>
      </c>
      <c r="BZ11">
        <f>0.962*(0.955*(0.9442 - 0.0007*$B11 - dis_BMI*($C11-21.75)) - 0.15*0.5)*AV11</f>
        <v>7.9743361926682332E-4</v>
      </c>
      <c r="CA11">
        <f>0.962*(0.955*(0.9442 - 0.0007*$B11 - dis_BMI*($C11-21.75)))*AW11</f>
        <v>2.6572360185072915E-3</v>
      </c>
      <c r="CB11">
        <f>0.962*(0.955*0.943*(0.9442 - 0.0007*$B11 - dis_BMI*($C11-21.75)) - 0.19*0.5)*AX11</f>
        <v>1.2290198724616555E-5</v>
      </c>
      <c r="CC11">
        <f>0.962*(0.955*0.943*(0.9442 - 0.0007*$B11 - dis_BMI*($C11-21.75)) - 0.15*0.5)*AY11</f>
        <v>1.1204905798263015E-5</v>
      </c>
      <c r="CD11">
        <f>0.962*(0.955*0.943*(0.9442 - 0.0007*$B11 - dis_BMI*($C11-21.75)))*AZ11</f>
        <v>2.8765398671000885E-5</v>
      </c>
      <c r="CE11">
        <f>0.962*(0.93*(0.9442 - 0.0007*$B11 - dis_BMI*($C11-21.75)))*BA11</f>
        <v>1.3792523967245702E-4</v>
      </c>
      <c r="CF11">
        <f>0.962*(0.93*(0.9442 - 0.0007*$B11 - dis_BMI*($C11-21.75)))*BB11</f>
        <v>5.0289112985130668E-4</v>
      </c>
      <c r="CG11">
        <f>0.962*(0.93*0.943*(0.9442 - 0.0007*$B11 - dis_BMI*($C11-21.75)))*BC11</f>
        <v>1.8995670335182935E-6</v>
      </c>
      <c r="CH11">
        <f>0.962*(0.93*0.943*(0.9442 - 0.0007*$B11 - dis_BMI*($C11-21.75))-0.19*0.5)*BD11</f>
        <v>2.0806546414236913E-6</v>
      </c>
      <c r="CI11">
        <f>0.962*(0.93*0.943*(0.9442 - 0.0007*$B11 - dis_BMI*($C11-21.75)))*BE11</f>
        <v>5.2002690704273957E-6</v>
      </c>
      <c r="CJ11">
        <f t="shared" si="18"/>
        <v>0</v>
      </c>
      <c r="CK11">
        <f t="shared" si="19"/>
        <v>0.77747756162932602</v>
      </c>
      <c r="CL11">
        <f>CK11/(1+r_)^A11</f>
        <v>0.61374796662207209</v>
      </c>
      <c r="CM11">
        <f>AD11*c_BN_2</f>
        <v>1219.134450371017</v>
      </c>
      <c r="CN11">
        <f>AE11*(c_Other+c_BN_2)</f>
        <v>327.82234204214842</v>
      </c>
      <c r="CO11">
        <f>AF11*(c_Stroke1+c_Stroke2+c_BN_2)</f>
        <v>49.301442670269928</v>
      </c>
      <c r="CP11">
        <f>AG11*(c_Stroke2 + c_BN_2)</f>
        <v>48.307863465288911</v>
      </c>
      <c r="CQ11">
        <f>AH11*(c_MI1+c_MI2 + c_BN_2)</f>
        <v>41.828155705087667</v>
      </c>
      <c r="CR11">
        <f>AI11*(c_MI2+c_BN_2)</f>
        <v>25.386271609568876</v>
      </c>
      <c r="CS11">
        <f>AJ11*(c_Stroke1+c_Stroke2+c_MI2+c_BN_2)</f>
        <v>0.46467329736766977</v>
      </c>
      <c r="CT11">
        <f>AK11*(c_Stroke2+c_MI1+c_MI2+c_BN_2)</f>
        <v>0.52292103369985055</v>
      </c>
      <c r="CU11">
        <f>AL11*(c_Stroke2+c_MI2+c_BN_2)</f>
        <v>0.45149533811589732</v>
      </c>
      <c r="CV11">
        <f>AM11*(c_HF1+c_BN_2)</f>
        <v>6.6029851559230357</v>
      </c>
      <c r="CW11">
        <f>AN11*(c_HF2+c_BN_2)</f>
        <v>17.48096236386797</v>
      </c>
      <c r="CX11">
        <f>AO11*(c_Stroke2+c_HF1+c_BN_2)</f>
        <v>8.1078206873436878E-2</v>
      </c>
      <c r="CY11">
        <f>AP11*(c_Stroke1+c_Stroke2+c_HF2+c_BN_2)</f>
        <v>0.1206779808776134</v>
      </c>
      <c r="CZ11">
        <f>AQ11*(c_Stroke2+c_HF2+c_BN_2)</f>
        <v>0.18017255591805104</v>
      </c>
      <c r="DA11">
        <f>AR11*(c_DM+c_BN_2)</f>
        <v>3755.1747355173197</v>
      </c>
      <c r="DB11">
        <f>AS11*(c_Other+c_DM+c_BN_2)</f>
        <v>393.38027971891267</v>
      </c>
      <c r="DC11">
        <f>AT11*(c_Stroke1+c_Stroke2+c_DM+c_BN_2)</f>
        <v>57.200208210471217</v>
      </c>
      <c r="DD11">
        <f>AU11*(c_Stroke2+c_DM+c_BN_2)</f>
        <v>77.310913643210029</v>
      </c>
      <c r="DE11">
        <f>AV11*(c_MI1+c_MI2+c_DM+c_BN_2)</f>
        <v>47.441621839807922</v>
      </c>
      <c r="DF11">
        <f>AW11*(c_MI2+c_DM+c_BN_2)</f>
        <v>56.002897679439755</v>
      </c>
      <c r="DG11">
        <f>AX11*(c_Stroke1+c_Stroke2+c_MI2+c_DM+c_BN_2)</f>
        <v>0.76135961048706258</v>
      </c>
      <c r="DH11">
        <f>AY11*(c_Stroke2+c_MI1+c_MI2+c_DM+c_BN_2)</f>
        <v>0.81957077806690759</v>
      </c>
      <c r="DI11">
        <f>AZ11*(c_Stroke2+c_MI2+c_DM+c_BN_2)</f>
        <v>0.89406913562429169</v>
      </c>
      <c r="DJ11">
        <f>BA11*(c_HF1+c_DM+c_BN_2)</f>
        <v>7.2754587099785653</v>
      </c>
      <c r="DK11">
        <f>BB11*(c_HF2+c_DM+c_BN_2)</f>
        <v>19.053101628789314</v>
      </c>
      <c r="DL11">
        <f>BC11*(c_Stroke2+c_HF1+c_DM+c_BN_2)</f>
        <v>0.12329013650166544</v>
      </c>
      <c r="DM11">
        <f>BD11*(c_Stroke1+c_Stroke2+c_HF2+c_DM+c_BN_2)</f>
        <v>0.173872027725302</v>
      </c>
      <c r="DN11">
        <f>BE11*(c_Stroke2+c_HF2+c_DM+c_BN_2)</f>
        <v>0.25556111253565827</v>
      </c>
      <c r="DO11">
        <f t="shared" si="5"/>
        <v>0</v>
      </c>
      <c r="DP11">
        <f t="shared" si="38"/>
        <v>6153.5524315448965</v>
      </c>
      <c r="DQ11">
        <f>DP11/(1+r_)^A11</f>
        <v>4857.6711132965147</v>
      </c>
    </row>
    <row r="12" spans="1:121" x14ac:dyDescent="0.3">
      <c r="A12">
        <v>9</v>
      </c>
      <c r="B12">
        <v>54</v>
      </c>
      <c r="C12">
        <f t="shared" si="39"/>
        <v>36.251999999999995</v>
      </c>
      <c r="D12">
        <f t="shared" si="1"/>
        <v>125</v>
      </c>
      <c r="E12">
        <f t="shared" si="40"/>
        <v>5.7</v>
      </c>
      <c r="F12">
        <v>4.3400000000000001E-3</v>
      </c>
      <c r="G12">
        <v>7.0899999999999999E-3</v>
      </c>
      <c r="H12">
        <f t="shared" si="3"/>
        <v>4.8900000000000002E-3</v>
      </c>
      <c r="I12">
        <f t="shared" si="20"/>
        <v>4.7655426853004217E-2</v>
      </c>
      <c r="J12">
        <f t="shared" si="21"/>
        <v>0.12721551960874866</v>
      </c>
      <c r="K12">
        <f t="shared" si="22"/>
        <v>0.17350394751289899</v>
      </c>
      <c r="L12">
        <f t="shared" si="23"/>
        <v>6.2383051232300701E-2</v>
      </c>
      <c r="M12">
        <f t="shared" si="24"/>
        <v>8.626158739125922E-2</v>
      </c>
      <c r="N12">
        <f t="shared" si="25"/>
        <v>0.2737319286652673</v>
      </c>
      <c r="O12">
        <f t="shared" si="26"/>
        <v>0.3635980059895263</v>
      </c>
      <c r="P12">
        <f t="shared" si="27"/>
        <v>0.14557299069796681</v>
      </c>
      <c r="Q12">
        <f t="shared" si="28"/>
        <v>0.19932275302057112</v>
      </c>
      <c r="R12">
        <f>IF(C12&lt;25, HT_f_low, IF(C12&lt;30, HT_f_mod, HT_f_high))</f>
        <v>0.42</v>
      </c>
      <c r="S12">
        <f>IF(C12&lt;25, HT_m_low, IF(C12&lt;30, HT_m_mod, HT_m_high))</f>
        <v>0.43099999999999999</v>
      </c>
      <c r="T12">
        <f>PREV_FEMALE*PREV_SMOKE*(1-$R12)*(1-EXP(-J12/10))+PREV_FEMALE*PREV_SMOKE*$R12*(1-EXP(-K12/10))+PREV_FEMALE*(1-PREV_SMOKE)*(1-$R12)*(1-EXP(-L12/10))+PREV_FEMALE*(1-PREV_SMOKE)*$R12*(1-EXP(-M12/10))+(1-PREV_FEMALE)*PREV_SMOKE*(1-$S12)*(1-EXP(-N12/10))+(1-PREV_FEMALE)*PREV_SMOKE*$S12*(1-EXP(-O12/10))+(1-PREV_FEMALE)*(1-PREV_SMOKE)*(1-$S12)*(1-EXP(-P12/10))+(1-PREV_FEMALE)*(1-PREV_SMOKE)*$S12*(1-EXP(-Q12/10))</f>
        <v>1.0202053531030453E-2</v>
      </c>
      <c r="U12">
        <f t="shared" si="29"/>
        <v>0.25630399813399596</v>
      </c>
      <c r="V12">
        <f t="shared" si="30"/>
        <v>0.33947321907343464</v>
      </c>
      <c r="W12">
        <f t="shared" si="31"/>
        <v>0.13080193055689726</v>
      </c>
      <c r="X12">
        <f t="shared" si="32"/>
        <v>0.17825638557846035</v>
      </c>
      <c r="Y12">
        <f t="shared" si="33"/>
        <v>0.41972315312570763</v>
      </c>
      <c r="Z12">
        <f t="shared" si="34"/>
        <v>0.53653257379939046</v>
      </c>
      <c r="AA12">
        <f t="shared" si="35"/>
        <v>0.23487125135048748</v>
      </c>
      <c r="AB12">
        <f t="shared" si="36"/>
        <v>0.31495647594459786</v>
      </c>
      <c r="AC12">
        <f>PREV_FEMALE*PREV_SMOKE*(1-$R12)*(1-EXP(-U12/10))+PREV_FEMALE*PREV_SMOKE*$R12*(1-EXP(-V12/10))+PREV_FEMALE*(1-PREV_SMOKE)*(1-$R12)*(1-EXP(-W12/10))+PREV_FEMALE*(1-PREV_SMOKE)*$R12*(1-EXP(-X12/10))+(1-PREV_FEMALE)*PREV_SMOKE*(1-$S12)*(1-EXP(-Y12/10))+(1-PREV_FEMALE)*PREV_SMOKE*$S12*(1-EXP(-Z12/10))+(1-PREV_FEMALE)*(1-PREV_SMOKE)*(1-$S12)*(1-EXP(-AA12/10))+(1-PREV_FEMALE)*(1-PREV_SMOKE)*$S12*(1-EXP(-AB12/10))</f>
        <v>1.9137411258994173E-2</v>
      </c>
      <c r="AD12">
        <f t="shared" si="37"/>
        <v>0.54636418010075383</v>
      </c>
      <c r="AE12">
        <f t="shared" si="6"/>
        <v>2.1783112665644328E-2</v>
      </c>
      <c r="AF12">
        <f t="shared" si="7"/>
        <v>1.9688210295745784E-3</v>
      </c>
      <c r="AG12">
        <f t="shared" si="8"/>
        <v>6.1905229802864409E-3</v>
      </c>
      <c r="AH12">
        <f t="shared" si="9"/>
        <v>1.3644852132454646E-3</v>
      </c>
      <c r="AI12">
        <f t="shared" si="10"/>
        <v>5.3498581422745089E-3</v>
      </c>
      <c r="AJ12">
        <f t="shared" si="11"/>
        <v>1.9342763146846717E-5</v>
      </c>
      <c r="AK12">
        <f t="shared" si="12"/>
        <v>1.6521018509856005E-5</v>
      </c>
      <c r="AL12">
        <f t="shared" si="13"/>
        <v>5.0299972320652934E-5</v>
      </c>
      <c r="AM12">
        <f t="shared" si="14"/>
        <v>2.3624324065400209E-4</v>
      </c>
      <c r="AN12">
        <f t="shared" si="15"/>
        <v>1.144585570433534E-3</v>
      </c>
      <c r="AO12">
        <f t="shared" si="16"/>
        <v>2.7830184888444122E-6</v>
      </c>
      <c r="AP12">
        <f>AM11*T11*p_Stroke*p_Stroke_rec*(1-I11) + AN11*T11*p_Stroke*p_Stroke_rec*(1-I11) + AO11*(p_recur_Stroke*p_Stroke_rec)*(1-I11) + AP11*(p_recur_Stroke*p_Stroke_rec)*(1-I11) + AQ11*(p_recur_Stroke*p_Stroke_rec)*(1-I11)</f>
        <v>3.7037928752143998E-6</v>
      </c>
      <c r="AQ12">
        <f>AO11*(1-p_recur_Stroke-H11*rr_Stroke*rr_HF)*(1-I11) + AP11*(1-p_recur_Stroke-H11*rr_Stroke*rr_HF)*(1-I11) + AQ11*(1-p_recur_Stroke-H11*rr_Stroke*rr_HF)*(1-I11)</f>
        <v>1.028023630172895E-5</v>
      </c>
      <c r="AR12">
        <f>AR11*(1-AC11-H11*rr_DM) + AD11*(1-T11-H11)*I11</f>
        <v>0.29860229524273124</v>
      </c>
      <c r="AS12">
        <f>AR11*AC11*p_Other + AD11*T11*p_Other*I11 + AE11*(1-T11*p_Stroke-T11*p_MI-H11*rr_Other)*I11 + AS11*(1-AC11*p_Stroke-AC11*p_MI-H11*rr_Other*rr_DM)</f>
        <v>1.7779874549552609E-2</v>
      </c>
      <c r="AT12">
        <f>AR11*AC11*p_Stroke*p_Stroke_rec + AD11*T11*p_Stroke*p_Stroke_rec*I11 + AE11*T11*p_Stroke*p_Stroke_rec*I11 + AF11*p_recur_Stroke*p_Stroke_rec*I11 + AG11*p_recur_Stroke*p_Stroke_rec*I11 + AS11*AC11*p_Stroke*p_Stroke_rec + AT11*p_recur_Stroke*p_Stroke_rec + AU11*p_recur_Stroke*p_Stroke_rec</f>
        <v>1.8228527692461304E-3</v>
      </c>
      <c r="AU12">
        <f>AF11*(1-p_recur_Stroke-T11*p_MI-H11*rr_Stroke)*I11 + AG11*(1-p_recur_Stroke-T11*p_MI-H11*rr_Stroke)*I11 + AT11*(1-p_recur_Stroke-AC11*p_MI-H11*rr_Stroke*rr_DM) + AU11*(1-p_recur_Stroke-AC11*p_MI-H11*rr_Stroke*rr_DM)</f>
        <v>4.9487893367756511E-3</v>
      </c>
      <c r="AV12">
        <f>AR11*AC11*p_MI*p_MI_rec_young + AD11*T11*p_MI*p_MI_rec_young*I11 + AE11*T11*p_MI*p_MI_rec_young*I11 +AH11*(PREV_FEMALE*p_recur_MI_F + (1-PREV_FEMALE)*p_recur_MI_M)*p_MI_rec_young*I11 + AI11*(PREV_FEMALE*p_recur_MI_F + (1-PREV_FEMALE)*p_recur_MI_M)*p_MI_rec_young*I11 + AS11*AC11*p_MI*p_MI_rec_young + AV11*(PREV_FEMALE*p_recur_MI_F + (1-PREV_FEMALE)*p_recur_MI_M)*p_MI_rec_young + AW11*(PREV_FEMALE*p_recur_MI_F + (1-PREV_FEMALE)*p_recur_MI_M)*p_MI_rec_young</f>
        <v>1.3036891596483362E-3</v>
      </c>
      <c r="AW12">
        <f>AH11*(1-(PREV_FEMALE*p_recur_MI_F + (1-PREV_FEMALE)*p_recur_MI_M) - T11*p_Stroke - p_toHF_young - H11*rr_MI)*I11 + AI11*(1-(PREV_FEMALE*p_recur_MI_F + (1-PREV_FEMALE)*p_recur_MI_M) - T11*p_Stroke - p_toHF_young - H11*rr_MI)*I11 + AV11*(1-(PREV_FEMALE*p_recur_MI_F + (1-PREV_FEMALE)*p_recur_MI_M) - AC11*p_Stroke - p_toHF_young - H11*rr_MI*rr_DM) + AW11*(1-(PREV_FEMALE*p_recur_MI_F + (1-PREV_FEMALE)*p_recur_MI_M) - AC11*p_Stroke - p_toHF_young - H11*rr_MI*rr_DM)</f>
        <v>4.3053499710006609E-3</v>
      </c>
      <c r="AX12">
        <f>AH11*T11*p_Stroke*p_Stroke_rec*I11 + AI11*T11*p_Stroke*p_Stroke_rec*I11 + AJ11*p_recur_Stroke*p_Stroke_rec*I11 + AK11*p_recur_Stroke*p_Stroke_rec*I11 + AL11*p_recur_Stroke*p_Stroke_rec*I11 + AV11*AC11*p_Stroke*p_Stroke_rec + AW11*AC11*p_Stroke*p_Stroke_rec + AX11*p_recur_Stroke*p_Stroke_rec + AY11*p_recur_Stroke*p_Stroke_rec + AZ11*p_recur_Stroke*p_Stroke_rec</f>
        <v>2.6469598314012172E-5</v>
      </c>
      <c r="AY12">
        <f>AF11*T11*p_MI*p_MI_rec_young*I11 + AG11*T11*p_MI*p_MI_rec_young*I11 + AJ11*(PREV_FEMALE*p_recur_MI_F+(1-PREV_FEMALE)*p_recur_MI_M)*p_MI_rec_young*I11 + AK11*(PREV_FEMALE*p_recur_MI_F+(1-PREV_FEMALE)*p_recur_MI_M)*p_MI_rec_young*I11 + AL11*(PREV_FEMALE*p_recur_MI_F+(1-PREV_FEMALE)*p_recur_MI_M)*p_MI_rec_young*I11 + AT11*AC11*p_MI*p_MI_rec_young + AU11*AC11*p_MI*p_MI_rec_young + AX11*(PREV_FEMALE*p_recur_MI_F+(1-PREV_FEMALE)*p_recur_MI_M)*p_MI_rec_young + AY11*(PREV_FEMALE*p_recur_MI_F+(1-PREV_FEMALE)*p_recur_MI_M)*p_MI_rec_young + AZ11*(PREV_FEMALE*p_recur_MI_F+(1-PREV_FEMALE)*p_recur_MI_M)*p_MI_rec_young</f>
        <v>2.3130859237846567E-5</v>
      </c>
      <c r="AZ12">
        <f>AJ11*(1-p_recur_Stroke-(PREV_FEMALE*p_recur_MI_F + (1-PREV_FEMALE)*p_recur_MI_M) - p_toHF_young - H11*rr_MI*rr_Stroke)*I11 + AK11*(1-p_recur_Stroke-(PREV_FEMALE*p_recur_MI_F + (1-PREV_FEMALE)*p_recur_MI_M) - p_toHF_young - H11*rr_MI*rr_Stroke)*I11 + AL11*(1-p_recur_Stroke-(PREV_FEMALE*p_recur_MI_F + (1-PREV_FEMALE)*p_recur_MI_M) - p_toHF_young - H11*rr_MI*rr_Stroke)*I11 + AX11*(1-p_recur_Stroke-(PREV_FEMALE*p_recur_MI_F + (1-PREV_FEMALE)*p_recur_MI_M) - p_toHF_young - H11*rr_MI*rr_Stroke*rr_DM) + AY11*(1-p_recur_Stroke-(PREV_FEMALE*p_recur_MI_F + (1-PREV_FEMALE)*p_recur_MI_M) - p_toHF_young - H11*rr_MI*rr_Stroke*rr_DM) + AZ11*(1-p_recur_Stroke-(PREV_FEMALE*p_recur_MI_F + (1-PREV_FEMALE)*p_recur_MI_M) - p_toHF_young - H11*rr_MI*rr_Stroke*rr_DM)</f>
        <v>5.9507000859801513E-5</v>
      </c>
      <c r="BA12">
        <f>AR11*AC11*p_MI*p_MI_HF_young + AD11*T11*p_MI*p_MI_HF_young*I11 + AE11*T11*p_MI*p_MI_HF_young*I11 + AH11*p_toHF_young*I11 + AH11*(PREV_FEMALE*p_recur_MI_F + (1-PREV_FEMALE)*p_recur_MI_M)*p_MI_HF_young*I11 + AI11*p_toHF_young*I11 + AI11*(PREV_FEMALE*p_recur_MI_F + (1-PREV_FEMALE)*p_recur_MI_M)*p_MI_HF_young*I11 + AS11*AC11*p_MI*p_MI_HF_young + AV11*(PREV_FEMALE*p_recur_MI_F + (1-PREV_FEMALE)*p_recur_MI_M)*p_MI_HF_young + AV11*p_toHF_young + AW11*(PREV_FEMALE*p_recur_MI_F + (1-PREV_FEMALE)*p_recur_MI_M)*p_MI_HF_young + AW11*p_toHF_young</f>
        <v>2.1520354728447831E-4</v>
      </c>
      <c r="BB12">
        <f>AM11*(1-T11*p_Stroke - H11*rr_HF)*I11 + AN11*(1-T11*p_Stroke - H11*rr_HF)*I11 + BA11*(1-AC11*p_Stroke - H11*rr_HF*rr_DM) + BB11*(1-AC11*p_Stroke - H11*rr_HF*rr_DM)</f>
        <v>8.7966604060197727E-4</v>
      </c>
      <c r="BC12">
        <f>AF11*T11*p_MI*p_MI_HF_young*I11 + AG11*T11*p_MI*p_MI_HF_young*I11 + AJ11*(PREV_FEMALE*p_recur_MI_F + (1-PREV_FEMALE)*p_recur_MI_M)*p_MI_HF_young*I11 + AJ11*p_toHF_young*I11 + AK11*(PREV_FEMALE*p_recur_MI_F + (1-PREV_FEMALE)*p_recur_MI_M)*p_MI_HF_young*I11 + AK11*p_toHF_young*I11 + AL11*(PREV_FEMALE*p_recur_MI_F + (1-PREV_FEMALE)*p_recur_MI_M)*p_MI_HF_young*I11 + AL11*p_toHF_young*I11 + AT11*AC11*p_MI*p_MI_HF_young + AU11*AC11*p_MI*p_MI_HF_young + AX11*(PREV_FEMALE*p_recur_MI_F + (1-PREV_FEMALE)*p_recur_MI_M)*p_MI_HF_young + AX11*p_toHF_young + AY11*(PREV_FEMALE*p_recur_MI_F + (1-PREV_FEMALE)*p_recur_MI_M)*p_MI_HF_young + AY11*p_toHF_young + AZ11*(PREV_FEMALE*p_recur_MI_F + (1-PREV_FEMALE)*p_recur_MI_M)*p_MI_HF_young + AZ11*p_toHF_young</f>
        <v>3.730555436457956E-6</v>
      </c>
      <c r="BD12">
        <f>AM11*T11*p_Stroke*p_Stroke_rec*I11 + AN11*T11*p_Stroke*p_Stroke_rec*I11 + AO11*(p_recur_Stroke*p_Stroke_rec)*I11 + AP11*(p_recur_Stroke*p_Stroke_rec)*I11 + AQ11*(p_recur_Stroke*p_Stroke_rec)*I11 + BA11*AC11*p_Stroke*p_Stroke_rec + BB11*AC11*p_Stroke*p_Stroke_rec + BC11*(p_recur_Stroke*p_Stroke_rec) + BD11*(p_recur_Stroke*p_Stroke_rec) + BE11*(p_recur_Stroke*p_Stroke_rec)</f>
        <v>4.8529745798462293E-6</v>
      </c>
      <c r="BE12">
        <f>AO11*(1-p_recur_Stroke - H11*rr_Stroke*rr_HF)*I11 + AP11*(1-p_recur_Stroke-H11*rr_Stroke*rr_HF)*I11 + AQ11*(1-p_recur_Stroke-H11*rr_Stroke*rr_HF)*I11 + BC11*(1-p_recur_Stroke - H11*rr_Stroke*rr_HF*rr_DM) + BD11*(1-p_recur_Stroke-H11*rr_Stroke*rr_HF*rr_DM) + BE11*(1-p_recur_Stroke-H11*rr_Stroke*rr_HF*rr_DM)</f>
        <v>1.1644817145527633E-5</v>
      </c>
      <c r="BF12">
        <f>AD11*H11 + AE11*H11*rr_Other + AF11*H11*rr_Stroke + AG11*H11*rr_Stroke + AH11*H11*rr_MI + AI11*H11*rr_MI + AJ11*H11*rr_Stroke*rr_MI + AK11*H11*rr_Stroke*rr_MI + AL11*H11*rr_Stroke*rr_MI + AM11*H11*rr_HF + AN11*H11*rr_HF + AO11*H11*rr_Stroke*rr_HF + AP11*H11*rr_Stroke*rr_HF + AR11*H11*rr_DM + AS11*H11*rr_DM*rr_Other + AT11*H11*rr_DM*rr_Stroke + AU11*H11*rr_DM*rr_Stroke + AV11*H11*rr_DM*rr_MI + AW11*H11*rr_DM*rr_MI + AX11*H11*rr_DM*rr_Stroke*rr_MI + AY11*H11*rr_DM*rr_Stroke*rr_MI + AZ11*H11*rr_DM*rr_Stroke*rr_MI + BA11*H11*rr_DM*rr_HF + BB11*H11*rr_DM*rr_HF + BC11*H11*rr_DM*rr_Stroke*rr_HF + BD11*H11*rr_DM*rr_Stroke*rr_HF + AQ11*H11*rr_Stroke*rr_HF + BE11*H11*rr_DM*rr_Stroke*rr_HF
+ AD11*T11*p_MI*p_MI_mort + AD11*T11*p_Stroke*p_Stroke_mort + AE11*T11*p_MI*p_MI_mort + AE11*T11*p_Stroke*p_Stroke_mort + AF11*T11*p_MI*p_MI_mort + AF11*p_recur_Stroke*p_Stroke_mort + AG11*T11*p_MI*p_MI_mort + AG11*p_recur_Stroke*p_Stroke_mort + AH11*(PREV_FEMALE*p_recur_MI_F + (1-PREV_FEMALE)*p_recur_MI_M)*p_MI_mort + AH11*T11*p_Stroke*p_Stroke_mort + AI11*(PREV_FEMALE*p_recur_MI_F + (1-PREV_FEMALE)*p_recur_MI_M)*p_MI_mort + AI11*T11*p_Stroke*p_Stroke_mort + AJ11*(PREV_FEMALE*p_recur_MI_F + (1-PREV_FEMALE)*p_recur_MI_M)*p_MI_mort + AJ11*p_recur_Stroke*p_Stroke_mort + AK11*(PREV_FEMALE*p_recur_MI_F + (1-PREV_FEMALE)*p_recur_MI_M)*p_MI_mort + AK11*p_recur_Stroke*p_Stroke_mort + AL11*(PREV_FEMALE*p_recur_MI_F + (1-PREV_FEMALE)*p_recur_MI_M)*p_MI_mort + AL11*p_recur_Stroke*p_Stroke_mort + AM11*T11*p_Stroke*p_Stroke_mort + AN11*T11*p_Stroke*p_Stroke_mort + AO11*p_recur_Stroke*p_Stroke_mort + AP11*p_recur_Stroke*p_Stroke_mort + AQ11*p_recur_Stroke*p_Stroke_mort
+ AR11*AC11*p_MI*p_MI_mort + AR11*AC11*p_Stroke*p_Stroke_mort + AS11*AC11*p_MI*p_MI_mort + AS11*AC11*p_Stroke*p_Stroke_mort + AT11*AC11*p_MI*p_MI_mort + AT11*p_recur_Stroke*p_Stroke_mort + AU11*AC11*p_MI*p_MI_mort + AU11*p_recur_Stroke*p_Stroke_mort + AV11*(PREV_FEMALE*p_recur_MI_F + (1-PREV_FEMALE)*p_recur_MI_M)*p_MI_mort + AV11*AC11*p_Stroke*p_Stroke_mort + AW11*(PREV_FEMALE*p_recur_MI_F + (1-PREV_FEMALE)*p_recur_MI_M)*p_MI_mort + AW11*AC11*p_Stroke*p_Stroke_mort + AX11*(PREV_FEMALE*p_recur_MI_F + (1-PREV_FEMALE)*p_recur_MI_M)*p_MI_mort + AX11*p_recur_Stroke*p_Stroke_mort + AY11*(PREV_FEMALE*p_recur_MI_F + (1-PREV_FEMALE)*p_recur_MI_M)*p_MI_mort + AY11*p_recur_Stroke*p_Stroke_mort + AZ11*(PREV_FEMALE*p_recur_MI_F + (1-PREV_FEMALE)*p_recur_MI_M)*p_MI_mort + AZ11*p_recur_Stroke*p_Stroke_mort + BA11*AC11*p_Stroke*p_Stroke_mort + BB11*AC11*p_Stroke*p_Stroke_mort + BC11*p_recur_Stroke*p_Stroke_mort + BD11*p_recur_Stroke*p_Stroke_mort + BE11*p_recur_Stroke*p_Stroke_mort
+BF11</f>
        <v>3.2508203833075691E-2</v>
      </c>
      <c r="BG12">
        <f t="shared" si="17"/>
        <v>0.94700000000000017</v>
      </c>
      <c r="BH12">
        <f>(0.9442 - 0.0007*$B12 - dis_BMI*($C12-21.75))*AD12</f>
        <v>0.46907736082191359</v>
      </c>
      <c r="BI12">
        <f>0.959*(0.9442 - 0.0007*$B12 - dis_BMI*($C12-21.75))*AE12</f>
        <v>1.7934975958512987E-2</v>
      </c>
      <c r="BJ12">
        <f>(0.943*(0.9442 - 0.0007*$B12 - dis_BMI*($C12-21.75)) - 0.19*0.5)*AF12</f>
        <v>1.406932159771694E-3</v>
      </c>
      <c r="BK12">
        <f>(0.943*(0.9442 - 0.0007*$B12 - dis_BMI*($C12-21.75)))*AG12</f>
        <v>5.0118871863786786E-3</v>
      </c>
      <c r="BL12">
        <f>(0.955*(0.9442 - 0.0007*$B12 - dis_BMI*($C12-21.75)) - 0.15*0.5)*AH12</f>
        <v>1.0164172433957497E-3</v>
      </c>
      <c r="BM12">
        <f>(0.955*(0.9442 - 0.0007*$B12 - dis_BMI*($C12-21.75)))*AI12</f>
        <v>4.3863965560316694E-3</v>
      </c>
      <c r="BN12">
        <f>(0.955*0.943*(0.9442 - 0.0007*$B12 - dis_BMI*($C12-21.75)) - 0.19*0.5)*AJ12</f>
        <v>1.3117761704714375E-5</v>
      </c>
      <c r="BO12">
        <f>(0.955*0.943*(0.9442 - 0.0007*$B12 - dis_BMI*($C12-21.75)) - 0.15*0.5)*AK12</f>
        <v>1.1534547840826684E-5</v>
      </c>
      <c r="BP12">
        <f>(0.955*0.943*(0.9442 - 0.0007*$B12 - dis_BMI*($C12-21.75)))*AL12</f>
        <v>3.8890637691201021E-5</v>
      </c>
      <c r="BQ12">
        <f>(0.93*(0.9442 - 0.0007*$B12 - dis_BMI*($C12-21.75)))*AM12</f>
        <v>1.8862731980403785E-4</v>
      </c>
      <c r="BR12">
        <f>(0.93*(0.9442 - 0.0007*$B12 - dis_BMI*($C12-21.75)))*AN12</f>
        <v>9.1388904012477978E-4</v>
      </c>
      <c r="BS12">
        <f>(0.93*0.943*(0.9442 - 0.0007*$B12 - dis_BMI*($C12-21.75)))*AO12</f>
        <v>2.09542917710572E-6</v>
      </c>
      <c r="BT12">
        <f>(0.93*0.943*(0.9442 - 0.0007*$B12 - dis_BMI*($C12-21.75))-0.19*0.5)*AP12</f>
        <v>2.4368511740258705E-6</v>
      </c>
      <c r="BU12">
        <f>(0.93*0.943*(0.9442 - 0.0007*$B12 - dis_BMI*($C12-21.75)))*AQ12</f>
        <v>7.7403391966428825E-6</v>
      </c>
      <c r="BV12">
        <f>0.962*(0.9442 - 0.0007*$B12 - dis_BMI*($C12-21.75))*AR12</f>
        <v>0.24662123467288938</v>
      </c>
      <c r="BW12">
        <f>0.962*0.959*(0.9442 - 0.0007*$B12 - dis_BMI*($C12-21.75))*AS12</f>
        <v>1.4082657774475966E-2</v>
      </c>
      <c r="BX12">
        <f>0.962*(0.943*(0.9442 - 0.0007*$B12 - dis_BMI*($C12-21.75)) - 0.19*0.5)*AT12</f>
        <v>1.2531226554088001E-3</v>
      </c>
      <c r="BY12">
        <f>0.962*(0.943*(0.9442 - 0.0007*$B12 - dis_BMI*($C12-21.75)))*AU12</f>
        <v>3.8543219263029861E-3</v>
      </c>
      <c r="BZ12">
        <f>0.962*(0.955*(0.9442 - 0.0007*$B12 - dis_BMI*($C12-21.75)) - 0.15*0.5)*AV12</f>
        <v>9.3422678980205668E-4</v>
      </c>
      <c r="CA12">
        <f>0.962*(0.955*(0.9442 - 0.0007*$B12 - dis_BMI*($C12-21.75)))*AW12</f>
        <v>3.3958551526644268E-3</v>
      </c>
      <c r="CB12">
        <f>0.962*(0.955*0.943*(0.9442 - 0.0007*$B12 - dis_BMI*($C12-21.75)) - 0.19*0.5)*AX12</f>
        <v>1.7268859108129608E-5</v>
      </c>
      <c r="CC12">
        <f>0.962*(0.955*0.943*(0.9442 - 0.0007*$B12 - dis_BMI*($C12-21.75)) - 0.15*0.5)*AY12</f>
        <v>1.5535691714834119E-5</v>
      </c>
      <c r="CD12">
        <f>0.962*(0.955*0.943*(0.9442 - 0.0007*$B12 - dis_BMI*($C12-21.75)))*AZ12</f>
        <v>4.4260921623098509E-5</v>
      </c>
      <c r="CE12">
        <f>0.962*(0.93*(0.9442 - 0.0007*$B12 - dis_BMI*($C12-21.75)))*BA12</f>
        <v>1.6529879979506031E-4</v>
      </c>
      <c r="CF12">
        <f>0.962*(0.93*(0.9442 - 0.0007*$B12 - dis_BMI*($C12-21.75)))*BB12</f>
        <v>6.7567538995890548E-4</v>
      </c>
      <c r="CG12">
        <f>0.962*(0.93*0.943*(0.9442 - 0.0007*$B12 - dis_BMI*($C12-21.75)))*BC12</f>
        <v>2.7021251851506962E-6</v>
      </c>
      <c r="CH12">
        <f>0.962*(0.93*0.943*(0.9442 - 0.0007*$B12 - dis_BMI*($C12-21.75))-0.19*0.5)*BD12</f>
        <v>3.0716052617455371E-6</v>
      </c>
      <c r="CI12">
        <f>0.962*(0.93*0.943*(0.9442 - 0.0007*$B12 - dis_BMI*($C12-21.75)))*BE12</f>
        <v>8.4346028952944851E-6</v>
      </c>
      <c r="CJ12">
        <f t="shared" si="18"/>
        <v>0</v>
      </c>
      <c r="CK12">
        <f t="shared" si="19"/>
        <v>0.7710859688198034</v>
      </c>
      <c r="CL12">
        <f>CK12/(1+r_)^A12</f>
        <v>0.59097318857889358</v>
      </c>
      <c r="CM12">
        <f>AD12*c_BN_2</f>
        <v>1144.6329573110793</v>
      </c>
      <c r="CN12">
        <f>AE12*(c_Other+c_BN_2)</f>
        <v>356.67668678726022</v>
      </c>
      <c r="CO12">
        <f>AF12*(c_Stroke1+c_Stroke2+c_BN_2)</f>
        <v>51.014121697306898</v>
      </c>
      <c r="CP12">
        <f>AG12*(c_Stroke2 + c_BN_2)</f>
        <v>53.207545015561962</v>
      </c>
      <c r="CQ12">
        <f>AH12*(c_MI1+c_MI2 + c_BN_2)</f>
        <v>42.634704973067784</v>
      </c>
      <c r="CR12">
        <f>AI12*(c_MI2+c_BN_2)</f>
        <v>27.883460637534739</v>
      </c>
      <c r="CS12">
        <f>AJ12*(c_Stroke1+c_Stroke2+c_MI2+c_BN_2)</f>
        <v>0.56148172862666645</v>
      </c>
      <c r="CT12">
        <f>AK12*(c_Stroke2+c_MI1+c_MI2+c_BN_2)</f>
        <v>0.62360236467302477</v>
      </c>
      <c r="CU12">
        <f>AL12*(c_Stroke2+c_MI2+c_BN_2)</f>
        <v>0.58911327581948714</v>
      </c>
      <c r="CV12">
        <f>AM12*(c_HF1+c_BN_2)</f>
        <v>6.8805843840478111</v>
      </c>
      <c r="CW12">
        <f>AN12*(c_HF2+c_BN_2)</f>
        <v>20.259164596673553</v>
      </c>
      <c r="CX12">
        <f>AO12*(c_Stroke2+c_HF1+c_BN_2)</f>
        <v>9.9145033665082191E-2</v>
      </c>
      <c r="CY12">
        <f>AP12*(c_Stroke1+c_Stroke2+c_HF2+c_BN_2)</f>
        <v>0.15376666500740102</v>
      </c>
      <c r="CZ12">
        <f>AQ12*(c_Stroke2+c_HF2+c_BN_2)</f>
        <v>0.24878171850184061</v>
      </c>
      <c r="DA12">
        <f>AR12*(c_DM+c_BN_2)</f>
        <v>4037.1030316817264</v>
      </c>
      <c r="DB12">
        <f>AS12*(c_Other+c_DM+c_BN_2)</f>
        <v>494.26273260301298</v>
      </c>
      <c r="DC12">
        <f>AT12*(c_Stroke1+c_Stroke2+c_DM+c_BN_2)</f>
        <v>68.058030992573521</v>
      </c>
      <c r="DD12">
        <f>AU12*(c_Stroke2+c_DM+c_BN_2)</f>
        <v>99.074762522248534</v>
      </c>
      <c r="DE12">
        <f>AV12*(c_MI1+c_MI2+c_DM+c_BN_2)</f>
        <v>55.629720131354155</v>
      </c>
      <c r="DF12">
        <f>AW12*(c_MI2+c_DM+c_BN_2)</f>
        <v>71.628107467538001</v>
      </c>
      <c r="DG12">
        <f>AX12*(c_Stroke1+c_Stroke2+c_MI2+c_DM+c_BN_2)</f>
        <v>1.0707746605967343</v>
      </c>
      <c r="DH12">
        <f>AY12*(c_Stroke2+c_MI1+c_MI2+c_DM+c_BN_2)</f>
        <v>1.1373674795841535</v>
      </c>
      <c r="DI12">
        <f>AZ12*(c_Stroke2+c_MI2+c_DM+c_BN_2)</f>
        <v>1.3768134788932276</v>
      </c>
      <c r="DJ12">
        <f>BA12*(c_HF1+c_DM+c_BN_2)</f>
        <v>8.7265038423855952</v>
      </c>
      <c r="DK12">
        <f>BB12*(c_HF2+c_DM+c_BN_2)</f>
        <v>25.620273432532588</v>
      </c>
      <c r="DL12">
        <f>BC12*(c_Stroke2+c_HF1+c_DM+c_BN_2)</f>
        <v>0.17552263328534684</v>
      </c>
      <c r="DM12">
        <f>BD12*(c_Stroke1+c_Stroke2+c_HF2+c_DM+c_BN_2)</f>
        <v>0.25692132723163924</v>
      </c>
      <c r="DN12">
        <f>BE12*(c_Stroke2+c_HF2+c_DM+c_BN_2)</f>
        <v>0.41484661080942192</v>
      </c>
      <c r="DO12">
        <f t="shared" si="5"/>
        <v>0</v>
      </c>
      <c r="DP12">
        <f t="shared" si="38"/>
        <v>6570.0005250525983</v>
      </c>
      <c r="DQ12">
        <f>DP12/(1+r_)^A12</f>
        <v>5035.3583339067254</v>
      </c>
    </row>
    <row r="13" spans="1:121" x14ac:dyDescent="0.3">
      <c r="A13">
        <v>10</v>
      </c>
      <c r="B13">
        <v>55</v>
      </c>
      <c r="C13">
        <f t="shared" si="39"/>
        <v>36.251999999999995</v>
      </c>
      <c r="D13">
        <f t="shared" si="1"/>
        <v>125</v>
      </c>
      <c r="E13">
        <f t="shared" si="40"/>
        <v>5.7</v>
      </c>
      <c r="F13">
        <v>4.7000000000000002E-3</v>
      </c>
      <c r="G13">
        <v>7.7799999999999996E-3</v>
      </c>
      <c r="H13">
        <f t="shared" si="3"/>
        <v>5.3159999999999995E-3</v>
      </c>
      <c r="I13">
        <f t="shared" si="20"/>
        <v>4.7655426853004217E-2</v>
      </c>
      <c r="J13">
        <f t="shared" si="21"/>
        <v>0.13327435759108786</v>
      </c>
      <c r="K13">
        <f t="shared" si="22"/>
        <v>0.18152808898936812</v>
      </c>
      <c r="L13">
        <f t="shared" si="23"/>
        <v>6.5470010275070045E-2</v>
      </c>
      <c r="M13">
        <f t="shared" si="24"/>
        <v>9.0471965890486672E-2</v>
      </c>
      <c r="N13">
        <f t="shared" si="25"/>
        <v>0.28725905896685133</v>
      </c>
      <c r="O13">
        <f t="shared" si="26"/>
        <v>0.38028197238943029</v>
      </c>
      <c r="P13">
        <f t="shared" si="27"/>
        <v>0.15343839999922437</v>
      </c>
      <c r="Q13">
        <f t="shared" si="28"/>
        <v>0.209717520534074</v>
      </c>
      <c r="R13">
        <f>IF(C13&lt;25, HT_f_low, IF(C13&lt;30, HT_f_mod, HT_f_high))</f>
        <v>0.42</v>
      </c>
      <c r="S13">
        <f>IF(C13&lt;25, HT_m_low, IF(C13&lt;30, HT_m_mod, HT_m_high))</f>
        <v>0.43099999999999999</v>
      </c>
      <c r="T13">
        <f>PREV_FEMALE*PREV_SMOKE*(1-$R13)*(1-EXP(-J13/10))+PREV_FEMALE*PREV_SMOKE*$R13*(1-EXP(-K13/10))+PREV_FEMALE*(1-PREV_SMOKE)*(1-$R13)*(1-EXP(-L13/10))+PREV_FEMALE*(1-PREV_SMOKE)*$R13*(1-EXP(-M13/10))+(1-PREV_FEMALE)*PREV_SMOKE*(1-$S13)*(1-EXP(-N13/10))+(1-PREV_FEMALE)*PREV_SMOKE*$S13*(1-EXP(-O13/10))+(1-PREV_FEMALE)*(1-PREV_SMOKE)*(1-$S13)*(1-EXP(-P13/10))+(1-PREV_FEMALE)*(1-PREV_SMOKE)*$S13*(1-EXP(-Q13/10))</f>
        <v>1.0707080138702621E-2</v>
      </c>
      <c r="U13">
        <f t="shared" si="29"/>
        <v>0.26749379199802503</v>
      </c>
      <c r="V13">
        <f t="shared" si="30"/>
        <v>0.35334981895433615</v>
      </c>
      <c r="W13">
        <f t="shared" si="31"/>
        <v>0.13701781548908254</v>
      </c>
      <c r="X13">
        <f t="shared" si="32"/>
        <v>0.1864746051305648</v>
      </c>
      <c r="Y13">
        <f t="shared" si="33"/>
        <v>0.43799415878909564</v>
      </c>
      <c r="Z13">
        <f t="shared" si="34"/>
        <v>0.55701750551902718</v>
      </c>
      <c r="AA13">
        <f t="shared" si="35"/>
        <v>0.24681788921960601</v>
      </c>
      <c r="AB13">
        <f t="shared" si="36"/>
        <v>0.33002120328819495</v>
      </c>
      <c r="AC13">
        <f>PREV_FEMALE*PREV_SMOKE*(1-$R13)*(1-EXP(-U13/10))+PREV_FEMALE*PREV_SMOKE*$R13*(1-EXP(-V13/10))+PREV_FEMALE*(1-PREV_SMOKE)*(1-$R13)*(1-EXP(-W13/10))+PREV_FEMALE*(1-PREV_SMOKE)*$R13*(1-EXP(-X13/10))+(1-PREV_FEMALE)*PREV_SMOKE*(1-$S13)*(1-EXP(-Y13/10))+(1-PREV_FEMALE)*PREV_SMOKE*$S13*(1-EXP(-Z13/10))+(1-PREV_FEMALE)*(1-PREV_SMOKE)*(1-$S13)*(1-EXP(-AA13/10))+(1-PREV_FEMALE)*(1-PREV_SMOKE)*$S13*(1-EXP(-AB13/10))</f>
        <v>2.0015134326185961E-2</v>
      </c>
      <c r="AD13">
        <f t="shared" si="37"/>
        <v>0.51247415951851638</v>
      </c>
      <c r="AE13">
        <f t="shared" si="6"/>
        <v>2.337667014903394E-2</v>
      </c>
      <c r="AF13">
        <f t="shared" si="7"/>
        <v>2.0259055816253856E-3</v>
      </c>
      <c r="AG13">
        <f t="shared" si="8"/>
        <v>6.7016725726165788E-3</v>
      </c>
      <c r="AH13">
        <f>AD12*T12*p_MI*p_MI_rec_mid*(1-I12)+AE12*T12*p_MI*p_MI_rec_mid*(1-I12) + AH12*(PREV_FEMALE*p_recur_MI_F + (1-PREV_FEMALE)*p_recur_MI_M)*p_MI_rec_mid*(1-I12) + AI12*(PREV_FEMALE*p_recur_MI_F + (1-PREV_FEMALE)*p_recur_MI_M)*p_MI_rec_mid*(1-I12)</f>
        <v>1.274953330718371E-3</v>
      </c>
      <c r="AI13">
        <f>AH12*(1-(PREV_FEMALE*p_recur_MI_F + (1-PREV_FEMALE)*p_recur_MI_M) - T12*p_Stroke - p_toHF_mid - H12*rr_MI)*(1-I12) + AI12*(1-(PREV_FEMALE*p_recur_MI_F + (1-PREV_FEMALE)*p_recur_MI_M) - T12*p_Stroke - p_toHF_mid - H12*rr_MI)*(1-I12)</f>
        <v>5.6579119539483021E-3</v>
      </c>
      <c r="AJ13">
        <f t="shared" si="11"/>
        <v>2.2863029073301486E-5</v>
      </c>
      <c r="AK13">
        <f>AF12*T12*p_MI*p_MI_rec_mid*(1-I12) + AG12*T12*p_MI*p_MI_rec_mid*(1-I12) + AJ12*(PREV_FEMALE*p_recur_MI_F + (1-PREV_FEMALE)*p_recur_MI_M)*p_MI_rec_mid*(1-I12) + AK12*(PREV_FEMALE*p_recur_MI_F + (1-PREV_FEMALE)*p_recur_MI_M)*p_MI_rec_mid*(1-I12) + AL12*(PREV_FEMALE*p_recur_MI_F + (1-PREV_FEMALE)*p_recur_MI_M)*p_MI_rec_mid*(1-I12)</f>
        <v>1.7763055540375883E-5</v>
      </c>
      <c r="AL13">
        <f>AJ12*(1-p_recur_Stroke-(PREV_FEMALE*p_recur_MI_F + (1-PREV_FEMALE)*p_recur_MI_M) - p_toHF_mid - H12*rr_MI*rr_Stroke)*(1-I12) + AK12*(1-p_recur_Stroke-(PREV_FEMALE*p_recur_MI_F + (1-PREV_FEMALE)*p_recur_MI_M) - p_toHF_mid - H12*rr_MI*rr_Stroke)*(1-I12) + AL12*(1-p_recur_Stroke-(PREV_FEMALE*p_recur_MI_F + (1-PREV_FEMALE)*p_recur_MI_M) - p_toHF_mid - H12*rr_MI*rr_Stroke)*(1-I12)</f>
        <v>6.1602022421756303E-5</v>
      </c>
      <c r="AM13">
        <f>AD12*T12*p_MI*p_MI_HF_mid*(1-I12) + AE12*T12*p_MI*p_MI_HF_mid*(1-I12) + AH12*p_toHF_mid*(1-I12) + AH12*(PREV_FEMALE*p_recur_MI_F + (1-PREV_FEMALE)*p_recur_MI_M)*p_MI_HF_mid*(1-I12) + AI12*p_toHF_mid*(1-I12) + AI12*(PREV_FEMALE*p_recur_MI_F + (1-PREV_FEMALE)*p_recur_MI_M)*p_MI_HF_mid*(1-I12)</f>
        <v>4.7644617018005879E-4</v>
      </c>
      <c r="AN13">
        <f t="shared" si="15"/>
        <v>1.300235697408614E-3</v>
      </c>
      <c r="AO13">
        <f>AF12*T12*p_MI*p_MI_HF_mid*(1-I12) + AG12*T12*p_MI*p_MI_HF_mid*(1-I12) + AJ12*(PREV_FEMALE*p_recur_MI_F + (1-PREV_FEMALE)*p_recur_MI_M)*p_MI_HF_mid*(1-I12) + AJ12*p_toHF_mid*(1-I12) + AK12*(PREV_FEMALE*p_recur_MI_F + (1-PREV_FEMALE)*p_recur_MI_M)*p_MI_HF_mid*(1-I12) + AK12*p_toHF_mid*(1-I12) + AL12*(PREV_FEMALE*p_recur_MI_F + (1-PREV_FEMALE)*p_recur_MI_M)*p_MI_HF_mid*(1-I12) + AL12*p_toHF_mid*(1-I12)</f>
        <v>6.4200450899671184E-6</v>
      </c>
      <c r="AP13">
        <f>AM12*T12*p_Stroke*p_Stroke_rec*(1-I12) + AN12*T12*p_Stroke*p_Stroke_rec*(1-I12) + AO12*(p_recur_Stroke*p_Stroke_rec)*(1-I12) + AP12*(p_recur_Stroke*p_Stroke_rec)*(1-I12) + AQ12*(p_recur_Stroke*p_Stroke_rec)*(1-I12)</f>
        <v>4.6016837501068041E-6</v>
      </c>
      <c r="AQ13">
        <f>AO12*(1-p_recur_Stroke-H12*rr_Stroke*rr_HF)*(1-I12) + AP12*(1-p_recur_Stroke-H12*rr_Stroke*rr_HF)*(1-I12) + AQ12*(1-p_recur_Stroke-H12*rr_Stroke*rr_HF)*(1-I12)</f>
        <v>1.3607035259035058E-5</v>
      </c>
      <c r="AR13">
        <f>AR12*(1-AC12-H12*rr_DM) + AD12*(1-T12-H12)*I12</f>
        <v>0.31685289343721335</v>
      </c>
      <c r="AS13">
        <f>AR12*AC12*p_Other + AD12*T12*p_Other*I12 + AE12*(1-T12*p_Stroke-T12*p_MI-H12*rr_Other)*I12 + AS12*(1-AC12*p_Stroke-AC12*p_MI-H12*rr_Other*rr_DM)</f>
        <v>2.1749517812857513E-2</v>
      </c>
      <c r="AT13">
        <f>AR12*AC12*p_Stroke*p_Stroke_rec + AD12*T12*p_Stroke*p_Stroke_rec*I12 + AE12*T12*p_Stroke*p_Stroke_rec*I12 + AF12*p_recur_Stroke*p_Stroke_rec*I12 + AG12*p_recur_Stroke*p_Stroke_rec*I12 + AS12*AC12*p_Stroke*p_Stroke_rec + AT12*p_recur_Stroke*p_Stroke_rec + AU12*p_recur_Stroke*p_Stroke_rec</f>
        <v>2.1301478996908442E-3</v>
      </c>
      <c r="AU13">
        <f>AF12*(1-p_recur_Stroke-T12*p_MI-H12*rr_Stroke)*I12 + AG12*(1-p_recur_Stroke-T12*p_MI-H12*rr_Stroke)*I12 + AT12*(1-p_recur_Stroke-AC12*p_MI-H12*rr_Stroke*rr_DM) + AU12*(1-p_recur_Stroke-AC12*p_MI-H12*rr_Stroke*rr_DM)</f>
        <v>6.1466958786444582E-3</v>
      </c>
      <c r="AV13">
        <f>AR12*AC12*p_MI*p_MI_rec_mid + AD12*T12*p_MI*p_MI_rec_mid*I12 + AE12*T12*p_MI*p_MI_rec_mid*I12 +AH12*(PREV_FEMALE*p_recur_MI_F + (1-PREV_FEMALE)*p_recur_MI_M)*p_MI_rec_mid*I12 + AI12*(PREV_FEMALE*p_recur_MI_F + (1-PREV_FEMALE)*p_recur_MI_M)*p_MI_rec_mid*I12 + AS12*AC12*p_MI*p_MI_rec_mid + AV12*(PREV_FEMALE*p_recur_MI_F + (1-PREV_FEMALE)*p_recur_MI_M)*p_MI_rec_mid + AW12*(PREV_FEMALE*p_recur_MI_F + (1-PREV_FEMALE)*p_recur_MI_M)*p_MI_rec_mid</f>
        <v>1.3836404369585342E-3</v>
      </c>
      <c r="AW13">
        <f>AH12*(1-(PREV_FEMALE*p_recur_MI_F + (1-PREV_FEMALE)*p_recur_MI_M) - T12*p_Stroke - p_toHF_mid - H12*rr_MI)*I12 + AI12*(1-(PREV_FEMALE*p_recur_MI_F + (1-PREV_FEMALE)*p_recur_MI_M) - T12*p_Stroke - p_toHF_mid - H12*rr_MI)*I12 + AV12*(1-(PREV_FEMALE*p_recur_MI_F + (1-PREV_FEMALE)*p_recur_MI_M) - AC12*p_Stroke - p_toHF_mid - H12*rr_MI*rr_DM) + AW12*(1-(PREV_FEMALE*p_recur_MI_F + (1-PREV_FEMALE)*p_recur_MI_M) - AC12*p_Stroke - p_toHF_mid - H12*rr_MI*rr_DM)</f>
        <v>5.2281258382815433E-3</v>
      </c>
      <c r="AX13">
        <f>AH12*T12*p_Stroke*p_Stroke_rec*I12 + AI12*T12*p_Stroke*p_Stroke_rec*I12 + AJ12*p_recur_Stroke*p_Stroke_rec*I12 + AK12*p_recur_Stroke*p_Stroke_rec*I12 + AL12*p_recur_Stroke*p_Stroke_rec*I12 + AV12*AC12*p_Stroke*p_Stroke_rec + AW12*AC12*p_Stroke*p_Stroke_rec + AX12*p_recur_Stroke*p_Stroke_rec + AY12*p_recur_Stroke*p_Stroke_rec + AZ12*p_recur_Stroke*p_Stroke_rec</f>
        <v>3.5903202480213902E-5</v>
      </c>
      <c r="AY13">
        <f>AF12*T12*p_MI*p_MI_rec_mid*I12 + AG12*T12*p_MI*p_MI_rec_mid*I12 + AJ12*(PREV_FEMALE*p_recur_MI_F+(1-PREV_FEMALE)*p_recur_MI_M)*p_MI_rec_mid*I12 + AK12*(PREV_FEMALE*p_recur_MI_F+(1-PREV_FEMALE)*p_recur_MI_M)*p_MI_rec_mid*I12 + AL12*(PREV_FEMALE*p_recur_MI_F+(1-PREV_FEMALE)*p_recur_MI_M)*p_MI_rec_mid*I12 + AT12*AC12*p_MI*p_MI_rec_mid + AU12*AC12*p_MI*p_MI_rec_mid + AX12*(PREV_FEMALE*p_recur_MI_F+(1-PREV_FEMALE)*p_recur_MI_M)*p_MI_rec_mid + AY12*(PREV_FEMALE*p_recur_MI_F+(1-PREV_FEMALE)*p_recur_MI_M)*p_MI_rec_mid + AZ12*(PREV_FEMALE*p_recur_MI_F+(1-PREV_FEMALE)*p_recur_MI_M)*p_MI_rec_mid</f>
        <v>2.852543691898011E-5</v>
      </c>
      <c r="AZ13">
        <f>AJ12*(1-p_recur_Stroke-(PREV_FEMALE*p_recur_MI_F + (1-PREV_FEMALE)*p_recur_MI_M) - p_toHF_mid - H12*rr_MI*rr_Stroke)*I12 + AK12*(1-p_recur_Stroke-(PREV_FEMALE*p_recur_MI_F + (1-PREV_FEMALE)*p_recur_MI_M) - p_toHF_mid - H12*rr_MI*rr_Stroke)*I12 + AL12*(1-p_recur_Stroke-(PREV_FEMALE*p_recur_MI_F + (1-PREV_FEMALE)*p_recur_MI_M) - p_toHF_mid - H12*rr_MI*rr_Stroke)*I12 + AX12*(1-p_recur_Stroke-(PREV_FEMALE*p_recur_MI_F + (1-PREV_FEMALE)*p_recur_MI_M) - p_toHF_mid - H12*rr_MI*rr_Stroke*rr_DM) + AY12*(1-p_recur_Stroke-(PREV_FEMALE*p_recur_MI_F + (1-PREV_FEMALE)*p_recur_MI_M) - p_toHF_mid - H12*rr_MI*rr_Stroke*rr_DM) + AZ12*(1-p_recur_Stroke-(PREV_FEMALE*p_recur_MI_F + (1-PREV_FEMALE)*p_recur_MI_M) - p_toHF_mid - H12*rr_MI*rr_Stroke*rr_DM)</f>
        <v>8.45956132094492E-5</v>
      </c>
      <c r="BA13">
        <f>AR12*AC12*p_MI*p_MI_HF_mid + AD12*T12*p_MI*p_MI_HF_mid*I12 + AE12*T12*p_MI*p_MI_HF_mid*I12 + AH12*p_toHF_mid*I12 + AH12*(PREV_FEMALE*p_recur_MI_F + (1-PREV_FEMALE)*p_recur_MI_M)*p_MI_HF_mid*I12 + AI12*p_toHF_mid*I12 + AI12*(PREV_FEMALE*p_recur_MI_F + (1-PREV_FEMALE)*p_recur_MI_M)*p_MI_HF_mid*I12 + AS12*AC12*p_MI*p_MI_HF_mid + AV12*(PREV_FEMALE*p_recur_MI_F + (1-PREV_FEMALE)*p_recur_MI_M)*p_MI_HF_mid + AV12*p_toHF_mid + AW12*(PREV_FEMALE*p_recur_MI_F + (1-PREV_FEMALE)*p_recur_MI_M)*p_MI_HF_mid + AW12*p_toHF_mid</f>
        <v>4.8573792009185983E-4</v>
      </c>
      <c r="BB13">
        <f>AM12*(1-T12*p_Stroke - H12*rr_HF)*I12 + AN12*(1-T12*p_Stroke - H12*rr_HF)*I12 + BA12*(1-AC12*p_Stroke - H12*rr_HF*rr_DM) + BB12*(1-AC12*p_Stroke - H12*rr_HF*rr_DM)</f>
        <v>1.1439086033244099E-3</v>
      </c>
      <c r="BC13">
        <f>AF12*T12*p_MI*p_MI_HF_mid*I12 + AG12*T12*p_MI*p_MI_HF_mid*I12 + AJ12*(PREV_FEMALE*p_recur_MI_F + (1-PREV_FEMALE)*p_recur_MI_M)*p_MI_HF_mid*I12 + AJ12*p_toHF_mid*I12 + AK12*(PREV_FEMALE*p_recur_MI_F + (1-PREV_FEMALE)*p_recur_MI_M)*p_MI_HF_mid*I12 + AK12*p_toHF_mid*I12 + AL12*(PREV_FEMALE*p_recur_MI_F + (1-PREV_FEMALE)*p_recur_MI_M)*p_MI_HF_mid*I12 + AL12*p_toHF_mid*I12 + AT12*AC12*p_MI*p_MI_HF_mid + AU12*AC12*p_MI*p_MI_HF_mid + AX12*(PREV_FEMALE*p_recur_MI_F + (1-PREV_FEMALE)*p_recur_MI_M)*p_MI_HF_mid + AX12*p_toHF_mid + AY12*(PREV_FEMALE*p_recur_MI_F + (1-PREV_FEMALE)*p_recur_MI_M)*p_MI_HF_mid + AY12*p_toHF_mid + AZ12*(PREV_FEMALE*p_recur_MI_F + (1-PREV_FEMALE)*p_recur_MI_M)*p_MI_HF_mid + AZ12*p_toHF_mid</f>
        <v>9.7344530095874316E-6</v>
      </c>
      <c r="BD13">
        <f>AM12*T12*p_Stroke*p_Stroke_rec*I12 + AN12*T12*p_Stroke*p_Stroke_rec*I12 + AO12*(p_recur_Stroke*p_Stroke_rec)*I12 + AP12*(p_recur_Stroke*p_Stroke_rec)*I12 + AQ12*(p_recur_Stroke*p_Stroke_rec)*I12 + BA12*AC12*p_Stroke*p_Stroke_rec + BB12*AC12*p_Stroke*p_Stroke_rec + BC12*(p_recur_Stroke*p_Stroke_rec) + BD12*(p_recur_Stroke*p_Stroke_rec) + BE12*(p_recur_Stroke*p_Stroke_rec)</f>
        <v>6.8971266488174796E-6</v>
      </c>
      <c r="BE13">
        <f>AO12*(1-p_recur_Stroke - H12*rr_Stroke*rr_HF)*I12 + AP12*(1-p_recur_Stroke-H12*rr_Stroke*rr_HF)*I12 + AQ12*(1-p_recur_Stroke-H12*rr_Stroke*rr_HF)*I12 + BC12*(1-p_recur_Stroke - H12*rr_Stroke*rr_HF*rr_DM) + BD12*(1-p_recur_Stroke-H12*rr_Stroke*rr_HF*rr_DM) + BE12*(1-p_recur_Stroke-H12*rr_Stroke*rr_HF*rr_DM)</f>
        <v>1.7833831374083065E-5</v>
      </c>
      <c r="BF13">
        <f>AD12*H12 + AE12*H12*rr_Other + AF12*H12*rr_Stroke + AG12*H12*rr_Stroke + AH12*H12*rr_MI + AI12*H12*rr_MI + AJ12*H12*rr_Stroke*rr_MI + AK12*H12*rr_Stroke*rr_MI + AL12*H12*rr_Stroke*rr_MI + AM12*H12*rr_HF + AN12*H12*rr_HF + AO12*H12*rr_Stroke*rr_HF + AP12*H12*rr_Stroke*rr_HF + AR12*H12*rr_DM + AS12*H12*rr_DM*rr_Other + AT12*H12*rr_DM*rr_Stroke + AU12*H12*rr_DM*rr_Stroke + AV12*H12*rr_DM*rr_MI + AW12*H12*rr_DM*rr_MI + AX12*H12*rr_DM*rr_Stroke*rr_MI + AY12*H12*rr_DM*rr_Stroke*rr_MI + AZ12*H12*rr_DM*rr_Stroke*rr_MI + BA12*H12*rr_DM*rr_HF + BB12*H12*rr_DM*rr_HF + BC12*H12*rr_DM*rr_Stroke*rr_HF + BD12*H12*rr_DM*rr_Stroke*rr_HF + AQ12*H12*rr_Stroke*rr_HF + BE12*H12*rr_DM*rr_Stroke*rr_HF
+ AD12*T12*p_MI*p_MI_mort + AD12*T12*p_Stroke*p_Stroke_mort + AE12*T12*p_MI*p_MI_mort + AE12*T12*p_Stroke*p_Stroke_mort + AF12*T12*p_MI*p_MI_mort + AF12*p_recur_Stroke*p_Stroke_mort + AG12*T12*p_MI*p_MI_mort + AG12*p_recur_Stroke*p_Stroke_mort + AH12*(PREV_FEMALE*p_recur_MI_F + (1-PREV_FEMALE)*p_recur_MI_M)*p_MI_mort + AH12*T12*p_Stroke*p_Stroke_mort + AI12*(PREV_FEMALE*p_recur_MI_F + (1-PREV_FEMALE)*p_recur_MI_M)*p_MI_mort + AI12*T12*p_Stroke*p_Stroke_mort + AJ12*(PREV_FEMALE*p_recur_MI_F + (1-PREV_FEMALE)*p_recur_MI_M)*p_MI_mort + AJ12*p_recur_Stroke*p_Stroke_mort + AK12*(PREV_FEMALE*p_recur_MI_F + (1-PREV_FEMALE)*p_recur_MI_M)*p_MI_mort + AK12*p_recur_Stroke*p_Stroke_mort + AL12*(PREV_FEMALE*p_recur_MI_F + (1-PREV_FEMALE)*p_recur_MI_M)*p_MI_mort + AL12*p_recur_Stroke*p_Stroke_mort + AM12*T12*p_Stroke*p_Stroke_mort + AN12*T12*p_Stroke*p_Stroke_mort + AO12*p_recur_Stroke*p_Stroke_mort + AP12*p_recur_Stroke*p_Stroke_mort + AQ12*p_recur_Stroke*p_Stroke_mort
+ AR12*AC12*p_MI*p_MI_mort + AR12*AC12*p_Stroke*p_Stroke_mort + AS12*AC12*p_MI*p_MI_mort + AS12*AC12*p_Stroke*p_Stroke_mort + AT12*AC12*p_MI*p_MI_mort + AT12*p_recur_Stroke*p_Stroke_mort + AU12*AC12*p_MI*p_MI_mort + AU12*p_recur_Stroke*p_Stroke_mort + AV12*(PREV_FEMALE*p_recur_MI_F + (1-PREV_FEMALE)*p_recur_MI_M)*p_MI_mort + AV12*AC12*p_Stroke*p_Stroke_mort + AW12*(PREV_FEMALE*p_recur_MI_F + (1-PREV_FEMALE)*p_recur_MI_M)*p_MI_mort + AW12*AC12*p_Stroke*p_Stroke_mort + AX12*(PREV_FEMALE*p_recur_MI_F + (1-PREV_FEMALE)*p_recur_MI_M)*p_MI_mort + AX12*p_recur_Stroke*p_Stroke_mort + AY12*(PREV_FEMALE*p_recur_MI_F + (1-PREV_FEMALE)*p_recur_MI_M)*p_MI_mort + AY12*p_recur_Stroke*p_Stroke_mort + AZ12*(PREV_FEMALE*p_recur_MI_F + (1-PREV_FEMALE)*p_recur_MI_M)*p_MI_mort + AZ12*p_recur_Stroke*p_Stroke_mort + BA12*AC12*p_Stroke*p_Stroke_mort + BB12*AC12*p_Stroke*p_Stroke_mort + BC12*p_recur_Stroke*p_Stroke_mort + BD12*p_recur_Stroke*p_Stroke_mort + BE12*p_recur_Stroke*p_Stroke_mort
+BF12</f>
        <v>3.828103066411432E-2</v>
      </c>
      <c r="BG13">
        <f t="shared" si="17"/>
        <v>0.94700000000000029</v>
      </c>
      <c r="BH13">
        <f>(0.9442 - 0.0007*$B13 - dis_BMI*($C13-21.75))*AD13</f>
        <v>0.43962257541350647</v>
      </c>
      <c r="BI13">
        <f>0.959*(0.9442 - 0.0007*$B13 - dis_BMI*($C13-21.75))*AE13</f>
        <v>1.9231327791071423E-2</v>
      </c>
      <c r="BJ13">
        <f>(0.943*(0.9442 - 0.0007*$B13 - dis_BMI*($C13-21.75)) - 0.19*0.5)*AF13</f>
        <v>1.4463878472295182E-3</v>
      </c>
      <c r="BK13">
        <f>(0.943*(0.9442 - 0.0007*$B13 - dis_BMI*($C13-21.75)))*AG13</f>
        <v>5.4212934070134835E-3</v>
      </c>
      <c r="BL13">
        <f>(0.955*(0.9442 - 0.0007*$B13 - dis_BMI*($C13-21.75)) - 0.15*0.5)*AH13</f>
        <v>9.4887183675797931E-4</v>
      </c>
      <c r="BM13">
        <f>(0.955*(0.9442 - 0.0007*$B13 - dis_BMI*($C13-21.75)))*AI13</f>
        <v>4.63519031823925E-3</v>
      </c>
      <c r="BN13">
        <f>(0.955*0.943*(0.9442 - 0.0007*$B13 - dis_BMI*($C13-21.75)) - 0.19*0.5)*AJ13</f>
        <v>1.5490702260828092E-5</v>
      </c>
      <c r="BO13">
        <f>(0.955*0.943*(0.9442 - 0.0007*$B13 - dis_BMI*($C13-21.75)) - 0.15*0.5)*AK13</f>
        <v>1.2390508222479124E-5</v>
      </c>
      <c r="BP13">
        <f>(0.955*0.943*(0.9442 - 0.0007*$B13 - dis_BMI*($C13-21.75)))*AL13</f>
        <v>4.7590256886964151E-5</v>
      </c>
      <c r="BQ13">
        <f>(0.93*(0.9442 - 0.0007*$B13 - dis_BMI*($C13-21.75)))*AM13</f>
        <v>3.8010606836614348E-4</v>
      </c>
      <c r="BR13">
        <f>(0.93*(0.9442 - 0.0007*$B13 - dis_BMI*($C13-21.75)))*AN13</f>
        <v>1.0373207086637303E-3</v>
      </c>
      <c r="BS13">
        <f>(0.93*0.943*(0.9442 - 0.0007*$B13 - dis_BMI*($C13-21.75)))*AO13</f>
        <v>4.8299288572975424E-6</v>
      </c>
      <c r="BT13">
        <f>(0.93*0.943*(0.9442 - 0.0007*$B13 - dis_BMI*($C13-21.75))-0.19*0.5)*AP13</f>
        <v>3.0247791462441727E-6</v>
      </c>
      <c r="BU13">
        <f>(0.93*0.943*(0.9442 - 0.0007*$B13 - dis_BMI*($C13-21.75)))*AQ13</f>
        <v>1.0236845900441358E-5</v>
      </c>
      <c r="BV13">
        <f>0.962*(0.9442 - 0.0007*$B13 - dis_BMI*($C13-21.75))*AR13</f>
        <v>0.26148137719658815</v>
      </c>
      <c r="BW13">
        <f>0.962*0.959*(0.9442 - 0.0007*$B13 - dis_BMI*($C13-21.75))*AS13</f>
        <v>1.7212792230457144E-2</v>
      </c>
      <c r="BX13">
        <f>0.962*(0.943*(0.9442 - 0.0007*$B13 - dis_BMI*($C13-21.75)) - 0.19*0.5)*AT13</f>
        <v>1.4630204390915411E-3</v>
      </c>
      <c r="BY13">
        <f>0.962*(0.943*(0.9442 - 0.0007*$B13 - dis_BMI*($C13-21.75)))*AU13</f>
        <v>4.7833978614247865E-3</v>
      </c>
      <c r="BZ13">
        <f>0.962*(0.955*(0.9442 - 0.0007*$B13 - dis_BMI*($C13-21.75)) - 0.15*0.5)*AV13</f>
        <v>9.9063025255230171E-4</v>
      </c>
      <c r="CA13">
        <f>0.962*(0.955*(0.9442 - 0.0007*$B13 - dis_BMI*($C13-21.75)))*AW13</f>
        <v>4.120334647074432E-3</v>
      </c>
      <c r="CB13">
        <f>0.962*(0.955*0.943*(0.9442 - 0.0007*$B13 - dis_BMI*($C13-21.75)) - 0.19*0.5)*AX13</f>
        <v>2.3401602515671031E-5</v>
      </c>
      <c r="CC13">
        <f>0.962*(0.955*0.943*(0.9442 - 0.0007*$B13 - dis_BMI*($C13-21.75)) - 0.15*0.5)*AY13</f>
        <v>1.9141625877101162E-5</v>
      </c>
      <c r="CD13">
        <f>0.962*(0.955*0.943*(0.9442 - 0.0007*$B13 - dis_BMI*($C13-21.75)))*AZ13</f>
        <v>6.287036670637776E-5</v>
      </c>
      <c r="CE13">
        <f>0.962*(0.93*(0.9442 - 0.0007*$B13 - dis_BMI*($C13-21.75)))*BA13</f>
        <v>3.7279325304465441E-4</v>
      </c>
      <c r="CF13">
        <f>0.962*(0.93*(0.9442 - 0.0007*$B13 - dis_BMI*($C13-21.75)))*BB13</f>
        <v>8.7792488866923941E-4</v>
      </c>
      <c r="CG13">
        <f>0.962*(0.93*0.943*(0.9442 - 0.0007*$B13 - dis_BMI*($C13-21.75)))*BC13</f>
        <v>7.0451343687068082E-6</v>
      </c>
      <c r="CH13">
        <f>0.962*(0.93*0.943*(0.9442 - 0.0007*$B13 - dis_BMI*($C13-21.75))-0.19*0.5)*BD13</f>
        <v>4.3613423089626773E-6</v>
      </c>
      <c r="CI13">
        <f>0.962*(0.93*0.943*(0.9442 - 0.0007*$B13 - dis_BMI*($C13-21.75)))*BE13</f>
        <v>1.2906913024854116E-5</v>
      </c>
      <c r="CJ13">
        <f t="shared" si="18"/>
        <v>0</v>
      </c>
      <c r="CK13">
        <f t="shared" si="19"/>
        <v>0.76424863416582589</v>
      </c>
      <c r="CL13">
        <f>CK13/(1+r_)^A13</f>
        <v>0.56867275815092455</v>
      </c>
      <c r="CM13">
        <f>AD13*c_BN_2</f>
        <v>1073.6333641912918</v>
      </c>
      <c r="CN13">
        <f>AE13*(c_Other+c_BN_2)</f>
        <v>382.76959702028171</v>
      </c>
      <c r="CO13">
        <f>AF13*(c_Stroke1+c_Stroke2+c_BN_2)</f>
        <v>52.493239525495369</v>
      </c>
      <c r="CP13">
        <f>AG13*(c_Stroke2 + c_BN_2)</f>
        <v>57.600875761639493</v>
      </c>
      <c r="CQ13">
        <f>AH13*(c_MI1+c_MI2 + c_BN_2)</f>
        <v>39.837191771626223</v>
      </c>
      <c r="CR13">
        <f>AI13*(c_MI2+c_BN_2)</f>
        <v>29.48903710397855</v>
      </c>
      <c r="CS13">
        <f>AJ13*(c_Stroke1+c_Stroke2+c_MI2+c_BN_2)</f>
        <v>0.66366800793979552</v>
      </c>
      <c r="CT13">
        <f>AK13*(c_Stroke2+c_MI1+c_MI2+c_BN_2)</f>
        <v>0.67048429442702806</v>
      </c>
      <c r="CU13">
        <f>AL13*(c_Stroke2+c_MI2+c_BN_2)</f>
        <v>0.72148288660360982</v>
      </c>
      <c r="CV13">
        <f>AM13*(c_HF1+c_BN_2)</f>
        <v>13.876494706494212</v>
      </c>
      <c r="CW13">
        <f>AN13*(c_HF2+c_BN_2)</f>
        <v>23.014171844132466</v>
      </c>
      <c r="CX13">
        <f>AO13*(c_Stroke2+c_HF1+c_BN_2)</f>
        <v>0.2287141063300786</v>
      </c>
      <c r="CY13">
        <f>AP13*(c_Stroke1+c_Stroke2+c_HF2+c_BN_2)</f>
        <v>0.19104350256943409</v>
      </c>
      <c r="CZ13">
        <f>AQ13*(c_Stroke2+c_HF2+c_BN_2)</f>
        <v>0.32929025326864841</v>
      </c>
      <c r="DA13">
        <f>AR13*(c_DM+c_BN_2)</f>
        <v>4283.8511192711248</v>
      </c>
      <c r="DB13">
        <f>AS13*(c_Other+c_DM+c_BN_2)</f>
        <v>604.614845679626</v>
      </c>
      <c r="DC13">
        <f>AT13*(c_Stroke1+c_Stroke2+c_DM+c_BN_2)</f>
        <v>79.531201982857354</v>
      </c>
      <c r="DD13">
        <f>AU13*(c_Stroke2+c_DM+c_BN_2)</f>
        <v>123.05685149046205</v>
      </c>
      <c r="DE13">
        <f>AV13*(c_MI1+c_MI2+c_DM+c_BN_2)</f>
        <v>59.041321085457618</v>
      </c>
      <c r="DF13">
        <f>AW13*(c_MI2+c_DM+c_BN_2)</f>
        <v>86.980329571490032</v>
      </c>
      <c r="DG13">
        <f>AX13*(c_Stroke1+c_Stroke2+c_MI2+c_DM+c_BN_2)</f>
        <v>1.4523922499320929</v>
      </c>
      <c r="DH13">
        <f>AY13*(c_Stroke2+c_MI1+c_MI2+c_DM+c_BN_2)</f>
        <v>1.402624258743171</v>
      </c>
      <c r="DI13">
        <f>AZ13*(c_Stroke2+c_MI2+c_DM+c_BN_2)</f>
        <v>1.9572887028270261</v>
      </c>
      <c r="DJ13">
        <f>BA13*(c_HF1+c_DM+c_BN_2)</f>
        <v>19.696672659724914</v>
      </c>
      <c r="DK13">
        <f>BB13*(c_HF2+c_DM+c_BN_2)</f>
        <v>33.316338071823438</v>
      </c>
      <c r="DL13">
        <f>BC13*(c_Stroke2+c_HF1+c_DM+c_BN_2)</f>
        <v>0.45800601410108865</v>
      </c>
      <c r="DM13">
        <f>BD13*(c_Stroke1+c_Stroke2+c_HF2+c_DM+c_BN_2)</f>
        <v>0.36514078191504618</v>
      </c>
      <c r="DN13">
        <f>BE13*(c_Stroke2+c_HF2+c_DM+c_BN_2)</f>
        <v>0.63533024270170924</v>
      </c>
      <c r="DO13">
        <f t="shared" si="5"/>
        <v>0</v>
      </c>
      <c r="DP13">
        <f t="shared" si="38"/>
        <v>6971.8781170388638</v>
      </c>
      <c r="DQ13">
        <f>DP13/(1+r_)^A13</f>
        <v>5187.7320822902566</v>
      </c>
    </row>
    <row r="14" spans="1:121" x14ac:dyDescent="0.3">
      <c r="A14">
        <v>11</v>
      </c>
      <c r="B14">
        <v>56</v>
      </c>
      <c r="C14">
        <f t="shared" si="39"/>
        <v>36.251999999999995</v>
      </c>
      <c r="D14">
        <f t="shared" si="1"/>
        <v>125</v>
      </c>
      <c r="E14">
        <f t="shared" si="40"/>
        <v>5.7</v>
      </c>
      <c r="F14">
        <v>5.1799999999999997E-3</v>
      </c>
      <c r="G14">
        <v>8.4600000000000005E-3</v>
      </c>
      <c r="H14">
        <f t="shared" si="3"/>
        <v>5.836E-3</v>
      </c>
      <c r="I14">
        <f t="shared" si="20"/>
        <v>4.7655426853004217E-2</v>
      </c>
      <c r="J14">
        <f t="shared" si="21"/>
        <v>0.13948170523332615</v>
      </c>
      <c r="K14">
        <f t="shared" si="22"/>
        <v>0.18972564644953349</v>
      </c>
      <c r="L14">
        <f t="shared" si="23"/>
        <v>6.8644442337749356E-2</v>
      </c>
      <c r="M14">
        <f t="shared" si="24"/>
        <v>9.4795845749427787E-2</v>
      </c>
      <c r="N14">
        <f t="shared" si="25"/>
        <v>0.30104910743686963</v>
      </c>
      <c r="O14">
        <f t="shared" si="26"/>
        <v>0.39715611606460599</v>
      </c>
      <c r="P14">
        <f t="shared" si="27"/>
        <v>0.16153515778654437</v>
      </c>
      <c r="Q14">
        <f t="shared" si="28"/>
        <v>0.22037644810701396</v>
      </c>
      <c r="R14">
        <f>IF(C14&lt;25, HT_f_low, IF(C14&lt;30, HT_f_mod, HT_f_high))</f>
        <v>0.42</v>
      </c>
      <c r="S14">
        <f>IF(C14&lt;25, HT_m_low, IF(C14&lt;30, HT_m_mod, HT_m_high))</f>
        <v>0.43099999999999999</v>
      </c>
      <c r="T14">
        <f>PREV_FEMALE*PREV_SMOKE*(1-$R14)*(1-EXP(-J14/10))+PREV_FEMALE*PREV_SMOKE*$R14*(1-EXP(-K14/10))+PREV_FEMALE*(1-PREV_SMOKE)*(1-$R14)*(1-EXP(-L14/10))+PREV_FEMALE*(1-PREV_SMOKE)*$R14*(1-EXP(-M14/10))+(1-PREV_FEMALE)*PREV_SMOKE*(1-$S14)*(1-EXP(-N14/10))+(1-PREV_FEMALE)*PREV_SMOKE*$S14*(1-EXP(-O14/10))+(1-PREV_FEMALE)*(1-PREV_SMOKE)*(1-$S14)*(1-EXP(-P14/10))+(1-PREV_FEMALE)*(1-PREV_SMOKE)*$S14*(1-EXP(-Q14/10))</f>
        <v>1.1224946800213525E-2</v>
      </c>
      <c r="U14">
        <f t="shared" si="29"/>
        <v>0.2788628294842026</v>
      </c>
      <c r="V14">
        <f t="shared" si="30"/>
        <v>0.36736201279944825</v>
      </c>
      <c r="W14">
        <f t="shared" si="31"/>
        <v>0.14338469587374159</v>
      </c>
      <c r="X14">
        <f t="shared" si="32"/>
        <v>0.19486791739837772</v>
      </c>
      <c r="Y14">
        <f t="shared" si="33"/>
        <v>0.45637147886293083</v>
      </c>
      <c r="Z14">
        <f t="shared" si="34"/>
        <v>0.57734599514925311</v>
      </c>
      <c r="AA14">
        <f t="shared" si="35"/>
        <v>0.25903482938041156</v>
      </c>
      <c r="AB14">
        <f t="shared" si="36"/>
        <v>0.34532504704025946</v>
      </c>
      <c r="AC14">
        <f>PREV_FEMALE*PREV_SMOKE*(1-$R14)*(1-EXP(-U14/10))+PREV_FEMALE*PREV_SMOKE*$R14*(1-EXP(-V14/10))+PREV_FEMALE*(1-PREV_SMOKE)*(1-$R14)*(1-EXP(-W14/10))+PREV_FEMALE*(1-PREV_SMOKE)*$R14*(1-EXP(-X14/10))+(1-PREV_FEMALE)*PREV_SMOKE*(1-$S14)*(1-EXP(-Y14/10))+(1-PREV_FEMALE)*PREV_SMOKE*$S14*(1-EXP(-Z14/10))+(1-PREV_FEMALE)*(1-PREV_SMOKE)*(1-$S14)*(1-EXP(-AA14/10))+(1-PREV_FEMALE)*(1-PREV_SMOKE)*$S14*(1-EXP(-AB14/10))</f>
        <v>2.0908968571686788E-2</v>
      </c>
      <c r="AD14">
        <f t="shared" si="37"/>
        <v>0.48023188863289762</v>
      </c>
      <c r="AE14">
        <f t="shared" si="6"/>
        <v>2.4804604211539769E-2</v>
      </c>
      <c r="AF14">
        <f t="shared" si="7"/>
        <v>2.0737855416832918E-3</v>
      </c>
      <c r="AG14">
        <f t="shared" si="8"/>
        <v>7.156385286934343E-3</v>
      </c>
      <c r="AH14">
        <f>AD13*T13*p_MI*p_MI_rec_mid*(1-I13)+AE13*T13*p_MI*p_MI_rec_mid*(1-I13) + AH13*(PREV_FEMALE*p_recur_MI_F + (1-PREV_FEMALE)*p_recur_MI_M)*p_MI_rec_mid*(1-I13) + AI13*(PREV_FEMALE*p_recur_MI_F + (1-PREV_FEMALE)*p_recur_MI_M)*p_MI_rec_mid*(1-I13)</f>
        <v>1.2772841375991272E-3</v>
      </c>
      <c r="AI14">
        <f>AH13*(1-(PREV_FEMALE*p_recur_MI_F + (1-PREV_FEMALE)*p_recur_MI_M) - T13*p_Stroke - p_toHF_mid - H13*rr_MI)*(1-I13) + AI13*(1-(PREV_FEMALE*p_recur_MI_F + (1-PREV_FEMALE)*p_recur_MI_M) - T13*p_Stroke - p_toHF_mid - H13*rr_MI)*(1-I13)</f>
        <v>5.8368408397951512E-3</v>
      </c>
      <c r="AJ14">
        <f t="shared" si="11"/>
        <v>2.5706835615477485E-5</v>
      </c>
      <c r="AK14">
        <f>AF13*T13*p_MI*p_MI_rec_mid*(1-I13) + AG13*T13*p_MI*p_MI_rec_mid*(1-I13) + AJ13*(PREV_FEMALE*p_recur_MI_F + (1-PREV_FEMALE)*p_recur_MI_M)*p_MI_rec_mid*(1-I13) + AK13*(PREV_FEMALE*p_recur_MI_F + (1-PREV_FEMALE)*p_recur_MI_M)*p_MI_rec_mid*(1-I13) + AL13*(PREV_FEMALE*p_recur_MI_F + (1-PREV_FEMALE)*p_recur_MI_M)*p_MI_rec_mid*(1-I13)</f>
        <v>2.0233851645088751E-5</v>
      </c>
      <c r="AL14">
        <f>AJ13*(1-p_recur_Stroke-(PREV_FEMALE*p_recur_MI_F + (1-PREV_FEMALE)*p_recur_MI_M) - p_toHF_mid - H13*rr_MI*rr_Stroke)*(1-I13) + AK13*(1-p_recur_Stroke-(PREV_FEMALE*p_recur_MI_F + (1-PREV_FEMALE)*p_recur_MI_M) - p_toHF_mid - H13*rr_MI*rr_Stroke)*(1-I13) + AL13*(1-p_recur_Stroke-(PREV_FEMALE*p_recur_MI_F + (1-PREV_FEMALE)*p_recur_MI_M) - p_toHF_mid - H13*rr_MI*rr_Stroke)*(1-I13)</f>
        <v>7.2881986535980805E-5</v>
      </c>
      <c r="AM14">
        <f>AD13*T13*p_MI*p_MI_HF_mid*(1-I13) + AE13*T13*p_MI*p_MI_HF_mid*(1-I13) + AH13*p_toHF_mid*(1-I13) + AH13*(PREV_FEMALE*p_recur_MI_F + (1-PREV_FEMALE)*p_recur_MI_M)*p_MI_HF_mid*(1-I13) + AI13*p_toHF_mid*(1-I13) + AI13*(PREV_FEMALE*p_recur_MI_F + (1-PREV_FEMALE)*p_recur_MI_M)*p_MI_HF_mid*(1-I13)</f>
        <v>4.8340615302111219E-4</v>
      </c>
      <c r="AN14">
        <f t="shared" si="15"/>
        <v>1.6714761026054349E-3</v>
      </c>
      <c r="AO14">
        <f>AF13*T13*p_MI*p_MI_HF_mid*(1-I13) + AG13*T13*p_MI*p_MI_HF_mid*(1-I13) + AJ13*(PREV_FEMALE*p_recur_MI_F + (1-PREV_FEMALE)*p_recur_MI_M)*p_MI_HF_mid*(1-I13) + AJ13*p_toHF_mid*(1-I13) + AK13*(PREV_FEMALE*p_recur_MI_F + (1-PREV_FEMALE)*p_recur_MI_M)*p_MI_HF_mid*(1-I13) + AK13*p_toHF_mid*(1-I13) + AL13*(PREV_FEMALE*p_recur_MI_F + (1-PREV_FEMALE)*p_recur_MI_M)*p_MI_HF_mid*(1-I13) + AL13*p_toHF_mid*(1-I13)</f>
        <v>7.4334858366308777E-6</v>
      </c>
      <c r="AP14">
        <f>AM13*T13*p_Stroke*p_Stroke_rec*(1-I13) + AN13*T13*p_Stroke*p_Stroke_rec*(1-I13) + AO13*(p_recur_Stroke*p_Stroke_rec)*(1-I13) + AP13*(p_recur_Stroke*p_Stroke_rec)*(1-I13) + AQ13*(p_recur_Stroke*p_Stroke_rec)*(1-I13)</f>
        <v>6.4228958433902723E-6</v>
      </c>
      <c r="AQ14">
        <f>AO13*(1-p_recur_Stroke-H13*rr_Stroke*rr_HF)*(1-I13) + AP13*(1-p_recur_Stroke-H13*rr_Stroke*rr_HF)*(1-I13) + AQ13*(1-p_recur_Stroke-H13*rr_Stroke*rr_HF)*(1-I13)</f>
        <v>1.9930168627418859E-5</v>
      </c>
      <c r="AR14">
        <f>AR13*(1-AC13-H13*rr_DM) + AD13*(1-T13-H13)*I13</f>
        <v>0.33260484809332708</v>
      </c>
      <c r="AS14">
        <f>AR13*AC13*p_Other + AD13*T13*p_Other*I13 + AE13*(1-T13*p_Stroke-T13*p_MI-H13*rr_Other)*I13 + AS13*(1-AC13*p_Stroke-AC13*p_MI-H13*rr_Other*rr_DM)</f>
        <v>2.6030237761777764E-2</v>
      </c>
      <c r="AT14">
        <f>AR13*AC13*p_Stroke*p_Stroke_rec + AD13*T13*p_Stroke*p_Stroke_rec*I13 + AE13*T13*p_Stroke*p_Stroke_rec*I13 + AF13*p_recur_Stroke*p_Stroke_rec*I13 + AG13*p_recur_Stroke*p_Stroke_rec*I13 + AS13*AC13*p_Stroke*p_Stroke_rec + AT13*p_recur_Stroke*p_Stroke_rec + AU13*p_recur_Stroke*p_Stroke_rec</f>
        <v>2.4515857617012984E-3</v>
      </c>
      <c r="AU14">
        <f>AF13*(1-p_recur_Stroke-T13*p_MI-H13*rr_Stroke)*I13 + AG13*(1-p_recur_Stroke-T13*p_MI-H13*rr_Stroke)*I13 + AT13*(1-p_recur_Stroke-AC13*p_MI-H13*rr_Stroke*rr_DM) + AU13*(1-p_recur_Stroke-AC13*p_MI-H13*rr_Stroke*rr_DM)</f>
        <v>7.4469062328558714E-3</v>
      </c>
      <c r="AV14">
        <f>AR13*AC13*p_MI*p_MI_rec_mid + AD13*T13*p_MI*p_MI_rec_mid*I13 + AE13*T13*p_MI*p_MI_rec_mid*I13 +AH13*(PREV_FEMALE*p_recur_MI_F + (1-PREV_FEMALE)*p_recur_MI_M)*p_MI_rec_mid*I13 + AI13*(PREV_FEMALE*p_recur_MI_F + (1-PREV_FEMALE)*p_recur_MI_M)*p_MI_rec_mid*I13 + AS13*AC13*p_MI*p_MI_rec_mid + AV13*(PREV_FEMALE*p_recur_MI_F + (1-PREV_FEMALE)*p_recur_MI_M)*p_MI_rec_mid + AW13*(PREV_FEMALE*p_recur_MI_F + (1-PREV_FEMALE)*p_recur_MI_M)*p_MI_rec_mid</f>
        <v>1.5598985832471399E-3</v>
      </c>
      <c r="AW14">
        <f>AH13*(1-(PREV_FEMALE*p_recur_MI_F + (1-PREV_FEMALE)*p_recur_MI_M) - T13*p_Stroke - p_toHF_mid - H13*rr_MI)*I13 + AI13*(1-(PREV_FEMALE*p_recur_MI_F + (1-PREV_FEMALE)*p_recur_MI_M) - T13*p_Stroke - p_toHF_mid - H13*rr_MI)*I13 + AV13*(1-(PREV_FEMALE*p_recur_MI_F + (1-PREV_FEMALE)*p_recur_MI_M) - AC13*p_Stroke - p_toHF_mid - H13*rr_MI*rr_DM) + AW13*(1-(PREV_FEMALE*p_recur_MI_F + (1-PREV_FEMALE)*p_recur_MI_M) - AC13*p_Stroke - p_toHF_mid - H13*rr_MI*rr_DM)</f>
        <v>6.1146444678658735E-3</v>
      </c>
      <c r="AX14">
        <f>AH13*T13*p_Stroke*p_Stroke_rec*I13 + AI13*T13*p_Stroke*p_Stroke_rec*I13 + AJ13*p_recur_Stroke*p_Stroke_rec*I13 + AK13*p_recur_Stroke*p_Stroke_rec*I13 + AL13*p_recur_Stroke*p_Stroke_rec*I13 + AV13*AC13*p_Stroke*p_Stroke_rec + AW13*AC13*p_Stroke*p_Stroke_rec + AX13*p_recur_Stroke*p_Stroke_rec + AY13*p_recur_Stroke*p_Stroke_rec + AZ13*p_recur_Stroke*p_Stroke_rec</f>
        <v>4.5740818912616936E-5</v>
      </c>
      <c r="AY14">
        <f>AF13*T13*p_MI*p_MI_rec_mid*I13 + AG13*T13*p_MI*p_MI_rec_mid*I13 + AJ13*(PREV_FEMALE*p_recur_MI_F+(1-PREV_FEMALE)*p_recur_MI_M)*p_MI_rec_mid*I13 + AK13*(PREV_FEMALE*p_recur_MI_F+(1-PREV_FEMALE)*p_recur_MI_M)*p_MI_rec_mid*I13 + AL13*(PREV_FEMALE*p_recur_MI_F+(1-PREV_FEMALE)*p_recur_MI_M)*p_MI_rec_mid*I13 + AT13*AC13*p_MI*p_MI_rec_mid + AU13*AC13*p_MI*p_MI_rec_mid + AX13*(PREV_FEMALE*p_recur_MI_F+(1-PREV_FEMALE)*p_recur_MI_M)*p_MI_rec_mid + AY13*(PREV_FEMALE*p_recur_MI_F+(1-PREV_FEMALE)*p_recur_MI_M)*p_MI_rec_mid + AZ13*(PREV_FEMALE*p_recur_MI_F+(1-PREV_FEMALE)*p_recur_MI_M)*p_MI_rec_mid</f>
        <v>3.6875719609973093E-5</v>
      </c>
      <c r="AZ14">
        <f>AJ13*(1-p_recur_Stroke-(PREV_FEMALE*p_recur_MI_F + (1-PREV_FEMALE)*p_recur_MI_M) - p_toHF_mid - H13*rr_MI*rr_Stroke)*I13 + AK13*(1-p_recur_Stroke-(PREV_FEMALE*p_recur_MI_F + (1-PREV_FEMALE)*p_recur_MI_M) - p_toHF_mid - H13*rr_MI*rr_Stroke)*I13 + AL13*(1-p_recur_Stroke-(PREV_FEMALE*p_recur_MI_F + (1-PREV_FEMALE)*p_recur_MI_M) - p_toHF_mid - H13*rr_MI*rr_Stroke)*I13 + AX13*(1-p_recur_Stroke-(PREV_FEMALE*p_recur_MI_F + (1-PREV_FEMALE)*p_recur_MI_M) - p_toHF_mid - H13*rr_MI*rr_Stroke*rr_DM) + AY13*(1-p_recur_Stroke-(PREV_FEMALE*p_recur_MI_F + (1-PREV_FEMALE)*p_recur_MI_M) - p_toHF_mid - H13*rr_MI*rr_Stroke*rr_DM) + AZ13*(1-p_recur_Stroke-(PREV_FEMALE*p_recur_MI_F + (1-PREV_FEMALE)*p_recur_MI_M) - p_toHF_mid - H13*rr_MI*rr_Stroke*rr_DM)</f>
        <v>1.1462043466349039E-4</v>
      </c>
      <c r="BA14">
        <f>AR13*AC13*p_MI*p_MI_HF_mid + AD13*T13*p_MI*p_MI_HF_mid*I13 + AE13*T13*p_MI*p_MI_HF_mid*I13 + AH13*p_toHF_mid*I13 + AH13*(PREV_FEMALE*p_recur_MI_F + (1-PREV_FEMALE)*p_recur_MI_M)*p_MI_HF_mid*I13 + AI13*p_toHF_mid*I13 + AI13*(PREV_FEMALE*p_recur_MI_F + (1-PREV_FEMALE)*p_recur_MI_M)*p_MI_HF_mid*I13 + AS13*AC13*p_MI*p_MI_HF_mid + AV13*(PREV_FEMALE*p_recur_MI_F + (1-PREV_FEMALE)*p_recur_MI_M)*p_MI_HF_mid + AV13*p_toHF_mid + AW13*(PREV_FEMALE*p_recur_MI_F + (1-PREV_FEMALE)*p_recur_MI_M)*p_MI_HF_mid + AW13*p_toHF_mid</f>
        <v>5.5560840043592419E-4</v>
      </c>
      <c r="BB14">
        <f>AM13*(1-T13*p_Stroke - H13*rr_HF)*I13 + AN13*(1-T13*p_Stroke - H13*rr_HF)*I13 + BA13*(1-AC13*p_Stroke - H13*rr_HF*rr_DM) + BB13*(1-AC13*p_Stroke - H13*rr_HF*rr_DM)</f>
        <v>1.6876532446886278E-3</v>
      </c>
      <c r="BC14">
        <f>AF13*T13*p_MI*p_MI_HF_mid*I13 + AG13*T13*p_MI*p_MI_HF_mid*I13 + AJ13*(PREV_FEMALE*p_recur_MI_F + (1-PREV_FEMALE)*p_recur_MI_M)*p_MI_HF_mid*I13 + AJ13*p_toHF_mid*I13 + AK13*(PREV_FEMALE*p_recur_MI_F + (1-PREV_FEMALE)*p_recur_MI_M)*p_MI_HF_mid*I13 + AK13*p_toHF_mid*I13 + AL13*(PREV_FEMALE*p_recur_MI_F + (1-PREV_FEMALE)*p_recur_MI_M)*p_MI_HF_mid*I13 + AL13*p_toHF_mid*I13 + AT13*AC13*p_MI*p_MI_HF_mid + AU13*AC13*p_MI*p_MI_HF_mid + AX13*(PREV_FEMALE*p_recur_MI_F + (1-PREV_FEMALE)*p_recur_MI_M)*p_MI_HF_mid + AX13*p_toHF_mid + AY13*(PREV_FEMALE*p_recur_MI_F + (1-PREV_FEMALE)*p_recur_MI_M)*p_MI_HF_mid + AY13*p_toHF_mid + AZ13*(PREV_FEMALE*p_recur_MI_F + (1-PREV_FEMALE)*p_recur_MI_M)*p_MI_HF_mid + AZ13*p_toHF_mid</f>
        <v>1.2817807310791798E-5</v>
      </c>
      <c r="BD14">
        <f>AM13*T13*p_Stroke*p_Stroke_rec*I13 + AN13*T13*p_Stroke*p_Stroke_rec*I13 + AO13*(p_recur_Stroke*p_Stroke_rec)*I13 + AP13*(p_recur_Stroke*p_Stroke_rec)*I13 + AQ13*(p_recur_Stroke*p_Stroke_rec)*I13 + BA13*AC13*p_Stroke*p_Stroke_rec + BB13*AC13*p_Stroke*p_Stroke_rec + BC13*(p_recur_Stroke*p_Stroke_rec) + BD13*(p_recur_Stroke*p_Stroke_rec) + BE13*(p_recur_Stroke*p_Stroke_rec)</f>
        <v>1.1028266695472615E-5</v>
      </c>
      <c r="BE14">
        <f>AO13*(1-p_recur_Stroke - H13*rr_Stroke*rr_HF)*I13 + AP13*(1-p_recur_Stroke-H13*rr_Stroke*rr_HF)*I13 + AQ13*(1-p_recur_Stroke-H13*rr_Stroke*rr_HF)*I13 + BC13*(1-p_recur_Stroke - H13*rr_Stroke*rr_HF*rr_DM) + BD13*(1-p_recur_Stroke-H13*rr_Stroke*rr_HF*rr_DM) + BE13*(1-p_recur_Stroke-H13*rr_Stroke*rr_HF*rr_DM)</f>
        <v>3.0126591104975049E-5</v>
      </c>
      <c r="BF14">
        <f>AD13*H13 + AE13*H13*rr_Other + AF13*H13*rr_Stroke + AG13*H13*rr_Stroke + AH13*H13*rr_MI + AI13*H13*rr_MI + AJ13*H13*rr_Stroke*rr_MI + AK13*H13*rr_Stroke*rr_MI + AL13*H13*rr_Stroke*rr_MI + AM13*H13*rr_HF + AN13*H13*rr_HF + AO13*H13*rr_Stroke*rr_HF + AP13*H13*rr_Stroke*rr_HF + AR13*H13*rr_DM + AS13*H13*rr_DM*rr_Other + AT13*H13*rr_DM*rr_Stroke + AU13*H13*rr_DM*rr_Stroke + AV13*H13*rr_DM*rr_MI + AW13*H13*rr_DM*rr_MI + AX13*H13*rr_DM*rr_Stroke*rr_MI + AY13*H13*rr_DM*rr_Stroke*rr_MI + AZ13*H13*rr_DM*rr_Stroke*rr_MI + BA13*H13*rr_DM*rr_HF + BB13*H13*rr_DM*rr_HF + BC13*H13*rr_DM*rr_Stroke*rr_HF + BD13*H13*rr_DM*rr_Stroke*rr_HF + AQ13*H13*rr_Stroke*rr_HF + BE13*H13*rr_DM*rr_Stroke*rr_HF
+ AD13*T13*p_MI*p_MI_mort + AD13*T13*p_Stroke*p_Stroke_mort + AE13*T13*p_MI*p_MI_mort + AE13*T13*p_Stroke*p_Stroke_mort + AF13*T13*p_MI*p_MI_mort + AF13*p_recur_Stroke*p_Stroke_mort + AG13*T13*p_MI*p_MI_mort + AG13*p_recur_Stroke*p_Stroke_mort + AH13*(PREV_FEMALE*p_recur_MI_F + (1-PREV_FEMALE)*p_recur_MI_M)*p_MI_mort + AH13*T13*p_Stroke*p_Stroke_mort + AI13*(PREV_FEMALE*p_recur_MI_F + (1-PREV_FEMALE)*p_recur_MI_M)*p_MI_mort + AI13*T13*p_Stroke*p_Stroke_mort + AJ13*(PREV_FEMALE*p_recur_MI_F + (1-PREV_FEMALE)*p_recur_MI_M)*p_MI_mort + AJ13*p_recur_Stroke*p_Stroke_mort + AK13*(PREV_FEMALE*p_recur_MI_F + (1-PREV_FEMALE)*p_recur_MI_M)*p_MI_mort + AK13*p_recur_Stroke*p_Stroke_mort + AL13*(PREV_FEMALE*p_recur_MI_F + (1-PREV_FEMALE)*p_recur_MI_M)*p_MI_mort + AL13*p_recur_Stroke*p_Stroke_mort + AM13*T13*p_Stroke*p_Stroke_mort + AN13*T13*p_Stroke*p_Stroke_mort + AO13*p_recur_Stroke*p_Stroke_mort + AP13*p_recur_Stroke*p_Stroke_mort + AQ13*p_recur_Stroke*p_Stroke_mort
+ AR13*AC13*p_MI*p_MI_mort + AR13*AC13*p_Stroke*p_Stroke_mort + AS13*AC13*p_MI*p_MI_mort + AS13*AC13*p_Stroke*p_Stroke_mort + AT13*AC13*p_MI*p_MI_mort + AT13*p_recur_Stroke*p_Stroke_mort + AU13*AC13*p_MI*p_MI_mort + AU13*p_recur_Stroke*p_Stroke_mort + AV13*(PREV_FEMALE*p_recur_MI_F + (1-PREV_FEMALE)*p_recur_MI_M)*p_MI_mort + AV13*AC13*p_Stroke*p_Stroke_mort + AW13*(PREV_FEMALE*p_recur_MI_F + (1-PREV_FEMALE)*p_recur_MI_M)*p_MI_mort + AW13*AC13*p_Stroke*p_Stroke_mort + AX13*(PREV_FEMALE*p_recur_MI_F + (1-PREV_FEMALE)*p_recur_MI_M)*p_MI_mort + AX13*p_recur_Stroke*p_Stroke_mort + AY13*(PREV_FEMALE*p_recur_MI_F + (1-PREV_FEMALE)*p_recur_MI_M)*p_MI_mort + AY13*p_recur_Stroke*p_Stroke_mort + AZ13*(PREV_FEMALE*p_recur_MI_F + (1-PREV_FEMALE)*p_recur_MI_M)*p_MI_mort + AZ13*p_recur_Stroke*p_Stroke_mort + BA13*AC13*p_Stroke*p_Stroke_mort + BB13*AC13*p_Stroke*p_Stroke_mort + BC13*p_recur_Stroke*p_Stroke_mort + BD13*p_recur_Stroke*p_Stroke_mort + BE13*p_recur_Stroke*p_Stroke_mort
+BF13</f>
        <v>4.4609127685623404E-2</v>
      </c>
      <c r="BG14">
        <f t="shared" si="17"/>
        <v>0.94700000000000029</v>
      </c>
      <c r="BH14">
        <f>(0.9442 - 0.0007*$B14 - dis_BMI*($C14-21.75))*AD14</f>
        <v>0.41162759381122321</v>
      </c>
      <c r="BI14">
        <f>0.959*(0.9442 - 0.0007*$B14 - dis_BMI*($C14-21.75))*AE14</f>
        <v>2.0389397575162643E-2</v>
      </c>
      <c r="BJ14">
        <f>(0.943*(0.9442 - 0.0007*$B14 - dis_BMI*($C14-21.75)) - 0.19*0.5)*AF14</f>
        <v>1.4792026629753979E-3</v>
      </c>
      <c r="BK14">
        <f>(0.943*(0.9442 - 0.0007*$B14 - dis_BMI*($C14-21.75)))*AG14</f>
        <v>5.7844076568093639E-3</v>
      </c>
      <c r="BL14">
        <f>(0.955*(0.9442 - 0.0007*$B14 - dis_BMI*($C14-21.75)) - 0.15*0.5)*AH14</f>
        <v>9.4975265306679888E-4</v>
      </c>
      <c r="BM14">
        <f>(0.955*(0.9442 - 0.0007*$B14 - dis_BMI*($C14-21.75)))*AI14</f>
        <v>4.7778741705602314E-3</v>
      </c>
      <c r="BN14">
        <f>(0.955*0.943*(0.9442 - 0.0007*$B14 - dis_BMI*($C14-21.75)) - 0.19*0.5)*AJ14</f>
        <v>1.7401300112084677E-5</v>
      </c>
      <c r="BO14">
        <f>(0.955*0.943*(0.9442 - 0.0007*$B14 - dis_BMI*($C14-21.75)) - 0.15*0.5)*AK14</f>
        <v>1.4101241252871317E-5</v>
      </c>
      <c r="BP14">
        <f>(0.955*0.943*(0.9442 - 0.0007*$B14 - dis_BMI*($C14-21.75)))*AL14</f>
        <v>5.6258578091646407E-5</v>
      </c>
      <c r="BQ14">
        <f>(0.93*(0.9442 - 0.0007*$B14 - dis_BMI*($C14-21.75)))*AM14</f>
        <v>3.8534400603073584E-4</v>
      </c>
      <c r="BR14">
        <f>(0.93*(0.9442 - 0.0007*$B14 - dis_BMI*($C14-21.75)))*AN14</f>
        <v>1.3324060799335534E-3</v>
      </c>
      <c r="BS14">
        <f>(0.93*0.943*(0.9442 - 0.0007*$B14 - dis_BMI*($C14-21.75)))*AO14</f>
        <v>5.5877973193934157E-6</v>
      </c>
      <c r="BT14">
        <f>(0.93*0.943*(0.9442 - 0.0007*$B14 - dis_BMI*($C14-21.75))-0.19*0.5)*AP14</f>
        <v>4.2179554604304426E-6</v>
      </c>
      <c r="BU14">
        <f>(0.93*0.943*(0.9442 - 0.0007*$B14 - dis_BMI*($C14-21.75)))*AQ14</f>
        <v>1.4981631132269003E-5</v>
      </c>
      <c r="BV14">
        <f>0.962*(0.9442 - 0.0007*$B14 - dis_BMI*($C14-21.75))*AR14</f>
        <v>0.27425662843785237</v>
      </c>
      <c r="BW14">
        <f>0.962*0.959*(0.9442 - 0.0007*$B14 - dis_BMI*($C14-21.75))*AS14</f>
        <v>2.0583787969845217E-2</v>
      </c>
      <c r="BX14">
        <f>0.962*(0.943*(0.9442 - 0.0007*$B14 - dis_BMI*($C14-21.75)) - 0.19*0.5)*AT14</f>
        <v>1.6822324266351277E-3</v>
      </c>
      <c r="BY14">
        <f>0.962*(0.943*(0.9442 - 0.0007*$B14 - dis_BMI*($C14-21.75)))*AU14</f>
        <v>5.7905009298591572E-3</v>
      </c>
      <c r="BZ14">
        <f>0.962*(0.955*(0.9442 - 0.0007*$B14 - dis_BMI*($C14-21.75)) - 0.15*0.5)*AV14</f>
        <v>1.1158207472542479E-3</v>
      </c>
      <c r="CA14">
        <f>0.962*(0.955*(0.9442 - 0.0007*$B14 - dis_BMI*($C14-21.75)))*AW14</f>
        <v>4.8150759230373439E-3</v>
      </c>
      <c r="CB14">
        <f>0.962*(0.955*0.943*(0.9442 - 0.0007*$B14 - dis_BMI*($C14-21.75)) - 0.19*0.5)*AX14</f>
        <v>2.978599309024472E-5</v>
      </c>
      <c r="CC14">
        <f>0.962*(0.955*0.943*(0.9442 - 0.0007*$B14 - dis_BMI*($C14-21.75)) - 0.15*0.5)*AY14</f>
        <v>2.4722612256986448E-5</v>
      </c>
      <c r="CD14">
        <f>0.962*(0.955*0.943*(0.9442 - 0.0007*$B14 - dis_BMI*($C14-21.75)))*AZ14</f>
        <v>8.5114915600224177E-5</v>
      </c>
      <c r="CE14">
        <f>0.962*(0.93*(0.9442 - 0.0007*$B14 - dis_BMI*($C14-21.75)))*BA14</f>
        <v>4.2606936544433533E-4</v>
      </c>
      <c r="CF14">
        <f>0.962*(0.93*(0.9442 - 0.0007*$B14 - dis_BMI*($C14-21.75)))*BB14</f>
        <v>1.2941801212695719E-3</v>
      </c>
      <c r="CG14">
        <f>0.962*(0.93*0.943*(0.9442 - 0.0007*$B14 - dis_BMI*($C14-21.75)))*BC14</f>
        <v>9.2690865485480157E-6</v>
      </c>
      <c r="CH14">
        <f>0.962*(0.93*0.943*(0.9442 - 0.0007*$B14 - dis_BMI*($C14-21.75))-0.19*0.5)*BD14</f>
        <v>6.9671224296229425E-6</v>
      </c>
      <c r="CI14">
        <f>0.962*(0.93*0.943*(0.9442 - 0.0007*$B14 - dis_BMI*($C14-21.75)))*BE14</f>
        <v>2.1785783917162086E-5</v>
      </c>
      <c r="CJ14">
        <f t="shared" si="18"/>
        <v>0</v>
      </c>
      <c r="CK14">
        <f t="shared" si="19"/>
        <v>0.75698046855417078</v>
      </c>
      <c r="CL14">
        <f>CK14/(1+r_)^A14</f>
        <v>0.54685879645323332</v>
      </c>
      <c r="CM14">
        <f>AD14*c_BN_2</f>
        <v>1006.0858066859205</v>
      </c>
      <c r="CN14">
        <f>AE14*(c_Other+c_BN_2)</f>
        <v>406.15058935975219</v>
      </c>
      <c r="CO14">
        <f>AF14*(c_Stroke1+c_Stroke2+c_BN_2)</f>
        <v>53.733857170555773</v>
      </c>
      <c r="CP14">
        <f>AG14*(c_Stroke2 + c_BN_2)</f>
        <v>61.509131541200681</v>
      </c>
      <c r="CQ14">
        <f>AH14*(c_MI1+c_MI2 + c_BN_2)</f>
        <v>39.910020163422331</v>
      </c>
      <c r="CR14">
        <f>AI14*(c_MI2+c_BN_2)</f>
        <v>30.421614457012328</v>
      </c>
      <c r="CS14">
        <f>AJ14*(c_Stroke1+c_Stroke2+c_MI2+c_BN_2)</f>
        <v>0.74621802424608041</v>
      </c>
      <c r="CT14">
        <f>AK14*(c_Stroke2+c_MI1+c_MI2+c_BN_2)</f>
        <v>0.76374696419552002</v>
      </c>
      <c r="CU14">
        <f>AL14*(c_Stroke2+c_MI2+c_BN_2)</f>
        <v>0.85359382630940717</v>
      </c>
      <c r="CV14">
        <f>AM14*(c_HF1+c_BN_2)</f>
        <v>14.079204206739893</v>
      </c>
      <c r="CW14">
        <f>AN14*(c_HF2+c_BN_2)</f>
        <v>29.585127016116196</v>
      </c>
      <c r="CX14">
        <f>AO14*(c_Stroke2+c_HF1+c_BN_2)</f>
        <v>0.26481793292997502</v>
      </c>
      <c r="CY14">
        <f>AP14*(c_Stroke1+c_Stroke2+c_HF2+c_BN_2)</f>
        <v>0.26665294383419053</v>
      </c>
      <c r="CZ14">
        <f>AQ14*(c_Stroke2+c_HF2+c_BN_2)</f>
        <v>0.48231008078353638</v>
      </c>
      <c r="DA14">
        <f>AR14*(c_DM+c_BN_2)</f>
        <v>4496.8175462217823</v>
      </c>
      <c r="DB14">
        <f>AS14*(c_Other+c_DM+c_BN_2)</f>
        <v>723.6145795396601</v>
      </c>
      <c r="DC14">
        <f>AT14*(c_Stroke1+c_Stroke2+c_DM+c_BN_2)</f>
        <v>91.532405998879682</v>
      </c>
      <c r="DD14">
        <f>AU14*(c_Stroke2+c_DM+c_BN_2)</f>
        <v>149.08706278177453</v>
      </c>
      <c r="DE14">
        <f>AV14*(c_MI1+c_MI2+c_DM+c_BN_2)</f>
        <v>66.562432445738708</v>
      </c>
      <c r="DF14">
        <f>AW14*(c_MI2+c_DM+c_BN_2)</f>
        <v>101.72934001188453</v>
      </c>
      <c r="DG14">
        <f>AX14*(c_Stroke1+c_Stroke2+c_MI2+c_DM+c_BN_2)</f>
        <v>1.850353347472093</v>
      </c>
      <c r="DH14">
        <f>AY14*(c_Stroke2+c_MI1+c_MI2+c_DM+c_BN_2)</f>
        <v>1.8132160089419869</v>
      </c>
      <c r="DI14">
        <f>AZ14*(c_Stroke2+c_MI2+c_DM+c_BN_2)</f>
        <v>2.6519729968091772</v>
      </c>
      <c r="DJ14">
        <f>BA14*(c_HF1+c_DM+c_BN_2)</f>
        <v>22.529920637676724</v>
      </c>
      <c r="DK14">
        <f>BB14*(c_HF2+c_DM+c_BN_2)</f>
        <v>49.152900751556281</v>
      </c>
      <c r="DL14">
        <f>BC14*(c_Stroke2+c_HF1+c_DM+c_BN_2)</f>
        <v>0.60307783397275405</v>
      </c>
      <c r="DM14">
        <f>BD14*(c_Stroke1+c_Stroke2+c_HF2+c_DM+c_BN_2)</f>
        <v>0.58384746712501567</v>
      </c>
      <c r="DN14">
        <f>BE14*(c_Stroke2+c_HF2+c_DM+c_BN_2)</f>
        <v>1.0732598081147362</v>
      </c>
      <c r="DO14">
        <f t="shared" si="5"/>
        <v>0</v>
      </c>
      <c r="DP14">
        <f t="shared" si="38"/>
        <v>7354.4546062244081</v>
      </c>
      <c r="DQ14">
        <f>DP14/(1+r_)^A14</f>
        <v>5313.0144853162847</v>
      </c>
    </row>
    <row r="15" spans="1:121" x14ac:dyDescent="0.3">
      <c r="A15">
        <v>12</v>
      </c>
      <c r="B15">
        <v>57</v>
      </c>
      <c r="C15">
        <f t="shared" si="39"/>
        <v>36.251999999999995</v>
      </c>
      <c r="D15">
        <f t="shared" si="1"/>
        <v>125</v>
      </c>
      <c r="E15">
        <f t="shared" si="40"/>
        <v>5.7</v>
      </c>
      <c r="F15">
        <v>5.5599999999999998E-3</v>
      </c>
      <c r="G15">
        <v>9.2200000000000008E-3</v>
      </c>
      <c r="H15">
        <f t="shared" si="3"/>
        <v>6.291999999999999E-3</v>
      </c>
      <c r="I15">
        <f t="shared" si="20"/>
        <v>4.7655426853004217E-2</v>
      </c>
      <c r="J15">
        <f t="shared" si="21"/>
        <v>0.1458362335516199</v>
      </c>
      <c r="K15">
        <f t="shared" si="22"/>
        <v>0.19809307705423695</v>
      </c>
      <c r="L15">
        <f t="shared" si="23"/>
        <v>7.1906658231057685E-2</v>
      </c>
      <c r="M15">
        <f t="shared" si="24"/>
        <v>9.9233150316371255E-2</v>
      </c>
      <c r="N15">
        <f t="shared" si="25"/>
        <v>0.31508709866322493</v>
      </c>
      <c r="O15">
        <f t="shared" si="26"/>
        <v>0.41419298779910574</v>
      </c>
      <c r="P15">
        <f t="shared" si="27"/>
        <v>0.16986130599194749</v>
      </c>
      <c r="Q15">
        <f t="shared" si="28"/>
        <v>0.23129310838315786</v>
      </c>
      <c r="R15">
        <f>IF(C15&lt;25, HT_f_low, IF(C15&lt;30, HT_f_mod, HT_f_high))</f>
        <v>0.42</v>
      </c>
      <c r="S15">
        <f>IF(C15&lt;25, HT_m_low, IF(C15&lt;30, HT_m_mod, HT_m_high))</f>
        <v>0.43099999999999999</v>
      </c>
      <c r="T15">
        <f>PREV_FEMALE*PREV_SMOKE*(1-$R15)*(1-EXP(-J15/10))+PREV_FEMALE*PREV_SMOKE*$R15*(1-EXP(-K15/10))+PREV_FEMALE*(1-PREV_SMOKE)*(1-$R15)*(1-EXP(-L15/10))+PREV_FEMALE*(1-PREV_SMOKE)*$R15*(1-EXP(-M15/10))+(1-PREV_FEMALE)*PREV_SMOKE*(1-$S15)*(1-EXP(-N15/10))+(1-PREV_FEMALE)*PREV_SMOKE*$S15*(1-EXP(-O15/10))+(1-PREV_FEMALE)*(1-PREV_SMOKE)*(1-$S15)*(1-EXP(-P15/10))+(1-PREV_FEMALE)*(1-PREV_SMOKE)*$S15*(1-EXP(-Q15/10))</f>
        <v>1.1755501138807196E-2</v>
      </c>
      <c r="U15">
        <f t="shared" si="29"/>
        <v>0.29040193059261332</v>
      </c>
      <c r="V15">
        <f t="shared" si="30"/>
        <v>0.38149361877466481</v>
      </c>
      <c r="W15">
        <f t="shared" si="31"/>
        <v>0.14990109996336065</v>
      </c>
      <c r="X15">
        <f t="shared" si="32"/>
        <v>0.20343250938407176</v>
      </c>
      <c r="Y15">
        <f t="shared" si="33"/>
        <v>0.47481969425025294</v>
      </c>
      <c r="Z15">
        <f t="shared" si="34"/>
        <v>0.59746938907242853</v>
      </c>
      <c r="AA15">
        <f t="shared" si="35"/>
        <v>0.2715118498030582</v>
      </c>
      <c r="AB15">
        <f t="shared" si="36"/>
        <v>0.36084748082088325</v>
      </c>
      <c r="AC15">
        <f>PREV_FEMALE*PREV_SMOKE*(1-$R15)*(1-EXP(-U15/10))+PREV_FEMALE*PREV_SMOKE*$R15*(1-EXP(-V15/10))+PREV_FEMALE*(1-PREV_SMOKE)*(1-$R15)*(1-EXP(-W15/10))+PREV_FEMALE*(1-PREV_SMOKE)*$R15*(1-EXP(-X15/10))+(1-PREV_FEMALE)*PREV_SMOKE*(1-$S15)*(1-EXP(-Y15/10))+(1-PREV_FEMALE)*PREV_SMOKE*$S15*(1-EXP(-Z15/10))+(1-PREV_FEMALE)*(1-PREV_SMOKE)*(1-$S15)*(1-EXP(-AA15/10))+(1-PREV_FEMALE)*(1-PREV_SMOKE)*$S15*(1-EXP(-AB15/10))</f>
        <v>2.1818235928289006E-2</v>
      </c>
      <c r="AD15">
        <f t="shared" si="37"/>
        <v>0.44954347324132354</v>
      </c>
      <c r="AE15">
        <f t="shared" si="6"/>
        <v>2.6064799329772872E-2</v>
      </c>
      <c r="AF15">
        <f t="shared" si="7"/>
        <v>2.1128458637457498E-3</v>
      </c>
      <c r="AG15">
        <f t="shared" si="8"/>
        <v>7.5531895217009109E-3</v>
      </c>
      <c r="AH15">
        <f>AD14*T14*p_MI*p_MI_rec_mid*(1-I14)+AE14*T14*p_MI*p_MI_rec_mid*(1-I14) + AH14*(PREV_FEMALE*p_recur_MI_F + (1-PREV_FEMALE)*p_recur_MI_M)*p_MI_rec_mid*(1-I14) + AI14*(PREV_FEMALE*p_recur_MI_F + (1-PREV_FEMALE)*p_recur_MI_M)*p_MI_rec_mid*(1-I14)</f>
        <v>1.2761230013555171E-3</v>
      </c>
      <c r="AI15">
        <f>AH14*(1-(PREV_FEMALE*p_recur_MI_F + (1-PREV_FEMALE)*p_recur_MI_M) - T14*p_Stroke - p_toHF_mid - H14*rr_MI)*(1-I14) + AI14*(1-(PREV_FEMALE*p_recur_MI_F + (1-PREV_FEMALE)*p_recur_MI_M) - T14*p_Stroke - p_toHF_mid - H14*rr_MI)*(1-I14)</f>
        <v>5.9830715862890481E-3</v>
      </c>
      <c r="AJ15">
        <f t="shared" si="11"/>
        <v>2.8585083193459058E-5</v>
      </c>
      <c r="AK15">
        <f>AF14*T14*p_MI*p_MI_rec_mid*(1-I14) + AG14*T14*p_MI*p_MI_rec_mid*(1-I14) + AJ14*(PREV_FEMALE*p_recur_MI_F + (1-PREV_FEMALE)*p_recur_MI_M)*p_MI_rec_mid*(1-I14) + AK14*(PREV_FEMALE*p_recur_MI_F + (1-PREV_FEMALE)*p_recur_MI_M)*p_MI_rec_mid*(1-I14) + AL14*(PREV_FEMALE*p_recur_MI_F + (1-PREV_FEMALE)*p_recur_MI_M)*p_MI_rec_mid*(1-I14)</f>
        <v>2.2726019232647934E-5</v>
      </c>
      <c r="AL15">
        <f>AJ14*(1-p_recur_Stroke-(PREV_FEMALE*p_recur_MI_F + (1-PREV_FEMALE)*p_recur_MI_M) - p_toHF_mid - H14*rr_MI*rr_Stroke)*(1-I14) + AK14*(1-p_recur_Stroke-(PREV_FEMALE*p_recur_MI_F + (1-PREV_FEMALE)*p_recur_MI_M) - p_toHF_mid - H14*rr_MI*rr_Stroke)*(1-I14) + AL14*(1-p_recur_Stroke-(PREV_FEMALE*p_recur_MI_F + (1-PREV_FEMALE)*p_recur_MI_M) - p_toHF_mid - H14*rr_MI*rr_Stroke)*(1-I14)</f>
        <v>8.4421829044554317E-5</v>
      </c>
      <c r="AM15">
        <f>AD14*T14*p_MI*p_MI_HF_mid*(1-I14) + AE14*T14*p_MI*p_MI_HF_mid*(1-I14) + AH14*p_toHF_mid*(1-I14) + AH14*(PREV_FEMALE*p_recur_MI_F + (1-PREV_FEMALE)*p_recur_MI_M)*p_MI_HF_mid*(1-I14) + AI14*p_toHF_mid*(1-I14) + AI14*(PREV_FEMALE*p_recur_MI_F + (1-PREV_FEMALE)*p_recur_MI_M)*p_MI_HF_mid*(1-I14)</f>
        <v>4.8850404170210819E-4</v>
      </c>
      <c r="AN15">
        <f t="shared" si="15"/>
        <v>2.0250948227952207E-3</v>
      </c>
      <c r="AO15">
        <f>AF14*T14*p_MI*p_MI_HF_mid*(1-I14) + AG14*T14*p_MI*p_MI_HF_mid*(1-I14) + AJ14*(PREV_FEMALE*p_recur_MI_F + (1-PREV_FEMALE)*p_recur_MI_M)*p_MI_HF_mid*(1-I14) + AJ14*p_toHF_mid*(1-I14) + AK14*(PREV_FEMALE*p_recur_MI_F + (1-PREV_FEMALE)*p_recur_MI_M)*p_MI_HF_mid*(1-I14) + AK14*p_toHF_mid*(1-I14) + AL14*(PREV_FEMALE*p_recur_MI_F + (1-PREV_FEMALE)*p_recur_MI_M)*p_MI_HF_mid*(1-I14) + AL14*p_toHF_mid*(1-I14)</f>
        <v>8.4672436059494423E-6</v>
      </c>
      <c r="AP15">
        <f>AM14*T14*p_Stroke*p_Stroke_rec*(1-I14) + AN14*T14*p_Stroke*p_Stroke_rec*(1-I14) + AO14*(p_recur_Stroke*p_Stroke_rec)*(1-I14) + AP14*(p_recur_Stroke*p_Stroke_rec)*(1-I14) + AQ14*(p_recur_Stroke*p_Stroke_rec)*(1-I14)</f>
        <v>8.426638846883233E-6</v>
      </c>
      <c r="AQ15">
        <f>AO14*(1-p_recur_Stroke-H14*rr_Stroke*rr_HF)*(1-I14) + AP14*(1-p_recur_Stroke-H14*rr_Stroke*rr_HF)*(1-I14) + AQ14*(1-p_recur_Stroke-H14*rr_Stroke*rr_HF)*(1-I14)</f>
        <v>2.7245548108996565E-5</v>
      </c>
      <c r="AR15">
        <f>AR14*(1-AC14-H14*rr_DM) + AD14*(1-T14-H14)*I14</f>
        <v>0.34591338428810164</v>
      </c>
      <c r="AS15">
        <f>AR14*AC14*p_Other + AD14*T14*p_Other*I14 + AE14*(1-T14*p_Stroke-T14*p_MI-H14*rr_Other)*I14 + AS14*(1-AC14*p_Stroke-AC14*p_MI-H14*rr_Other*rr_DM)</f>
        <v>3.0582608369355235E-2</v>
      </c>
      <c r="AT15">
        <f>AR14*AC14*p_Stroke*p_Stroke_rec + AD14*T14*p_Stroke*p_Stroke_rec*I14 + AE14*T14*p_Stroke*p_Stroke_rec*I14 + AF14*p_recur_Stroke*p_Stroke_rec*I14 + AG14*p_recur_Stroke*p_Stroke_rec*I14 + AS14*AC14*p_Stroke*p_Stroke_rec + AT14*p_recur_Stroke*p_Stroke_rec + AU14*p_recur_Stroke*p_Stroke_rec</f>
        <v>2.785243303608559E-3</v>
      </c>
      <c r="AU15">
        <f>AF14*(1-p_recur_Stroke-T14*p_MI-H14*rr_Stroke)*I14 + AG14*(1-p_recur_Stroke-T14*p_MI-H14*rr_Stroke)*I14 + AT14*(1-p_recur_Stroke-AC14*p_MI-H14*rr_Stroke*rr_DM) + AU14*(1-p_recur_Stroke-AC14*p_MI-H14*rr_Stroke*rr_DM)</f>
        <v>8.835168116615548E-3</v>
      </c>
      <c r="AV15">
        <f>AR14*AC14*p_MI*p_MI_rec_mid + AD14*T14*p_MI*p_MI_rec_mid*I14 + AE14*T14*p_MI*p_MI_rec_mid*I14 +AH14*(PREV_FEMALE*p_recur_MI_F + (1-PREV_FEMALE)*p_recur_MI_M)*p_MI_rec_mid*I14 + AI14*(PREV_FEMALE*p_recur_MI_F + (1-PREV_FEMALE)*p_recur_MI_M)*p_MI_rec_mid*I14 + AS14*AC14*p_MI*p_MI_rec_mid + AV14*(PREV_FEMALE*p_recur_MI_F + (1-PREV_FEMALE)*p_recur_MI_M)*p_MI_rec_mid + AW14*(PREV_FEMALE*p_recur_MI_F + (1-PREV_FEMALE)*p_recur_MI_M)*p_MI_rec_mid</f>
        <v>1.7391895278641523E-3</v>
      </c>
      <c r="AW15">
        <f>AH14*(1-(PREV_FEMALE*p_recur_MI_F + (1-PREV_FEMALE)*p_recur_MI_M) - T14*p_Stroke - p_toHF_mid - H14*rr_MI)*I14 + AI14*(1-(PREV_FEMALE*p_recur_MI_F + (1-PREV_FEMALE)*p_recur_MI_M) - T14*p_Stroke - p_toHF_mid - H14*rr_MI)*I14 + AV14*(1-(PREV_FEMALE*p_recur_MI_F + (1-PREV_FEMALE)*p_recur_MI_M) - AC14*p_Stroke - p_toHF_mid - H14*rr_MI*rr_DM) + AW14*(1-(PREV_FEMALE*p_recur_MI_F + (1-PREV_FEMALE)*p_recur_MI_M) - AC14*p_Stroke - p_toHF_mid - H14*rr_MI*rr_DM)</f>
        <v>7.0490538287044579E-3</v>
      </c>
      <c r="AX15">
        <f>AH14*T14*p_Stroke*p_Stroke_rec*I14 + AI14*T14*p_Stroke*p_Stroke_rec*I14 + AJ14*p_recur_Stroke*p_Stroke_rec*I14 + AK14*p_recur_Stroke*p_Stroke_rec*I14 + AL14*p_recur_Stroke*p_Stroke_rec*I14 + AV14*AC14*p_Stroke*p_Stroke_rec + AW14*AC14*p_Stroke*p_Stroke_rec + AX14*p_recur_Stroke*p_Stroke_rec + AY14*p_recur_Stroke*p_Stroke_rec + AZ14*p_recur_Stroke*p_Stroke_rec</f>
        <v>5.7160133070008634E-5</v>
      </c>
      <c r="AY15">
        <f>AF14*T14*p_MI*p_MI_rec_mid*I14 + AG14*T14*p_MI*p_MI_rec_mid*I14 + AJ14*(PREV_FEMALE*p_recur_MI_F+(1-PREV_FEMALE)*p_recur_MI_M)*p_MI_rec_mid*I14 + AK14*(PREV_FEMALE*p_recur_MI_F+(1-PREV_FEMALE)*p_recur_MI_M)*p_MI_rec_mid*I14 + AL14*(PREV_FEMALE*p_recur_MI_F+(1-PREV_FEMALE)*p_recur_MI_M)*p_MI_rec_mid*I14 + AT14*AC14*p_MI*p_MI_rec_mid + AU14*AC14*p_MI*p_MI_rec_mid + AX14*(PREV_FEMALE*p_recur_MI_F+(1-PREV_FEMALE)*p_recur_MI_M)*p_MI_rec_mid + AY14*(PREV_FEMALE*p_recur_MI_F+(1-PREV_FEMALE)*p_recur_MI_M)*p_MI_rec_mid + AZ14*(PREV_FEMALE*p_recur_MI_F+(1-PREV_FEMALE)*p_recur_MI_M)*p_MI_rec_mid</f>
        <v>4.6561024746040378E-5</v>
      </c>
      <c r="AZ15">
        <f>AJ14*(1-p_recur_Stroke-(PREV_FEMALE*p_recur_MI_F + (1-PREV_FEMALE)*p_recur_MI_M) - p_toHF_mid - H14*rr_MI*rr_Stroke)*I14 + AK14*(1-p_recur_Stroke-(PREV_FEMALE*p_recur_MI_F + (1-PREV_FEMALE)*p_recur_MI_M) - p_toHF_mid - H14*rr_MI*rr_Stroke)*I14 + AL14*(1-p_recur_Stroke-(PREV_FEMALE*p_recur_MI_F + (1-PREV_FEMALE)*p_recur_MI_M) - p_toHF_mid - H14*rr_MI*rr_Stroke)*I14 + AX14*(1-p_recur_Stroke-(PREV_FEMALE*p_recur_MI_F + (1-PREV_FEMALE)*p_recur_MI_M) - p_toHF_mid - H14*rr_MI*rr_Stroke*rr_DM) + AY14*(1-p_recur_Stroke-(PREV_FEMALE*p_recur_MI_F + (1-PREV_FEMALE)*p_recur_MI_M) - p_toHF_mid - H14*rr_MI*rr_Stroke*rr_DM) + AZ14*(1-p_recur_Stroke-(PREV_FEMALE*p_recur_MI_F + (1-PREV_FEMALE)*p_recur_MI_M) - p_toHF_mid - H14*rr_MI*rr_Stroke*rr_DM)</f>
        <v>1.5051700299159319E-4</v>
      </c>
      <c r="BA15">
        <f>AR14*AC14*p_MI*p_MI_HF_mid + AD14*T14*p_MI*p_MI_HF_mid*I14 + AE14*T14*p_MI*p_MI_HF_mid*I14 + AH14*p_toHF_mid*I14 + AH14*(PREV_FEMALE*p_recur_MI_F + (1-PREV_FEMALE)*p_recur_MI_M)*p_MI_HF_mid*I14 + AI14*p_toHF_mid*I14 + AI14*(PREV_FEMALE*p_recur_MI_F + (1-PREV_FEMALE)*p_recur_MI_M)*p_MI_HF_mid*I14 + AS14*AC14*p_MI*p_MI_HF_mid + AV14*(PREV_FEMALE*p_recur_MI_F + (1-PREV_FEMALE)*p_recur_MI_M)*p_MI_HF_mid + AV14*p_toHF_mid + AW14*(PREV_FEMALE*p_recur_MI_F + (1-PREV_FEMALE)*p_recur_MI_M)*p_MI_HF_mid + AW14*p_toHF_mid</f>
        <v>6.2794718944777454E-4</v>
      </c>
      <c r="BB15">
        <f>AM14*(1-T14*p_Stroke - H14*rr_HF)*I14 + AN14*(1-T14*p_Stroke - H14*rr_HF)*I14 + BA14*(1-AC14*p_Stroke - H14*rr_HF*rr_DM) + BB14*(1-AC14*p_Stroke - H14*rr_HF*rr_DM)</f>
        <v>2.3064087503261283E-3</v>
      </c>
      <c r="BC15">
        <f>AF14*T14*p_MI*p_MI_HF_mid*I14 + AG14*T14*p_MI*p_MI_HF_mid*I14 + AJ14*(PREV_FEMALE*p_recur_MI_F + (1-PREV_FEMALE)*p_recur_MI_M)*p_MI_HF_mid*I14 + AJ14*p_toHF_mid*I14 + AK14*(PREV_FEMALE*p_recur_MI_F + (1-PREV_FEMALE)*p_recur_MI_M)*p_MI_HF_mid*I14 + AK14*p_toHF_mid*I14 + AL14*(PREV_FEMALE*p_recur_MI_F + (1-PREV_FEMALE)*p_recur_MI_M)*p_MI_HF_mid*I14 + AL14*p_toHF_mid*I14 + AT14*AC14*p_MI*p_MI_HF_mid + AU14*AC14*p_MI*p_MI_HF_mid + AX14*(PREV_FEMALE*p_recur_MI_F + (1-PREV_FEMALE)*p_recur_MI_M)*p_MI_HF_mid + AX14*p_toHF_mid + AY14*(PREV_FEMALE*p_recur_MI_F + (1-PREV_FEMALE)*p_recur_MI_M)*p_MI_HF_mid + AY14*p_toHF_mid + AZ14*(PREV_FEMALE*p_recur_MI_F + (1-PREV_FEMALE)*p_recur_MI_M)*p_MI_HF_mid + AZ14*p_toHF_mid</f>
        <v>1.6450447674674929E-5</v>
      </c>
      <c r="BD15">
        <f>AM14*T14*p_Stroke*p_Stroke_rec*I14 + AN14*T14*p_Stroke*p_Stroke_rec*I14 + AO14*(p_recur_Stroke*p_Stroke_rec)*I14 + AP14*(p_recur_Stroke*p_Stroke_rec)*I14 + AQ14*(p_recur_Stroke*p_Stroke_rec)*I14 + BA14*AC14*p_Stroke*p_Stroke_rec + BB14*AC14*p_Stroke*p_Stroke_rec + BC14*(p_recur_Stroke*p_Stroke_rec) + BD14*(p_recur_Stroke*p_Stroke_rec) + BE14*(p_recur_Stroke*p_Stroke_rec)</f>
        <v>1.6305199339188233E-5</v>
      </c>
      <c r="BE15">
        <f>AO14*(1-p_recur_Stroke - H14*rr_Stroke*rr_HF)*I14 + AP14*(1-p_recur_Stroke-H14*rr_Stroke*rr_HF)*I14 + AQ14*(1-p_recur_Stroke-H14*rr_Stroke*rr_HF)*I14 + BC14*(1-p_recur_Stroke - H14*rr_Stroke*rr_HF*rr_DM) + BD14*(1-p_recur_Stroke-H14*rr_Stroke*rr_HF*rr_DM) + BE14*(1-p_recur_Stroke-H14*rr_Stroke*rr_HF*rr_DM)</f>
        <v>4.6795823877314707E-5</v>
      </c>
      <c r="BF15">
        <f>AD14*H14 + AE14*H14*rr_Other + AF14*H14*rr_Stroke + AG14*H14*rr_Stroke + AH14*H14*rr_MI + AI14*H14*rr_MI + AJ14*H14*rr_Stroke*rr_MI + AK14*H14*rr_Stroke*rr_MI + AL14*H14*rr_Stroke*rr_MI + AM14*H14*rr_HF + AN14*H14*rr_HF + AO14*H14*rr_Stroke*rr_HF + AP14*H14*rr_Stroke*rr_HF + AR14*H14*rr_DM + AS14*H14*rr_DM*rr_Other + AT14*H14*rr_DM*rr_Stroke + AU14*H14*rr_DM*rr_Stroke + AV14*H14*rr_DM*rr_MI + AW14*H14*rr_DM*rr_MI + AX14*H14*rr_DM*rr_Stroke*rr_MI + AY14*H14*rr_DM*rr_Stroke*rr_MI + AZ14*H14*rr_DM*rr_Stroke*rr_MI + BA14*H14*rr_DM*rr_HF + BB14*H14*rr_DM*rr_HF + BC14*H14*rr_DM*rr_Stroke*rr_HF + BD14*H14*rr_DM*rr_Stroke*rr_HF + AQ14*H14*rr_Stroke*rr_HF + BE14*H14*rr_DM*rr_Stroke*rr_HF
+ AD14*T14*p_MI*p_MI_mort + AD14*T14*p_Stroke*p_Stroke_mort + AE14*T14*p_MI*p_MI_mort + AE14*T14*p_Stroke*p_Stroke_mort + AF14*T14*p_MI*p_MI_mort + AF14*p_recur_Stroke*p_Stroke_mort + AG14*T14*p_MI*p_MI_mort + AG14*p_recur_Stroke*p_Stroke_mort + AH14*(PREV_FEMALE*p_recur_MI_F + (1-PREV_FEMALE)*p_recur_MI_M)*p_MI_mort + AH14*T14*p_Stroke*p_Stroke_mort + AI14*(PREV_FEMALE*p_recur_MI_F + (1-PREV_FEMALE)*p_recur_MI_M)*p_MI_mort + AI14*T14*p_Stroke*p_Stroke_mort + AJ14*(PREV_FEMALE*p_recur_MI_F + (1-PREV_FEMALE)*p_recur_MI_M)*p_MI_mort + AJ14*p_recur_Stroke*p_Stroke_mort + AK14*(PREV_FEMALE*p_recur_MI_F + (1-PREV_FEMALE)*p_recur_MI_M)*p_MI_mort + AK14*p_recur_Stroke*p_Stroke_mort + AL14*(PREV_FEMALE*p_recur_MI_F + (1-PREV_FEMALE)*p_recur_MI_M)*p_MI_mort + AL14*p_recur_Stroke*p_Stroke_mort + AM14*T14*p_Stroke*p_Stroke_mort + AN14*T14*p_Stroke*p_Stroke_mort + AO14*p_recur_Stroke*p_Stroke_mort + AP14*p_recur_Stroke*p_Stroke_mort + AQ14*p_recur_Stroke*p_Stroke_mort
+ AR14*AC14*p_MI*p_MI_mort + AR14*AC14*p_Stroke*p_Stroke_mort + AS14*AC14*p_MI*p_MI_mort + AS14*AC14*p_Stroke*p_Stroke_mort + AT14*AC14*p_MI*p_MI_mort + AT14*p_recur_Stroke*p_Stroke_mort + AU14*AC14*p_MI*p_MI_mort + AU14*p_recur_Stroke*p_Stroke_mort + AV14*(PREV_FEMALE*p_recur_MI_F + (1-PREV_FEMALE)*p_recur_MI_M)*p_MI_mort + AV14*AC14*p_Stroke*p_Stroke_mort + AW14*(PREV_FEMALE*p_recur_MI_F + (1-PREV_FEMALE)*p_recur_MI_M)*p_MI_mort + AW14*AC14*p_Stroke*p_Stroke_mort + AX14*(PREV_FEMALE*p_recur_MI_F + (1-PREV_FEMALE)*p_recur_MI_M)*p_MI_mort + AX14*p_recur_Stroke*p_Stroke_mort + AY14*(PREV_FEMALE*p_recur_MI_F + (1-PREV_FEMALE)*p_recur_MI_M)*p_MI_mort + AY14*p_recur_Stroke*p_Stroke_mort + AZ14*(PREV_FEMALE*p_recur_MI_F + (1-PREV_FEMALE)*p_recur_MI_M)*p_MI_mort + AZ14*p_recur_Stroke*p_Stroke_mort + BA14*AC14*p_Stroke*p_Stroke_mort + BB14*AC14*p_Stroke*p_Stroke_mort + BC14*p_recur_Stroke*p_Stroke_mort + BD14*p_recur_Stroke*p_Stroke_mort + BE14*p_recur_Stroke*p_Stroke_mort
+BF14</f>
        <v>5.1600233223560367E-2</v>
      </c>
      <c r="BG15">
        <f t="shared" si="17"/>
        <v>0.94700000000000006</v>
      </c>
      <c r="BH15">
        <f>(0.9442 - 0.0007*$B15 - dis_BMI*($C15-21.75))*AD15</f>
        <v>0.38500854067060813</v>
      </c>
      <c r="BI15">
        <f>0.959*(0.9442 - 0.0007*$B15 - dis_BMI*($C15-21.75))*AE15</f>
        <v>2.1407781318617754E-2</v>
      </c>
      <c r="BJ15">
        <f>(0.943*(0.9442 - 0.0007*$B15 - dis_BMI*($C15-21.75)) - 0.19*0.5)*AF15</f>
        <v>1.5056691631388267E-3</v>
      </c>
      <c r="BK15">
        <f>(0.943*(0.9442 - 0.0007*$B15 - dis_BMI*($C15-21.75)))*AG15</f>
        <v>6.1001531938657374E-3</v>
      </c>
      <c r="BL15">
        <f>(0.955*(0.9442 - 0.0007*$B15 - dis_BMI*($C15-21.75)) - 0.15*0.5)*AH15</f>
        <v>9.4803617650299936E-4</v>
      </c>
      <c r="BM15">
        <f>(0.955*(0.9442 - 0.0007*$B15 - dis_BMI*($C15-21.75)))*AI15</f>
        <v>4.89357487407357E-3</v>
      </c>
      <c r="BN15">
        <f>(0.955*0.943*(0.9442 - 0.0007*$B15 - dis_BMI*($C15-21.75)) - 0.19*0.5)*AJ15</f>
        <v>1.933160440296074E-5</v>
      </c>
      <c r="BO15">
        <f>(0.955*0.943*(0.9442 - 0.0007*$B15 - dis_BMI*($C15-21.75)) - 0.15*0.5)*AK15</f>
        <v>1.5823739724905097E-5</v>
      </c>
      <c r="BP15">
        <f>(0.955*0.943*(0.9442 - 0.0007*$B15 - dis_BMI*($C15-21.75)))*AL15</f>
        <v>6.5113117393863305E-5</v>
      </c>
      <c r="BQ15">
        <f>(0.93*(0.9442 - 0.0007*$B15 - dis_BMI*($C15-21.75)))*AM15</f>
        <v>3.890897380218587E-4</v>
      </c>
      <c r="BR15">
        <f>(0.93*(0.9442 - 0.0007*$B15 - dis_BMI*($C15-21.75)))*AN15</f>
        <v>1.6129725586821369E-3</v>
      </c>
      <c r="BS15">
        <f>(0.93*0.943*(0.9442 - 0.0007*$B15 - dis_BMI*($C15-21.75)))*AO15</f>
        <v>6.3596814523501409E-6</v>
      </c>
      <c r="BT15">
        <f>(0.93*0.943*(0.9442 - 0.0007*$B15 - dis_BMI*($C15-21.75))-0.19*0.5)*AP15</f>
        <v>5.5286528401252018E-6</v>
      </c>
      <c r="BU15">
        <f>(0.93*0.943*(0.9442 - 0.0007*$B15 - dis_BMI*($C15-21.75)))*AQ15</f>
        <v>2.0463921322182107E-5</v>
      </c>
      <c r="BV15">
        <f>0.962*(0.9442 - 0.0007*$B15 - dis_BMI*($C15-21.75))*AR15</f>
        <v>0.28499753601729044</v>
      </c>
      <c r="BW15">
        <f>0.962*0.959*(0.9442 - 0.0007*$B15 - dis_BMI*($C15-21.75))*AS15</f>
        <v>2.4163891079872699E-2</v>
      </c>
      <c r="BX15">
        <f>0.962*(0.943*(0.9442 - 0.0007*$B15 - dis_BMI*($C15-21.75)) - 0.19*0.5)*AT15</f>
        <v>1.9094133344280057E-3</v>
      </c>
      <c r="BY15">
        <f>0.962*(0.943*(0.9442 - 0.0007*$B15 - dis_BMI*($C15-21.75)))*AU15</f>
        <v>6.8643631215347415E-3</v>
      </c>
      <c r="BZ15">
        <f>0.962*(0.955*(0.9442 - 0.0007*$B15 - dis_BMI*($C15-21.75)) - 0.15*0.5)*AV15</f>
        <v>1.2429519992175912E-3</v>
      </c>
      <c r="CA15">
        <f>0.962*(0.955*(0.9442 - 0.0007*$B15 - dis_BMI*($C15-21.75)))*AW15</f>
        <v>5.5463584984516579E-3</v>
      </c>
      <c r="CB15">
        <f>0.962*(0.955*0.943*(0.9442 - 0.0007*$B15 - dis_BMI*($C15-21.75)) - 0.19*0.5)*AX15</f>
        <v>3.7187479353857601E-5</v>
      </c>
      <c r="CC15">
        <f>0.962*(0.955*0.943*(0.9442 - 0.0007*$B15 - dis_BMI*($C15-21.75)) - 0.15*0.5)*AY15</f>
        <v>3.1187701077255025E-5</v>
      </c>
      <c r="CD15">
        <f>0.962*(0.955*0.943*(0.9442 - 0.0007*$B15 - dis_BMI*($C15-21.75)))*AZ15</f>
        <v>1.1167973264043867E-4</v>
      </c>
      <c r="CE15">
        <f>0.962*(0.93*(0.9442 - 0.0007*$B15 - dis_BMI*($C15-21.75)))*BA15</f>
        <v>4.8114924480940771E-4</v>
      </c>
      <c r="CF15">
        <f>0.962*(0.93*(0.9442 - 0.0007*$B15 - dis_BMI*($C15-21.75)))*BB15</f>
        <v>1.7672295490599069E-3</v>
      </c>
      <c r="CG15">
        <f>0.962*(0.93*0.943*(0.9442 - 0.0007*$B15 - dis_BMI*($C15-21.75)))*BC15</f>
        <v>1.1886283964277276E-5</v>
      </c>
      <c r="CH15">
        <f>0.962*(0.93*0.943*(0.9442 - 0.0007*$B15 - dis_BMI*($C15-21.75))-0.19*0.5)*BD15</f>
        <v>1.0291202497107166E-5</v>
      </c>
      <c r="CI15">
        <f>0.962*(0.93*0.943*(0.9442 - 0.0007*$B15 - dis_BMI*($C15-21.75)))*BE15</f>
        <v>3.3812359514347438E-5</v>
      </c>
      <c r="CJ15">
        <f t="shared" si="18"/>
        <v>0</v>
      </c>
      <c r="CK15">
        <f t="shared" si="19"/>
        <v>0.74920737601435927</v>
      </c>
      <c r="CL15">
        <f>CK15/(1+r_)^A15</f>
        <v>0.52547897962864309</v>
      </c>
      <c r="CM15">
        <f>AD15*c_BN_2</f>
        <v>941.79357644057279</v>
      </c>
      <c r="CN15">
        <f>AE15*(c_Other+c_BN_2)</f>
        <v>426.78502422570102</v>
      </c>
      <c r="CO15">
        <f>AF15*(c_Stroke1+c_Stroke2+c_BN_2)</f>
        <v>54.745949175516124</v>
      </c>
      <c r="CP15">
        <f>AG15*(c_Stroke2 + c_BN_2)</f>
        <v>64.91966393901933</v>
      </c>
      <c r="CQ15">
        <f>AH15*(c_MI1+c_MI2 + c_BN_2)</f>
        <v>39.873739300354487</v>
      </c>
      <c r="CR15">
        <f>AI15*(c_MI2+c_BN_2)</f>
        <v>31.18376910773852</v>
      </c>
      <c r="CS15">
        <f>AJ15*(c_Stroke1+c_Stroke2+c_MI2+c_BN_2)</f>
        <v>0.82976779493972952</v>
      </c>
      <c r="CT15">
        <f>AK15*(c_Stroke2+c_MI1+c_MI2+c_BN_2)</f>
        <v>0.85781632195552893</v>
      </c>
      <c r="CU15">
        <f>AL15*(c_Stroke2+c_MI2+c_BN_2)</f>
        <v>0.98874846176982012</v>
      </c>
      <c r="CV15">
        <f>AM15*(c_HF1+c_BN_2)</f>
        <v>14.227680214573901</v>
      </c>
      <c r="CW15">
        <f>AN15*(c_HF2+c_BN_2)</f>
        <v>35.844178363475407</v>
      </c>
      <c r="CX15">
        <f>AO15*(c_Stroke2+c_HF1+c_BN_2)</f>
        <v>0.30164555346194888</v>
      </c>
      <c r="CY15">
        <f>AP15*(c_Stroke1+c_Stroke2+c_HF2+c_BN_2)</f>
        <v>0.3498403383672043</v>
      </c>
      <c r="CZ15">
        <f>AQ15*(c_Stroke2+c_HF2+c_BN_2)</f>
        <v>0.65934226423771691</v>
      </c>
      <c r="DA15">
        <f>AR15*(c_DM+c_BN_2)</f>
        <v>4676.7489555751345</v>
      </c>
      <c r="DB15">
        <f>AS15*(c_Other+c_DM+c_BN_2)</f>
        <v>850.16593005970617</v>
      </c>
      <c r="DC15">
        <f>AT15*(c_Stroke1+c_Stroke2+c_DM+c_BN_2)</f>
        <v>103.98984398352916</v>
      </c>
      <c r="DD15">
        <f>AU15*(c_Stroke2+c_DM+c_BN_2)</f>
        <v>176.88006569464326</v>
      </c>
      <c r="DE15">
        <f>AV15*(c_MI1+c_MI2+c_DM+c_BN_2)</f>
        <v>74.212956343491243</v>
      </c>
      <c r="DF15">
        <f>AW15*(c_MI2+c_DM+c_BN_2)</f>
        <v>117.27510854815607</v>
      </c>
      <c r="DG15">
        <f>AX15*(c_Stroke1+c_Stroke2+c_MI2+c_DM+c_BN_2)</f>
        <v>2.3122988630810593</v>
      </c>
      <c r="DH15">
        <f>AY15*(c_Stroke2+c_MI1+c_MI2+c_DM+c_BN_2)</f>
        <v>2.2894521477875514</v>
      </c>
      <c r="DI15">
        <f>AZ15*(c_Stroke2+c_MI2+c_DM+c_BN_2)</f>
        <v>3.4825118982164915</v>
      </c>
      <c r="DJ15">
        <f>BA15*(c_HF1+c_DM+c_BN_2)</f>
        <v>25.463258532107258</v>
      </c>
      <c r="DK15">
        <f>BB15*(c_HF2+c_DM+c_BN_2)</f>
        <v>67.174154853248481</v>
      </c>
      <c r="DL15">
        <f>BC15*(c_Stroke2+c_HF1+c_DM+c_BN_2)</f>
        <v>0.77399356309345535</v>
      </c>
      <c r="DM15">
        <f>BD15*(c_Stroke1+c_Stroke2+c_HF2+c_DM+c_BN_2)</f>
        <v>0.86321355821596424</v>
      </c>
      <c r="DN15">
        <f>BE15*(c_Stroke2+c_HF2+c_DM+c_BN_2)</f>
        <v>1.6671012256293365</v>
      </c>
      <c r="DO15">
        <f t="shared" si="5"/>
        <v>0</v>
      </c>
      <c r="DP15">
        <f t="shared" si="38"/>
        <v>7716.6595863477205</v>
      </c>
      <c r="DQ15">
        <f>DP15/(1+r_)^A15</f>
        <v>5412.3097761625222</v>
      </c>
    </row>
    <row r="16" spans="1:121" x14ac:dyDescent="0.3">
      <c r="A16">
        <v>13</v>
      </c>
      <c r="B16">
        <v>58</v>
      </c>
      <c r="C16">
        <f t="shared" si="39"/>
        <v>36.251999999999995</v>
      </c>
      <c r="D16">
        <f t="shared" si="1"/>
        <v>125</v>
      </c>
      <c r="E16">
        <f t="shared" si="40"/>
        <v>5.7</v>
      </c>
      <c r="F16">
        <v>5.94E-3</v>
      </c>
      <c r="G16">
        <v>9.8399999999999998E-3</v>
      </c>
      <c r="H16">
        <f t="shared" si="3"/>
        <v>6.7200000000000003E-3</v>
      </c>
      <c r="I16">
        <f t="shared" si="20"/>
        <v>4.7655426853004217E-2</v>
      </c>
      <c r="J16">
        <f t="shared" si="21"/>
        <v>0.15233645799457507</v>
      </c>
      <c r="K16">
        <f t="shared" si="22"/>
        <v>0.20662659851545084</v>
      </c>
      <c r="L16">
        <f t="shared" si="23"/>
        <v>7.5256920263902183E-2</v>
      </c>
      <c r="M16">
        <f t="shared" si="24"/>
        <v>0.10378371910920647</v>
      </c>
      <c r="N16">
        <f t="shared" si="25"/>
        <v>0.32935720357324061</v>
      </c>
      <c r="O16">
        <f t="shared" si="26"/>
        <v>0.43136435730143685</v>
      </c>
      <c r="P16">
        <f t="shared" si="27"/>
        <v>0.17841448497588019</v>
      </c>
      <c r="Q16">
        <f t="shared" si="28"/>
        <v>0.24246044431131841</v>
      </c>
      <c r="R16">
        <f>IF(C16&lt;25, HT_f_low, IF(C16&lt;30, HT_f_mod, HT_f_high))</f>
        <v>0.42</v>
      </c>
      <c r="S16">
        <f>IF(C16&lt;25, HT_m_low, IF(C16&lt;30, HT_m_mod, HT_m_high))</f>
        <v>0.43099999999999999</v>
      </c>
      <c r="T16">
        <f>PREV_FEMALE*PREV_SMOKE*(1-$R16)*(1-EXP(-J16/10))+PREV_FEMALE*PREV_SMOKE*$R16*(1-EXP(-K16/10))+PREV_FEMALE*(1-PREV_SMOKE)*(1-$R16)*(1-EXP(-L16/10))+PREV_FEMALE*(1-PREV_SMOKE)*$R16*(1-EXP(-M16/10))+(1-PREV_FEMALE)*PREV_SMOKE*(1-$S16)*(1-EXP(-N16/10))+(1-PREV_FEMALE)*PREV_SMOKE*$S16*(1-EXP(-O16/10))+(1-PREV_FEMALE)*(1-PREV_SMOKE)*(1-$S16)*(1-EXP(-P16/10))+(1-PREV_FEMALE)*(1-PREV_SMOKE)*$S16*(1-EXP(-Q16/10))</f>
        <v>1.2298574022183092E-2</v>
      </c>
      <c r="U16">
        <f t="shared" si="29"/>
        <v>0.30210157635644352</v>
      </c>
      <c r="V16">
        <f t="shared" si="30"/>
        <v>0.39572817418482109</v>
      </c>
      <c r="W16">
        <f t="shared" si="31"/>
        <v>0.15656539383363455</v>
      </c>
      <c r="X16">
        <f t="shared" si="32"/>
        <v>0.21216432057040013</v>
      </c>
      <c r="Y16">
        <f t="shared" si="33"/>
        <v>0.4933029476819718</v>
      </c>
      <c r="Z16">
        <f t="shared" si="34"/>
        <v>0.61734029826499093</v>
      </c>
      <c r="AA16">
        <f t="shared" si="35"/>
        <v>0.28423797068580814</v>
      </c>
      <c r="AB16">
        <f t="shared" si="36"/>
        <v>0.37656709709375902</v>
      </c>
      <c r="AC16">
        <f>PREV_FEMALE*PREV_SMOKE*(1-$R16)*(1-EXP(-U16/10))+PREV_FEMALE*PREV_SMOKE*$R16*(1-EXP(-V16/10))+PREV_FEMALE*(1-PREV_SMOKE)*(1-$R16)*(1-EXP(-W16/10))+PREV_FEMALE*(1-PREV_SMOKE)*$R16*(1-EXP(-X16/10))+(1-PREV_FEMALE)*PREV_SMOKE*(1-$S16)*(1-EXP(-Y16/10))+(1-PREV_FEMALE)*PREV_SMOKE*$S16*(1-EXP(-Z16/10))+(1-PREV_FEMALE)*(1-PREV_SMOKE)*(1-$S16)*(1-EXP(-AA16/10))+(1-PREV_FEMALE)*(1-PREV_SMOKE)*$S16*(1-EXP(-AB16/10))</f>
        <v>2.2742231116554146E-2</v>
      </c>
      <c r="AD16">
        <f t="shared" si="37"/>
        <v>0.42039378576541037</v>
      </c>
      <c r="AE16">
        <f t="shared" si="6"/>
        <v>2.7162631504425102E-2</v>
      </c>
      <c r="AF16">
        <f t="shared" si="7"/>
        <v>2.1429550752487371E-3</v>
      </c>
      <c r="AG16">
        <f t="shared" si="8"/>
        <v>7.8956509842460637E-3</v>
      </c>
      <c r="AH16">
        <f>AD15*T15*p_MI*p_MI_rec_mid*(1-I15)+AE15*T15*p_MI*p_MI_rec_mid*(1-I15) + AH15*(PREV_FEMALE*p_recur_MI_F + (1-PREV_FEMALE)*p_recur_MI_M)*p_MI_rec_mid*(1-I15) + AI15*(PREV_FEMALE*p_recur_MI_F + (1-PREV_FEMALE)*p_recur_MI_M)*p_MI_rec_mid*(1-I15)</f>
        <v>1.271513537132756E-3</v>
      </c>
      <c r="AI16">
        <f>AH15*(1-(PREV_FEMALE*p_recur_MI_F + (1-PREV_FEMALE)*p_recur_MI_M) - T15*p_Stroke - p_toHF_mid - H15*rr_MI)*(1-I15) + AI15*(1-(PREV_FEMALE*p_recur_MI_F + (1-PREV_FEMALE)*p_recur_MI_M) - T15*p_Stroke - p_toHF_mid - H15*rr_MI)*(1-I15)</f>
        <v>6.0992525455359223E-3</v>
      </c>
      <c r="AJ16">
        <f t="shared" si="11"/>
        <v>3.1467275234798191E-5</v>
      </c>
      <c r="AK16">
        <f>AF15*T15*p_MI*p_MI_rec_mid*(1-I15) + AG15*T15*p_MI*p_MI_rec_mid*(1-I15) + AJ15*(PREV_FEMALE*p_recur_MI_F + (1-PREV_FEMALE)*p_recur_MI_M)*p_MI_rec_mid*(1-I15) + AK15*(PREV_FEMALE*p_recur_MI_F + (1-PREV_FEMALE)*p_recur_MI_M)*p_MI_rec_mid*(1-I15) + AL15*(PREV_FEMALE*p_recur_MI_F + (1-PREV_FEMALE)*p_recur_MI_M)*p_MI_rec_mid*(1-I15)</f>
        <v>2.5212798599321257E-5</v>
      </c>
      <c r="AL16">
        <f>AJ15*(1-p_recur_Stroke-(PREV_FEMALE*p_recur_MI_F + (1-PREV_FEMALE)*p_recur_MI_M) - p_toHF_mid - H15*rr_MI*rr_Stroke)*(1-I15) + AK15*(1-p_recur_Stroke-(PREV_FEMALE*p_recur_MI_F + (1-PREV_FEMALE)*p_recur_MI_M) - p_toHF_mid - H15*rr_MI*rr_Stroke)*(1-I15) + AL15*(1-p_recur_Stroke-(PREV_FEMALE*p_recur_MI_F + (1-PREV_FEMALE)*p_recur_MI_M) - p_toHF_mid - H15*rr_MI*rr_Stroke)*(1-I15)</f>
        <v>9.6144823203961872E-5</v>
      </c>
      <c r="AM16">
        <f>AD15*T15*p_MI*p_MI_HF_mid*(1-I15) + AE15*T15*p_MI*p_MI_HF_mid*(1-I15) + AH15*p_toHF_mid*(1-I15) + AH15*(PREV_FEMALE*p_recur_MI_F + (1-PREV_FEMALE)*p_recur_MI_M)*p_MI_HF_mid*(1-I15) + AI15*p_toHF_mid*(1-I15) + AI15*(PREV_FEMALE*p_recur_MI_F + (1-PREV_FEMALE)*p_recur_MI_M)*p_MI_HF_mid*(1-I15)</f>
        <v>4.9178100679444971E-4</v>
      </c>
      <c r="AN16">
        <f t="shared" si="15"/>
        <v>2.3599273340897185E-3</v>
      </c>
      <c r="AO16">
        <f>AF15*T15*p_MI*p_MI_HF_mid*(1-I15) + AG15*T15*p_MI*p_MI_HF_mid*(1-I15) + AJ15*(PREV_FEMALE*p_recur_MI_F + (1-PREV_FEMALE)*p_recur_MI_M)*p_MI_HF_mid*(1-I15) + AJ15*p_toHF_mid*(1-I15) + AK15*(PREV_FEMALE*p_recur_MI_F + (1-PREV_FEMALE)*p_recur_MI_M)*p_MI_HF_mid*(1-I15) + AK15*p_toHF_mid*(1-I15) + AL15*(PREV_FEMALE*p_recur_MI_F + (1-PREV_FEMALE)*p_recur_MI_M)*p_MI_HF_mid*(1-I15) + AL15*p_toHF_mid*(1-I15)</f>
        <v>9.5091455982412136E-6</v>
      </c>
      <c r="AP16">
        <f>AM15*T15*p_Stroke*p_Stroke_rec*(1-I15) + AN15*T15*p_Stroke*p_Stroke_rec*(1-I15) + AO15*(p_recur_Stroke*p_Stroke_rec)*(1-I15) + AP15*(p_recur_Stroke*p_Stroke_rec)*(1-I15) + AQ15*(p_recur_Stroke*p_Stroke_rec)*(1-I15)</f>
        <v>1.059529042822025E-5</v>
      </c>
      <c r="AQ16">
        <f>AO15*(1-p_recur_Stroke-H15*rr_Stroke*rr_HF)*(1-I15) + AP15*(1-p_recur_Stroke-H15*rr_Stroke*rr_HF)*(1-I15) + AQ15*(1-p_recur_Stroke-H15*rr_Stroke*rr_HF)*(1-I15)</f>
        <v>3.5484938741853966E-5</v>
      </c>
      <c r="AR16">
        <f>AR15*(1-AC15-H15*rr_DM) + AD15*(1-T15-H15)*I15</f>
        <v>0.35689975552356618</v>
      </c>
      <c r="AS16">
        <f>AR15*AC15*p_Other + AD15*T15*p_Other*I15 + AE15*(1-T15*p_Stroke-T15*p_MI-H15*rr_Other)*I15 + AS15*(1-AC15*p_Stroke-AC15*p_MI-H15*rr_Other*rr_DM)</f>
        <v>3.5372083668282664E-2</v>
      </c>
      <c r="AT16">
        <f>AR15*AC15*p_Stroke*p_Stroke_rec + AD15*T15*p_Stroke*p_Stroke_rec*I15 + AE15*T15*p_Stroke*p_Stroke_rec*I15 + AF15*p_recur_Stroke*p_Stroke_rec*I15 + AG15*p_recur_Stroke*p_Stroke_rec*I15 + AS15*AC15*p_Stroke*p_Stroke_rec + AT15*p_recur_Stroke*p_Stroke_rec + AU15*p_recur_Stroke*p_Stroke_rec</f>
        <v>3.1283107558464176E-3</v>
      </c>
      <c r="AU16">
        <f>AF15*(1-p_recur_Stroke-T15*p_MI-H15*rr_Stroke)*I15 + AG15*(1-p_recur_Stroke-T15*p_MI-H15*rr_Stroke)*I15 + AT15*(1-p_recur_Stroke-AC15*p_MI-H15*rr_Stroke*rr_DM) + AU15*(1-p_recur_Stroke-AC15*p_MI-H15*rr_Stroke*rr_DM)</f>
        <v>1.0302103472212235E-2</v>
      </c>
      <c r="AV16">
        <f>AR15*AC15*p_MI*p_MI_rec_mid + AD15*T15*p_MI*p_MI_rec_mid*I15 + AE15*T15*p_MI*p_MI_rec_mid*I15 +AH15*(PREV_FEMALE*p_recur_MI_F + (1-PREV_FEMALE)*p_recur_MI_M)*p_MI_rec_mid*I15 + AI15*(PREV_FEMALE*p_recur_MI_F + (1-PREV_FEMALE)*p_recur_MI_M)*p_MI_rec_mid*I15 + AS15*AC15*p_MI*p_MI_rec_mid + AV15*(PREV_FEMALE*p_recur_MI_F + (1-PREV_FEMALE)*p_recur_MI_M)*p_MI_rec_mid + AW15*(PREV_FEMALE*p_recur_MI_F + (1-PREV_FEMALE)*p_recur_MI_M)*p_MI_rec_mid</f>
        <v>1.9202058855439805E-3</v>
      </c>
      <c r="AW16">
        <f>AH15*(1-(PREV_FEMALE*p_recur_MI_F + (1-PREV_FEMALE)*p_recur_MI_M) - T15*p_Stroke - p_toHF_mid - H15*rr_MI)*I15 + AI15*(1-(PREV_FEMALE*p_recur_MI_F + (1-PREV_FEMALE)*p_recur_MI_M) - T15*p_Stroke - p_toHF_mid - H15*rr_MI)*I15 + AV15*(1-(PREV_FEMALE*p_recur_MI_F + (1-PREV_FEMALE)*p_recur_MI_M) - AC15*p_Stroke - p_toHF_mid - H15*rr_MI*rr_DM) + AW15*(1-(PREV_FEMALE*p_recur_MI_F + (1-PREV_FEMALE)*p_recur_MI_M) - AC15*p_Stroke - p_toHF_mid - H15*rr_MI*rr_DM)</f>
        <v>8.0252329788592126E-3</v>
      </c>
      <c r="AX16">
        <f>AH15*T15*p_Stroke*p_Stroke_rec*I15 + AI15*T15*p_Stroke*p_Stroke_rec*I15 + AJ15*p_recur_Stroke*p_Stroke_rec*I15 + AK15*p_recur_Stroke*p_Stroke_rec*I15 + AL15*p_recur_Stroke*p_Stroke_rec*I15 + AV15*AC15*p_Stroke*p_Stroke_rec + AW15*AC15*p_Stroke*p_Stroke_rec + AX15*p_recur_Stroke*p_Stroke_rec + AY15*p_recur_Stroke*p_Stroke_rec + AZ15*p_recur_Stroke*p_Stroke_rec</f>
        <v>7.0215542262280995E-5</v>
      </c>
      <c r="AY16">
        <f>AF15*T15*p_MI*p_MI_rec_mid*I15 + AG15*T15*p_MI*p_MI_rec_mid*I15 + AJ15*(PREV_FEMALE*p_recur_MI_F+(1-PREV_FEMALE)*p_recur_MI_M)*p_MI_rec_mid*I15 + AK15*(PREV_FEMALE*p_recur_MI_F+(1-PREV_FEMALE)*p_recur_MI_M)*p_MI_rec_mid*I15 + AL15*(PREV_FEMALE*p_recur_MI_F+(1-PREV_FEMALE)*p_recur_MI_M)*p_MI_rec_mid*I15 + AT15*AC15*p_MI*p_MI_rec_mid + AU15*AC15*p_MI*p_MI_rec_mid + AX15*(PREV_FEMALE*p_recur_MI_F+(1-PREV_FEMALE)*p_recur_MI_M)*p_MI_rec_mid + AY15*(PREV_FEMALE*p_recur_MI_F+(1-PREV_FEMALE)*p_recur_MI_M)*p_MI_rec_mid + AZ15*(PREV_FEMALE*p_recur_MI_F+(1-PREV_FEMALE)*p_recur_MI_M)*p_MI_rec_mid</f>
        <v>5.761253109135029E-5</v>
      </c>
      <c r="AZ16">
        <f>AJ15*(1-p_recur_Stroke-(PREV_FEMALE*p_recur_MI_F + (1-PREV_FEMALE)*p_recur_MI_M) - p_toHF_mid - H15*rr_MI*rr_Stroke)*I15 + AK15*(1-p_recur_Stroke-(PREV_FEMALE*p_recur_MI_F + (1-PREV_FEMALE)*p_recur_MI_M) - p_toHF_mid - H15*rr_MI*rr_Stroke)*I15 + AL15*(1-p_recur_Stroke-(PREV_FEMALE*p_recur_MI_F + (1-PREV_FEMALE)*p_recur_MI_M) - p_toHF_mid - H15*rr_MI*rr_Stroke)*I15 + AX15*(1-p_recur_Stroke-(PREV_FEMALE*p_recur_MI_F + (1-PREV_FEMALE)*p_recur_MI_M) - p_toHF_mid - H15*rr_MI*rr_Stroke*rr_DM) + AY15*(1-p_recur_Stroke-(PREV_FEMALE*p_recur_MI_F + (1-PREV_FEMALE)*p_recur_MI_M) - p_toHF_mid - H15*rr_MI*rr_Stroke*rr_DM) + AZ15*(1-p_recur_Stroke-(PREV_FEMALE*p_recur_MI_F + (1-PREV_FEMALE)*p_recur_MI_M) - p_toHF_mid - H15*rr_MI*rr_Stroke*rr_DM)</f>
        <v>1.9272260894421655E-4</v>
      </c>
      <c r="BA16">
        <f>AR15*AC15*p_MI*p_MI_HF_mid + AD15*T15*p_MI*p_MI_HF_mid*I15 + AE15*T15*p_MI*p_MI_HF_mid*I15 + AH15*p_toHF_mid*I15 + AH15*(PREV_FEMALE*p_recur_MI_F + (1-PREV_FEMALE)*p_recur_MI_M)*p_MI_HF_mid*I15 + AI15*p_toHF_mid*I15 + AI15*(PREV_FEMALE*p_recur_MI_F + (1-PREV_FEMALE)*p_recur_MI_M)*p_MI_HF_mid*I15 + AS15*AC15*p_MI*p_MI_HF_mid + AV15*(PREV_FEMALE*p_recur_MI_F + (1-PREV_FEMALE)*p_recur_MI_M)*p_MI_HF_mid + AV15*p_toHF_mid + AW15*(PREV_FEMALE*p_recur_MI_F + (1-PREV_FEMALE)*p_recur_MI_M)*p_MI_HF_mid + AW15*p_toHF_mid</f>
        <v>7.0218766383146349E-4</v>
      </c>
      <c r="BB16">
        <f>AM15*(1-T15*p_Stroke - H15*rr_HF)*I15 + AN15*(1-T15*p_Stroke - H15*rr_HF)*I15 + BA15*(1-AC15*p_Stroke - H15*rr_HF*rr_DM) + BB15*(1-AC15*p_Stroke - H15*rr_HF*rr_DM)</f>
        <v>2.9990788030339415E-3</v>
      </c>
      <c r="BC16">
        <f>AF15*T15*p_MI*p_MI_HF_mid*I15 + AG15*T15*p_MI*p_MI_HF_mid*I15 + AJ15*(PREV_FEMALE*p_recur_MI_F + (1-PREV_FEMALE)*p_recur_MI_M)*p_MI_HF_mid*I15 + AJ15*p_toHF_mid*I15 + AK15*(PREV_FEMALE*p_recur_MI_F + (1-PREV_FEMALE)*p_recur_MI_M)*p_MI_HF_mid*I15 + AK15*p_toHF_mid*I15 + AL15*(PREV_FEMALE*p_recur_MI_F + (1-PREV_FEMALE)*p_recur_MI_M)*p_MI_HF_mid*I15 + AL15*p_toHF_mid*I15 + AT15*AC15*p_MI*p_MI_HF_mid + AU15*AC15*p_MI*p_MI_HF_mid + AX15*(PREV_FEMALE*p_recur_MI_F + (1-PREV_FEMALE)*p_recur_MI_M)*p_MI_HF_mid + AX15*p_toHF_mid + AY15*(PREV_FEMALE*p_recur_MI_F + (1-PREV_FEMALE)*p_recur_MI_M)*p_MI_HF_mid + AY15*p_toHF_mid + AZ15*(PREV_FEMALE*p_recur_MI_F + (1-PREV_FEMALE)*p_recur_MI_M)*p_MI_HF_mid + AZ15*p_toHF_mid</f>
        <v>2.0654129783867487E-5</v>
      </c>
      <c r="BD16">
        <f>AM15*T15*p_Stroke*p_Stroke_rec*I15 + AN15*T15*p_Stroke*p_Stroke_rec*I15 + AO15*(p_recur_Stroke*p_Stroke_rec)*I15 + AP15*(p_recur_Stroke*p_Stroke_rec)*I15 + AQ15*(p_recur_Stroke*p_Stroke_rec)*I15 + BA15*AC15*p_Stroke*p_Stroke_rec + BB15*AC15*p_Stroke*p_Stroke_rec + BC15*(p_recur_Stroke*p_Stroke_rec) + BD15*(p_recur_Stroke*p_Stroke_rec) + BE15*(p_recur_Stroke*p_Stroke_rec)</f>
        <v>2.2859826573590673E-5</v>
      </c>
      <c r="BE16">
        <f>AO15*(1-p_recur_Stroke - H15*rr_Stroke*rr_HF)*I15 + AP15*(1-p_recur_Stroke-H15*rr_Stroke*rr_HF)*I15 + AQ15*(1-p_recur_Stroke-H15*rr_Stroke*rr_HF)*I15 + BC15*(1-p_recur_Stroke - H15*rr_Stroke*rr_HF*rr_DM) + BD15*(1-p_recur_Stroke-H15*rr_Stroke*rr_HF*rr_DM) + BE15*(1-p_recur_Stroke-H15*rr_Stroke*rr_HF*rr_DM)</f>
        <v>6.8501896073849209E-5</v>
      </c>
      <c r="BF16">
        <f>AD15*H15 + AE15*H15*rr_Other + AF15*H15*rr_Stroke + AG15*H15*rr_Stroke + AH15*H15*rr_MI + AI15*H15*rr_MI + AJ15*H15*rr_Stroke*rr_MI + AK15*H15*rr_Stroke*rr_MI + AL15*H15*rr_Stroke*rr_MI + AM15*H15*rr_HF + AN15*H15*rr_HF + AO15*H15*rr_Stroke*rr_HF + AP15*H15*rr_Stroke*rr_HF + AR15*H15*rr_DM + AS15*H15*rr_DM*rr_Other + AT15*H15*rr_DM*rr_Stroke + AU15*H15*rr_DM*rr_Stroke + AV15*H15*rr_DM*rr_MI + AW15*H15*rr_DM*rr_MI + AX15*H15*rr_DM*rr_Stroke*rr_MI + AY15*H15*rr_DM*rr_Stroke*rr_MI + AZ15*H15*rr_DM*rr_Stroke*rr_MI + BA15*H15*rr_DM*rr_HF + BB15*H15*rr_DM*rr_HF + BC15*H15*rr_DM*rr_Stroke*rr_HF + BD15*H15*rr_DM*rr_Stroke*rr_HF + AQ15*H15*rr_Stroke*rr_HF + BE15*H15*rr_DM*rr_Stroke*rr_HF
+ AD15*T15*p_MI*p_MI_mort + AD15*T15*p_Stroke*p_Stroke_mort + AE15*T15*p_MI*p_MI_mort + AE15*T15*p_Stroke*p_Stroke_mort + AF15*T15*p_MI*p_MI_mort + AF15*p_recur_Stroke*p_Stroke_mort + AG15*T15*p_MI*p_MI_mort + AG15*p_recur_Stroke*p_Stroke_mort + AH15*(PREV_FEMALE*p_recur_MI_F + (1-PREV_FEMALE)*p_recur_MI_M)*p_MI_mort + AH15*T15*p_Stroke*p_Stroke_mort + AI15*(PREV_FEMALE*p_recur_MI_F + (1-PREV_FEMALE)*p_recur_MI_M)*p_MI_mort + AI15*T15*p_Stroke*p_Stroke_mort + AJ15*(PREV_FEMALE*p_recur_MI_F + (1-PREV_FEMALE)*p_recur_MI_M)*p_MI_mort + AJ15*p_recur_Stroke*p_Stroke_mort + AK15*(PREV_FEMALE*p_recur_MI_F + (1-PREV_FEMALE)*p_recur_MI_M)*p_MI_mort + AK15*p_recur_Stroke*p_Stroke_mort + AL15*(PREV_FEMALE*p_recur_MI_F + (1-PREV_FEMALE)*p_recur_MI_M)*p_MI_mort + AL15*p_recur_Stroke*p_Stroke_mort + AM15*T15*p_Stroke*p_Stroke_mort + AN15*T15*p_Stroke*p_Stroke_mort + AO15*p_recur_Stroke*p_Stroke_mort + AP15*p_recur_Stroke*p_Stroke_mort + AQ15*p_recur_Stroke*p_Stroke_mort
+ AR15*AC15*p_MI*p_MI_mort + AR15*AC15*p_Stroke*p_Stroke_mort + AS15*AC15*p_MI*p_MI_mort + AS15*AC15*p_Stroke*p_Stroke_mort + AT15*AC15*p_MI*p_MI_mort + AT15*p_recur_Stroke*p_Stroke_mort + AU15*AC15*p_MI*p_MI_mort + AU15*p_recur_Stroke*p_Stroke_mort + AV15*(PREV_FEMALE*p_recur_MI_F + (1-PREV_FEMALE)*p_recur_MI_M)*p_MI_mort + AV15*AC15*p_Stroke*p_Stroke_mort + AW15*(PREV_FEMALE*p_recur_MI_F + (1-PREV_FEMALE)*p_recur_MI_M)*p_MI_mort + AW15*AC15*p_Stroke*p_Stroke_mort + AX15*(PREV_FEMALE*p_recur_MI_F + (1-PREV_FEMALE)*p_recur_MI_M)*p_MI_mort + AX15*p_recur_Stroke*p_Stroke_mort + AY15*(PREV_FEMALE*p_recur_MI_F + (1-PREV_FEMALE)*p_recur_MI_M)*p_MI_mort + AY15*p_recur_Stroke*p_Stroke_mort + AZ15*(PREV_FEMALE*p_recur_MI_F + (1-PREV_FEMALE)*p_recur_MI_M)*p_MI_mort + AZ15*p_recur_Stroke*p_Stroke_mort + BA15*AC15*p_Stroke*p_Stroke_mort + BB15*AC15*p_Stroke*p_Stroke_mort + BC15*p_recur_Stroke*p_Stroke_mort + BD15*p_recur_Stroke*p_Stroke_mort + BE15*p_recur_Stroke*p_Stroke_mort
+BF15</f>
        <v>5.9192562689405419E-2</v>
      </c>
      <c r="BG16">
        <f t="shared" si="17"/>
        <v>0.9470000000000004</v>
      </c>
      <c r="BH16">
        <f>(0.9442 - 0.0007*$B16 - dis_BMI*($C16-21.75))*AD16</f>
        <v>0.35974920756976386</v>
      </c>
      <c r="BI16">
        <f>0.959*(0.9442 - 0.0007*$B16 - dis_BMI*($C16-21.75))*AE16</f>
        <v>2.2291228688445554E-2</v>
      </c>
      <c r="BJ16">
        <f>(0.943*(0.9442 - 0.0007*$B16 - dis_BMI*($C16-21.75)) - 0.19*0.5)*AF16</f>
        <v>1.5257112092499654E-3</v>
      </c>
      <c r="BK16">
        <f>(0.943*(0.9442 - 0.0007*$B16 - dis_BMI*($C16-21.75)))*AG16</f>
        <v>6.3715220990191654E-3</v>
      </c>
      <c r="BL16">
        <f>(0.955*(0.9442 - 0.0007*$B16 - dis_BMI*($C16-21.75)) - 0.15*0.5)*AH16</f>
        <v>9.4376178284351375E-4</v>
      </c>
      <c r="BM16">
        <f>(0.955*(0.9442 - 0.0007*$B16 - dis_BMI*($C16-21.75)))*AI16</f>
        <v>4.9845223307906647E-3</v>
      </c>
      <c r="BN16">
        <f>(0.955*0.943*(0.9442 - 0.0007*$B16 - dis_BMI*($C16-21.75)) - 0.19*0.5)*AJ16</f>
        <v>2.1260944911940434E-5</v>
      </c>
      <c r="BO16">
        <f>(0.955*0.943*(0.9442 - 0.0007*$B16 - dis_BMI*($C16-21.75)) - 0.15*0.5)*AK16</f>
        <v>1.7539347764847721E-5</v>
      </c>
      <c r="BP16">
        <f>(0.955*0.943*(0.9442 - 0.0007*$B16 - dis_BMI*($C16-21.75)))*AL16</f>
        <v>7.4094253654175544E-5</v>
      </c>
      <c r="BQ16">
        <f>(0.93*(0.9442 - 0.0007*$B16 - dis_BMI*($C16-21.75)))*AM16</f>
        <v>3.9137966625302619E-4</v>
      </c>
      <c r="BR16">
        <f>(0.93*(0.9442 - 0.0007*$B16 - dis_BMI*($C16-21.75)))*AN16</f>
        <v>1.8781277837829908E-3</v>
      </c>
      <c r="BS16">
        <f>(0.93*0.943*(0.9442 - 0.0007*$B16 - dis_BMI*($C16-21.75)))*AO16</f>
        <v>7.1364084154520392E-6</v>
      </c>
      <c r="BT16">
        <f>(0.93*0.943*(0.9442 - 0.0007*$B16 - dis_BMI*($C16-21.75))-0.19*0.5)*AP16</f>
        <v>6.9449840636841636E-6</v>
      </c>
      <c r="BU16">
        <f>(0.93*0.943*(0.9442 - 0.0007*$B16 - dis_BMI*($C16-21.75)))*AQ16</f>
        <v>2.6630680206011824E-5</v>
      </c>
      <c r="BV16">
        <f>0.962*(0.9442 - 0.0007*$B16 - dis_BMI*($C16-21.75))*AR16</f>
        <v>0.29380885506137089</v>
      </c>
      <c r="BW16">
        <f>0.962*0.959*(0.9442 - 0.0007*$B16 - dis_BMI*($C16-21.75))*AS16</f>
        <v>2.792530216654299E-2</v>
      </c>
      <c r="BX16">
        <f>0.962*(0.943*(0.9442 - 0.0007*$B16 - dis_BMI*($C16-21.75)) - 0.19*0.5)*AT16</f>
        <v>2.1426154404114621E-3</v>
      </c>
      <c r="BY16">
        <f>0.962*(0.943*(0.9442 - 0.0007*$B16 - dis_BMI*($C16-21.75)))*AU16</f>
        <v>7.9975364954543802E-3</v>
      </c>
      <c r="BZ16">
        <f>0.962*(0.955*(0.9442 - 0.0007*$B16 - dis_BMI*($C16-21.75)) - 0.15*0.5)*AV16</f>
        <v>1.3710846449657631E-3</v>
      </c>
      <c r="CA16">
        <f>0.962*(0.955*(0.9442 - 0.0007*$B16 - dis_BMI*($C16-21.75)))*AW16</f>
        <v>6.3092778159113154E-3</v>
      </c>
      <c r="CB16">
        <f>0.962*(0.955*0.943*(0.9442 - 0.0007*$B16 - dis_BMI*($C16-21.75)) - 0.19*0.5)*AX16</f>
        <v>4.5638540731490744E-5</v>
      </c>
      <c r="CC16">
        <f>0.962*(0.955*0.943*(0.9442 - 0.0007*$B16 - dis_BMI*($C16-21.75)) - 0.15*0.5)*AY16</f>
        <v>3.8555328885637494E-5</v>
      </c>
      <c r="CD16">
        <f>0.962*(0.955*0.943*(0.9442 - 0.0007*$B16 - dis_BMI*($C16-21.75)))*AZ16</f>
        <v>1.4287832849543291E-4</v>
      </c>
      <c r="CE16">
        <f>0.962*(0.93*(0.9442 - 0.0007*$B16 - dis_BMI*($C16-21.75)))*BA16</f>
        <v>5.3759444726622727E-4</v>
      </c>
      <c r="CF16">
        <f>0.962*(0.93*(0.9442 - 0.0007*$B16 - dis_BMI*($C16-21.75)))*BB16</f>
        <v>2.2960929028964911E-3</v>
      </c>
      <c r="CG16">
        <f>0.962*(0.93*0.943*(0.9442 - 0.0007*$B16 - dis_BMI*($C16-21.75)))*BC16</f>
        <v>1.4911460185942074E-5</v>
      </c>
      <c r="CH16">
        <f>0.962*(0.93*0.943*(0.9442 - 0.0007*$B16 - dis_BMI*($C16-21.75))-0.19*0.5)*BD16</f>
        <v>1.4414725985972154E-5</v>
      </c>
      <c r="CI16">
        <f>0.962*(0.93*0.943*(0.9442 - 0.0007*$B16 - dis_BMI*($C16-21.75)))*BE16</f>
        <v>4.94556443024091E-5</v>
      </c>
      <c r="CJ16">
        <f t="shared" si="18"/>
        <v>0</v>
      </c>
      <c r="CK16">
        <f t="shared" si="19"/>
        <v>0.74098328075257114</v>
      </c>
      <c r="CL16">
        <f>CK16/(1+r_)^A16</f>
        <v>0.50457355794100445</v>
      </c>
      <c r="CM16">
        <f>AD16*c_BN_2</f>
        <v>880.72498117853468</v>
      </c>
      <c r="CN16">
        <f>AE16*(c_Other+c_BN_2)</f>
        <v>444.7609282534566</v>
      </c>
      <c r="CO16">
        <f>AF16*(c_Stroke1+c_Stroke2+c_BN_2)</f>
        <v>55.526108954770031</v>
      </c>
      <c r="CP16">
        <f>AG16*(c_Stroke2 + c_BN_2)</f>
        <v>67.863120209594911</v>
      </c>
      <c r="CQ16">
        <f>AH16*(c_MI1+c_MI2 + c_BN_2)</f>
        <v>39.729711981250091</v>
      </c>
      <c r="CR16">
        <f>AI16*(c_MI2+c_BN_2)</f>
        <v>31.789304267333225</v>
      </c>
      <c r="CS16">
        <f>AJ16*(c_Stroke1+c_Stroke2+c_MI2+c_BN_2)</f>
        <v>0.91343206551572187</v>
      </c>
      <c r="CT16">
        <f>AK16*(c_Stroke2+c_MI1+c_MI2+c_BN_2)</f>
        <v>0.9516822959299801</v>
      </c>
      <c r="CU16">
        <f>AL16*(c_Stroke2+c_MI2+c_BN_2)</f>
        <v>1.1260481693648015</v>
      </c>
      <c r="CV16">
        <f>AM16*(c_HF1+c_BN_2)</f>
        <v>14.323121822888348</v>
      </c>
      <c r="CW16">
        <f>AN16*(c_HF2+c_BN_2)</f>
        <v>41.770713813388021</v>
      </c>
      <c r="CX16">
        <f>AO16*(c_Stroke2+c_HF1+c_BN_2)</f>
        <v>0.33876331193734321</v>
      </c>
      <c r="CY16">
        <f>AP16*(c_Stroke1+c_Stroke2+c_HF2+c_BN_2)</f>
        <v>0.43987407741799189</v>
      </c>
      <c r="CZ16">
        <f>AQ16*(c_Stroke2+c_HF2+c_BN_2)</f>
        <v>0.85873551755286603</v>
      </c>
      <c r="DA16">
        <f>AR16*(c_DM+c_BN_2)</f>
        <v>4825.2846946786149</v>
      </c>
      <c r="DB16">
        <f>AS16*(c_Other+c_DM+c_BN_2)</f>
        <v>983.30855389458975</v>
      </c>
      <c r="DC16">
        <f>AT16*(c_Stroke1+c_Stroke2+c_DM+c_BN_2)</f>
        <v>116.79861038028184</v>
      </c>
      <c r="DD16">
        <f>AU16*(c_Stroke2+c_DM+c_BN_2)</f>
        <v>206.24811151368894</v>
      </c>
      <c r="DE16">
        <f>AV16*(c_MI1+c_MI2+c_DM+c_BN_2)</f>
        <v>81.93710534204719</v>
      </c>
      <c r="DF16">
        <f>AW16*(c_MI2+c_DM+c_BN_2)</f>
        <v>133.51580106928071</v>
      </c>
      <c r="DG16">
        <f>AX16*(c_Stroke1+c_Stroke2+c_MI2+c_DM+c_BN_2)</f>
        <v>2.8404293311360531</v>
      </c>
      <c r="DH16">
        <f>AY16*(c_Stroke2+c_MI1+c_MI2+c_DM+c_BN_2)</f>
        <v>2.8328657662927852</v>
      </c>
      <c r="DI16">
        <f>AZ16*(c_Stroke2+c_MI2+c_DM+c_BN_2)</f>
        <v>4.4590230031423381</v>
      </c>
      <c r="DJ16">
        <f>BA16*(c_HF1+c_DM+c_BN_2)</f>
        <v>28.473709768365843</v>
      </c>
      <c r="DK16">
        <f>BB16*(c_HF2+c_DM+c_BN_2)</f>
        <v>87.348170138363542</v>
      </c>
      <c r="DL16">
        <f>BC16*(c_Stroke2+c_HF1+c_DM+c_BN_2)</f>
        <v>0.97177680633096519</v>
      </c>
      <c r="DM16">
        <f>BD16*(c_Stroke1+c_Stroke2+c_HF2+c_DM+c_BN_2)</f>
        <v>1.2102220786324638</v>
      </c>
      <c r="DN16">
        <f>BE16*(c_Stroke2+c_HF2+c_DM+c_BN_2)</f>
        <v>2.4403800476308781</v>
      </c>
      <c r="DO16">
        <f t="shared" si="5"/>
        <v>0</v>
      </c>
      <c r="DP16">
        <f t="shared" si="38"/>
        <v>8058.7859797373321</v>
      </c>
      <c r="DQ16">
        <f>DP16/(1+r_)^A16</f>
        <v>5487.6411116203717</v>
      </c>
    </row>
    <row r="17" spans="1:121" x14ac:dyDescent="0.3">
      <c r="A17">
        <v>14</v>
      </c>
      <c r="B17">
        <v>59</v>
      </c>
      <c r="C17">
        <f t="shared" si="39"/>
        <v>36.251999999999995</v>
      </c>
      <c r="D17">
        <f t="shared" si="1"/>
        <v>125</v>
      </c>
      <c r="E17">
        <f t="shared" si="40"/>
        <v>5.7</v>
      </c>
      <c r="F17">
        <v>6.3899999999999998E-3</v>
      </c>
      <c r="G17">
        <v>1.0619999999999999E-2</v>
      </c>
      <c r="H17">
        <f t="shared" si="3"/>
        <v>7.2359999999999994E-3</v>
      </c>
      <c r="I17">
        <f t="shared" si="20"/>
        <v>4.7655426853004217E-2</v>
      </c>
      <c r="J17">
        <f t="shared" si="21"/>
        <v>0.1589807390415876</v>
      </c>
      <c r="K17">
        <f t="shared" si="22"/>
        <v>0.21532219330782731</v>
      </c>
      <c r="L17">
        <f t="shared" si="23"/>
        <v>7.8695441812466127E-2</v>
      </c>
      <c r="M17">
        <f t="shared" si="24"/>
        <v>0.10844730738594699</v>
      </c>
      <c r="N17">
        <f t="shared" si="25"/>
        <v>0.34384278085410147</v>
      </c>
      <c r="O17">
        <f t="shared" si="26"/>
        <v>0.44864133279164231</v>
      </c>
      <c r="P17">
        <f t="shared" si="27"/>
        <v>0.18719193033147385</v>
      </c>
      <c r="Q17">
        <f t="shared" si="28"/>
        <v>0.25387077587188955</v>
      </c>
      <c r="R17">
        <f>IF(C17&lt;25, HT_f_low, IF(C17&lt;30, HT_f_mod, HT_f_high))</f>
        <v>0.42</v>
      </c>
      <c r="S17">
        <f>IF(C17&lt;25, HT_m_low, IF(C17&lt;30, HT_m_mod, HT_m_high))</f>
        <v>0.43099999999999999</v>
      </c>
      <c r="T17">
        <f>PREV_FEMALE*PREV_SMOKE*(1-$R17)*(1-EXP(-J17/10))+PREV_FEMALE*PREV_SMOKE*$R17*(1-EXP(-K17/10))+PREV_FEMALE*(1-PREV_SMOKE)*(1-$R17)*(1-EXP(-L17/10))+PREV_FEMALE*(1-PREV_SMOKE)*$R17*(1-EXP(-M17/10))+(1-PREV_FEMALE)*PREV_SMOKE*(1-$S17)*(1-EXP(-N17/10))+(1-PREV_FEMALE)*PREV_SMOKE*$S17*(1-EXP(-O17/10))+(1-PREV_FEMALE)*(1-PREV_SMOKE)*(1-$S17)*(1-EXP(-P17/10))+(1-PREV_FEMALE)*(1-PREV_SMOKE)*$S17*(1-EXP(-Q17/10))</f>
        <v>1.2853979855704361E-2</v>
      </c>
      <c r="U17">
        <f t="shared" si="29"/>
        <v>0.31395192856715037</v>
      </c>
      <c r="V17">
        <f t="shared" si="30"/>
        <v>0.41004898377294219</v>
      </c>
      <c r="W17">
        <f t="shared" si="31"/>
        <v>0.1633757821564702</v>
      </c>
      <c r="X17">
        <f t="shared" si="32"/>
        <v>0.22105904768764939</v>
      </c>
      <c r="Y17">
        <f t="shared" si="33"/>
        <v>0.51178512843445312</v>
      </c>
      <c r="Z17">
        <f t="shared" si="34"/>
        <v>0.63691291716066445</v>
      </c>
      <c r="AA17">
        <f t="shared" si="35"/>
        <v>0.29720147441236699</v>
      </c>
      <c r="AB17">
        <f t="shared" si="36"/>
        <v>0.39246167967178935</v>
      </c>
      <c r="AC17">
        <f>PREV_FEMALE*PREV_SMOKE*(1-$R17)*(1-EXP(-U17/10))+PREV_FEMALE*PREV_SMOKE*$R17*(1-EXP(-V17/10))+PREV_FEMALE*(1-PREV_SMOKE)*(1-$R17)*(1-EXP(-W17/10))+PREV_FEMALE*(1-PREV_SMOKE)*$R17*(1-EXP(-X17/10))+(1-PREV_FEMALE)*PREV_SMOKE*(1-$S17)*(1-EXP(-Y17/10))+(1-PREV_FEMALE)*PREV_SMOKE*$S17*(1-EXP(-Z17/10))+(1-PREV_FEMALE)*(1-PREV_SMOKE)*(1-$S17)*(1-EXP(-AA17/10))+(1-PREV_FEMALE)*(1-PREV_SMOKE)*$S17*(1-EXP(-AB17/10))</f>
        <v>2.3680223656813614E-2</v>
      </c>
      <c r="AD17">
        <f t="shared" si="37"/>
        <v>0.3927454690989991</v>
      </c>
      <c r="AE17">
        <f t="shared" si="6"/>
        <v>2.810285556726097E-2</v>
      </c>
      <c r="AF17">
        <f t="shared" si="7"/>
        <v>2.164653692670865E-3</v>
      </c>
      <c r="AG17">
        <f t="shared" si="8"/>
        <v>8.1860339527172424E-3</v>
      </c>
      <c r="AH17">
        <f>AD16*T16*p_MI*p_MI_rec_mid*(1-I16)+AE16*T16*p_MI*p_MI_rec_mid*(1-I16) + AH16*(PREV_FEMALE*p_recur_MI_F + (1-PREV_FEMALE)*p_recur_MI_M)*p_MI_rec_mid*(1-I16) + AI16*(PREV_FEMALE*p_recur_MI_F + (1-PREV_FEMALE)*p_recur_MI_M)*p_MI_rec_mid*(1-I16)</f>
        <v>1.2637401058696279E-3</v>
      </c>
      <c r="AI17">
        <f>AH16*(1-(PREV_FEMALE*p_recur_MI_F + (1-PREV_FEMALE)*p_recur_MI_M) - T16*p_Stroke - p_toHF_mid - H16*rr_MI)*(1-I16) + AI16*(1-(PREV_FEMALE*p_recur_MI_F + (1-PREV_FEMALE)*p_recur_MI_M) - T16*p_Stroke - p_toHF_mid - H16*rr_MI)*(1-I16)</f>
        <v>6.1873724460314531E-3</v>
      </c>
      <c r="AJ17">
        <f t="shared" si="11"/>
        <v>3.4335250375660359E-5</v>
      </c>
      <c r="AK17">
        <f>AF16*T16*p_MI*p_MI_rec_mid*(1-I16) + AG16*T16*p_MI*p_MI_rec_mid*(1-I16) + AJ16*(PREV_FEMALE*p_recur_MI_F + (1-PREV_FEMALE)*p_recur_MI_M)*p_MI_rec_mid*(1-I16) + AK16*(PREV_FEMALE*p_recur_MI_F + (1-PREV_FEMALE)*p_recur_MI_M)*p_MI_rec_mid*(1-I16) + AL16*(PREV_FEMALE*p_recur_MI_F + (1-PREV_FEMALE)*p_recur_MI_M)*p_MI_rec_mid*(1-I16)</f>
        <v>2.7679283661400403E-5</v>
      </c>
      <c r="AL17">
        <f>AJ16*(1-p_recur_Stroke-(PREV_FEMALE*p_recur_MI_F + (1-PREV_FEMALE)*p_recur_MI_M) - p_toHF_mid - H16*rr_MI*rr_Stroke)*(1-I16) + AK16*(1-p_recur_Stroke-(PREV_FEMALE*p_recur_MI_F + (1-PREV_FEMALE)*p_recur_MI_M) - p_toHF_mid - H16*rr_MI*rr_Stroke)*(1-I16) + AL16*(1-p_recur_Stroke-(PREV_FEMALE*p_recur_MI_F + (1-PREV_FEMALE)*p_recur_MI_M) - p_toHF_mid - H16*rr_MI*rr_Stroke)*(1-I16)</f>
        <v>1.0794365703046865E-4</v>
      </c>
      <c r="AM17">
        <f>AD16*T16*p_MI*p_MI_HF_mid*(1-I16) + AE16*T16*p_MI*p_MI_HF_mid*(1-I16) + AH16*p_toHF_mid*(1-I16) + AH16*(PREV_FEMALE*p_recur_MI_F + (1-PREV_FEMALE)*p_recur_MI_M)*p_MI_HF_mid*(1-I16) + AI16*p_toHF_mid*(1-I16) + AI16*(PREV_FEMALE*p_recur_MI_F + (1-PREV_FEMALE)*p_recur_MI_M)*p_MI_HF_mid*(1-I16)</f>
        <v>4.9337857573107603E-4</v>
      </c>
      <c r="AN17">
        <f t="shared" si="15"/>
        <v>2.6749113998642618E-3</v>
      </c>
      <c r="AO17">
        <f>AF16*T16*p_MI*p_MI_HF_mid*(1-I16) + AG16*T16*p_MI*p_MI_HF_mid*(1-I16) + AJ16*(PREV_FEMALE*p_recur_MI_F + (1-PREV_FEMALE)*p_recur_MI_M)*p_MI_HF_mid*(1-I16) + AJ16*p_toHF_mid*(1-I16) + AK16*(PREV_FEMALE*p_recur_MI_F + (1-PREV_FEMALE)*p_recur_MI_M)*p_MI_HF_mid*(1-I16) + AK16*p_toHF_mid*(1-I16) + AL16*(PREV_FEMALE*p_recur_MI_F + (1-PREV_FEMALE)*p_recur_MI_M)*p_MI_HF_mid*(1-I16) + AL16*p_toHF_mid*(1-I16)</f>
        <v>1.0551983464813738E-5</v>
      </c>
      <c r="AP17">
        <f>AM16*T16*p_Stroke*p_Stroke_rec*(1-I16) + AN16*T16*p_Stroke*p_Stroke_rec*(1-I16) + AO16*(p_recur_Stroke*p_Stroke_rec)*(1-I16) + AP16*(p_recur_Stroke*p_Stroke_rec)*(1-I16) + AQ16*(p_recur_Stroke*p_Stroke_rec)*(1-I16)</f>
        <v>1.2912164639218069E-5</v>
      </c>
      <c r="AQ17">
        <f>AO16*(1-p_recur_Stroke-H16*rr_Stroke*rr_HF)*(1-I16) + AP16*(1-p_recur_Stroke-H16*rr_Stroke*rr_HF)*(1-I16) + AQ16*(1-p_recur_Stroke-H16*rr_Stroke*rr_HF)*(1-I16)</f>
        <v>4.4560797308188215E-5</v>
      </c>
      <c r="AR17">
        <f>AR16*(1-AC16-H16*rr_DM) + AD16*(1-T16-H16)*I16</f>
        <v>0.36567796382068751</v>
      </c>
      <c r="AS17">
        <f>AR16*AC16*p_Other + AD16*T16*p_Other*I16 + AE16*(1-T16*p_Stroke-T16*p_MI-H16*rr_Other)*I16 + AS16*(1-AC16*p_Stroke-AC16*p_MI-H16*rr_Other*rr_DM)</f>
        <v>4.0361163416299653E-2</v>
      </c>
      <c r="AT17">
        <f>AR16*AC16*p_Stroke*p_Stroke_rec + AD16*T16*p_Stroke*p_Stroke_rec*I16 + AE16*T16*p_Stroke*p_Stroke_rec*I16 + AF16*p_recur_Stroke*p_Stroke_rec*I16 + AG16*p_recur_Stroke*p_Stroke_rec*I16 + AS16*AC16*p_Stroke*p_Stroke_rec + AT16*p_recur_Stroke*p_Stroke_rec + AU16*p_recur_Stroke*p_Stroke_rec</f>
        <v>3.4787497915676523E-3</v>
      </c>
      <c r="AU17">
        <f>AF16*(1-p_recur_Stroke-T16*p_MI-H16*rr_Stroke)*I16 + AG16*(1-p_recur_Stroke-T16*p_MI-H16*rr_Stroke)*I16 + AT16*(1-p_recur_Stroke-AC16*p_MI-H16*rr_Stroke*rr_DM) + AU16*(1-p_recur_Stroke-AC16*p_MI-H16*rr_Stroke*rr_DM)</f>
        <v>1.1836334833808504E-2</v>
      </c>
      <c r="AV17">
        <f>AR16*AC16*p_MI*p_MI_rec_mid + AD16*T16*p_MI*p_MI_rec_mid*I16 + AE16*T16*p_MI*p_MI_rec_mid*I16 +AH16*(PREV_FEMALE*p_recur_MI_F + (1-PREV_FEMALE)*p_recur_MI_M)*p_MI_rec_mid*I16 + AI16*(PREV_FEMALE*p_recur_MI_F + (1-PREV_FEMALE)*p_recur_MI_M)*p_MI_rec_mid*I16 + AS16*AC16*p_MI*p_MI_rec_mid + AV16*(PREV_FEMALE*p_recur_MI_F + (1-PREV_FEMALE)*p_recur_MI_M)*p_MI_rec_mid + AW16*(PREV_FEMALE*p_recur_MI_F + (1-PREV_FEMALE)*p_recur_MI_M)*p_MI_rec_mid</f>
        <v>2.1019809918978631E-3</v>
      </c>
      <c r="AW17">
        <f>AH16*(1-(PREV_FEMALE*p_recur_MI_F + (1-PREV_FEMALE)*p_recur_MI_M) - T16*p_Stroke - p_toHF_mid - H16*rr_MI)*I16 + AI16*(1-(PREV_FEMALE*p_recur_MI_F + (1-PREV_FEMALE)*p_recur_MI_M) - T16*p_Stroke - p_toHF_mid - H16*rr_MI)*I16 + AV16*(1-(PREV_FEMALE*p_recur_MI_F + (1-PREV_FEMALE)*p_recur_MI_M) - AC16*p_Stroke - p_toHF_mid - H16*rr_MI*rr_DM) + AW16*(1-(PREV_FEMALE*p_recur_MI_F + (1-PREV_FEMALE)*p_recur_MI_M) - AC16*p_Stroke - p_toHF_mid - H16*rr_MI*rr_DM)</f>
        <v>9.0363321019642558E-3</v>
      </c>
      <c r="AX17">
        <f>AH16*T16*p_Stroke*p_Stroke_rec*I16 + AI16*T16*p_Stroke*p_Stroke_rec*I16 + AJ16*p_recur_Stroke*p_Stroke_rec*I16 + AK16*p_recur_Stroke*p_Stroke_rec*I16 + AL16*p_recur_Stroke*p_Stroke_rec*I16 + AV16*AC16*p_Stroke*p_Stroke_rec + AW16*AC16*p_Stroke*p_Stroke_rec + AX16*p_recur_Stroke*p_Stroke_rec + AY16*p_recur_Stroke*p_Stroke_rec + AZ16*p_recur_Stroke*p_Stroke_rec</f>
        <v>8.4966933903710603E-5</v>
      </c>
      <c r="AY17">
        <f>AF16*T16*p_MI*p_MI_rec_mid*I16 + AG16*T16*p_MI*p_MI_rec_mid*I16 + AJ16*(PREV_FEMALE*p_recur_MI_F+(1-PREV_FEMALE)*p_recur_MI_M)*p_MI_rec_mid*I16 + AK16*(PREV_FEMALE*p_recur_MI_F+(1-PREV_FEMALE)*p_recur_MI_M)*p_MI_rec_mid*I16 + AL16*(PREV_FEMALE*p_recur_MI_F+(1-PREV_FEMALE)*p_recur_MI_M)*p_MI_rec_mid*I16 + AT16*AC16*p_MI*p_MI_rec_mid + AU16*AC16*p_MI*p_MI_rec_mid + AX16*(PREV_FEMALE*p_recur_MI_F+(1-PREV_FEMALE)*p_recur_MI_M)*p_MI_rec_mid + AY16*(PREV_FEMALE*p_recur_MI_F+(1-PREV_FEMALE)*p_recur_MI_M)*p_MI_rec_mid + AZ16*(PREV_FEMALE*p_recur_MI_F+(1-PREV_FEMALE)*p_recur_MI_M)*p_MI_rec_mid</f>
        <v>7.006981516354407E-5</v>
      </c>
      <c r="AZ17">
        <f>AJ16*(1-p_recur_Stroke-(PREV_FEMALE*p_recur_MI_F + (1-PREV_FEMALE)*p_recur_MI_M) - p_toHF_mid - H16*rr_MI*rr_Stroke)*I16 + AK16*(1-p_recur_Stroke-(PREV_FEMALE*p_recur_MI_F + (1-PREV_FEMALE)*p_recur_MI_M) - p_toHF_mid - H16*rr_MI*rr_Stroke)*I16 + AL16*(1-p_recur_Stroke-(PREV_FEMALE*p_recur_MI_F + (1-PREV_FEMALE)*p_recur_MI_M) - p_toHF_mid - H16*rr_MI*rr_Stroke)*I16 + AX16*(1-p_recur_Stroke-(PREV_FEMALE*p_recur_MI_F + (1-PREV_FEMALE)*p_recur_MI_M) - p_toHF_mid - H16*rr_MI*rr_Stroke*rr_DM) + AY16*(1-p_recur_Stroke-(PREV_FEMALE*p_recur_MI_F + (1-PREV_FEMALE)*p_recur_MI_M) - p_toHF_mid - H16*rr_MI*rr_Stroke*rr_DM) + AZ16*(1-p_recur_Stroke-(PREV_FEMALE*p_recur_MI_F + (1-PREV_FEMALE)*p_recur_MI_M) - p_toHF_mid - H16*rr_MI*rr_Stroke*rr_DM)</f>
        <v>2.4154541375683128E-4</v>
      </c>
      <c r="BA17">
        <f>AR16*AC16*p_MI*p_MI_HF_mid + AD16*T16*p_MI*p_MI_HF_mid*I16 + AE16*T16*p_MI*p_MI_HF_mid*I16 + AH16*p_toHF_mid*I16 + AH16*(PREV_FEMALE*p_recur_MI_F + (1-PREV_FEMALE)*p_recur_MI_M)*p_MI_HF_mid*I16 + AI16*p_toHF_mid*I16 + AI16*(PREV_FEMALE*p_recur_MI_F + (1-PREV_FEMALE)*p_recur_MI_M)*p_MI_HF_mid*I16 + AS16*AC16*p_MI*p_MI_HF_mid + AV16*(PREV_FEMALE*p_recur_MI_F + (1-PREV_FEMALE)*p_recur_MI_M)*p_MI_HF_mid + AV16*p_toHF_mid + AW16*(PREV_FEMALE*p_recur_MI_F + (1-PREV_FEMALE)*p_recur_MI_M)*p_MI_HF_mid + AW16*p_toHF_mid</f>
        <v>7.7789257650538019E-4</v>
      </c>
      <c r="BB17">
        <f>AM16*(1-T16*p_Stroke - H16*rr_HF)*I16 + AN16*(1-T16*p_Stroke - H16*rr_HF)*I16 + BA16*(1-AC16*p_Stroke - H16*rr_HF*rr_DM) + BB16*(1-AC16*p_Stroke - H16*rr_HF*rr_DM)</f>
        <v>3.7637008985744666E-3</v>
      </c>
      <c r="BC17">
        <f>AF16*T16*p_MI*p_MI_HF_mid*I16 + AG16*T16*p_MI*p_MI_HF_mid*I16 + AJ16*(PREV_FEMALE*p_recur_MI_F + (1-PREV_FEMALE)*p_recur_MI_M)*p_MI_HF_mid*I16 + AJ16*p_toHF_mid*I16 + AK16*(PREV_FEMALE*p_recur_MI_F + (1-PREV_FEMALE)*p_recur_MI_M)*p_MI_HF_mid*I16 + AK16*p_toHF_mid*I16 + AL16*(PREV_FEMALE*p_recur_MI_F + (1-PREV_FEMALE)*p_recur_MI_M)*p_MI_HF_mid*I16 + AL16*p_toHF_mid*I16 + AT16*AC16*p_MI*p_MI_HF_mid + AU16*AC16*p_MI*p_MI_HF_mid + AX16*(PREV_FEMALE*p_recur_MI_F + (1-PREV_FEMALE)*p_recur_MI_M)*p_MI_HF_mid + AX16*p_toHF_mid + AY16*(PREV_FEMALE*p_recur_MI_F + (1-PREV_FEMALE)*p_recur_MI_M)*p_MI_HF_mid + AY16*p_toHF_mid + AZ16*(PREV_FEMALE*p_recur_MI_F + (1-PREV_FEMALE)*p_recur_MI_M)*p_MI_HF_mid + AZ16*p_toHF_mid</f>
        <v>2.545350097546719E-5</v>
      </c>
      <c r="BD17">
        <f>AM16*T16*p_Stroke*p_Stroke_rec*I16 + AN16*T16*p_Stroke*p_Stroke_rec*I16 + AO16*(p_recur_Stroke*p_Stroke_rec)*I16 + AP16*(p_recur_Stroke*p_Stroke_rec)*I16 + AQ16*(p_recur_Stroke*p_Stroke_rec)*I16 + BA16*AC16*p_Stroke*p_Stroke_rec + BB16*AC16*p_Stroke*p_Stroke_rec + BC16*(p_recur_Stroke*p_Stroke_rec) + BD16*(p_recur_Stroke*p_Stroke_rec) + BE16*(p_recur_Stroke*p_Stroke_rec)</f>
        <v>3.0824118391297405E-5</v>
      </c>
      <c r="BE17">
        <f>AO16*(1-p_recur_Stroke - H16*rr_Stroke*rr_HF)*I16 + AP16*(1-p_recur_Stroke-H16*rr_Stroke*rr_HF)*I16 + AQ16*(1-p_recur_Stroke-H16*rr_Stroke*rr_HF)*I16 + BC16*(1-p_recur_Stroke - H16*rr_Stroke*rr_HF*rr_DM) + BD16*(1-p_recur_Stroke-H16*rr_Stroke*rr_HF*rr_DM) + BE16*(1-p_recur_Stroke-H16*rr_Stroke*rr_HF*rr_DM)</f>
        <v>9.5872467068056668E-5</v>
      </c>
      <c r="BF17">
        <f>AD16*H16 + AE16*H16*rr_Other + AF16*H16*rr_Stroke + AG16*H16*rr_Stroke + AH16*H16*rr_MI + AI16*H16*rr_MI + AJ16*H16*rr_Stroke*rr_MI + AK16*H16*rr_Stroke*rr_MI + AL16*H16*rr_Stroke*rr_MI + AM16*H16*rr_HF + AN16*H16*rr_HF + AO16*H16*rr_Stroke*rr_HF + AP16*H16*rr_Stroke*rr_HF + AR16*H16*rr_DM + AS16*H16*rr_DM*rr_Other + AT16*H16*rr_DM*rr_Stroke + AU16*H16*rr_DM*rr_Stroke + AV16*H16*rr_DM*rr_MI + AW16*H16*rr_DM*rr_MI + AX16*H16*rr_DM*rr_Stroke*rr_MI + AY16*H16*rr_DM*rr_Stroke*rr_MI + AZ16*H16*rr_DM*rr_Stroke*rr_MI + BA16*H16*rr_DM*rr_HF + BB16*H16*rr_DM*rr_HF + BC16*H16*rr_DM*rr_Stroke*rr_HF + BD16*H16*rr_DM*rr_Stroke*rr_HF + AQ16*H16*rr_Stroke*rr_HF + BE16*H16*rr_DM*rr_Stroke*rr_HF
+ AD16*T16*p_MI*p_MI_mort + AD16*T16*p_Stroke*p_Stroke_mort + AE16*T16*p_MI*p_MI_mort + AE16*T16*p_Stroke*p_Stroke_mort + AF16*T16*p_MI*p_MI_mort + AF16*p_recur_Stroke*p_Stroke_mort + AG16*T16*p_MI*p_MI_mort + AG16*p_recur_Stroke*p_Stroke_mort + AH16*(PREV_FEMALE*p_recur_MI_F + (1-PREV_FEMALE)*p_recur_MI_M)*p_MI_mort + AH16*T16*p_Stroke*p_Stroke_mort + AI16*(PREV_FEMALE*p_recur_MI_F + (1-PREV_FEMALE)*p_recur_MI_M)*p_MI_mort + AI16*T16*p_Stroke*p_Stroke_mort + AJ16*(PREV_FEMALE*p_recur_MI_F + (1-PREV_FEMALE)*p_recur_MI_M)*p_MI_mort + AJ16*p_recur_Stroke*p_Stroke_mort + AK16*(PREV_FEMALE*p_recur_MI_F + (1-PREV_FEMALE)*p_recur_MI_M)*p_MI_mort + AK16*p_recur_Stroke*p_Stroke_mort + AL16*(PREV_FEMALE*p_recur_MI_F + (1-PREV_FEMALE)*p_recur_MI_M)*p_MI_mort + AL16*p_recur_Stroke*p_Stroke_mort + AM16*T16*p_Stroke*p_Stroke_mort + AN16*T16*p_Stroke*p_Stroke_mort + AO16*p_recur_Stroke*p_Stroke_mort + AP16*p_recur_Stroke*p_Stroke_mort + AQ16*p_recur_Stroke*p_Stroke_mort
+ AR16*AC16*p_MI*p_MI_mort + AR16*AC16*p_Stroke*p_Stroke_mort + AS16*AC16*p_MI*p_MI_mort + AS16*AC16*p_Stroke*p_Stroke_mort + AT16*AC16*p_MI*p_MI_mort + AT16*p_recur_Stroke*p_Stroke_mort + AU16*AC16*p_MI*p_MI_mort + AU16*p_recur_Stroke*p_Stroke_mort + AV16*(PREV_FEMALE*p_recur_MI_F + (1-PREV_FEMALE)*p_recur_MI_M)*p_MI_mort + AV16*AC16*p_Stroke*p_Stroke_mort + AW16*(PREV_FEMALE*p_recur_MI_F + (1-PREV_FEMALE)*p_recur_MI_M)*p_MI_mort + AW16*AC16*p_Stroke*p_Stroke_mort + AX16*(PREV_FEMALE*p_recur_MI_F + (1-PREV_FEMALE)*p_recur_MI_M)*p_MI_mort + AX16*p_recur_Stroke*p_Stroke_mort + AY16*(PREV_FEMALE*p_recur_MI_F + (1-PREV_FEMALE)*p_recur_MI_M)*p_MI_mort + AY16*p_recur_Stroke*p_Stroke_mort + AZ16*(PREV_FEMALE*p_recur_MI_F + (1-PREV_FEMALE)*p_recur_MI_M)*p_MI_mort + AZ16*p_recur_Stroke*p_Stroke_mort + BA16*AC16*p_Stroke*p_Stroke_mort + BB16*AC16*p_Stroke*p_Stroke_mort + BC16*p_recur_Stroke*p_Stroke_mort + BD16*p_recur_Stroke*p_Stroke_mort + BE16*p_recur_Stroke*p_Stroke_mort
+BF16</f>
        <v>6.7360751343811684E-2</v>
      </c>
      <c r="BG17">
        <f t="shared" si="17"/>
        <v>0.94700000000000051</v>
      </c>
      <c r="BH17">
        <f>(0.9442 - 0.0007*$B17 - dis_BMI*($C17-21.75))*AD17</f>
        <v>0.33581442123300315</v>
      </c>
      <c r="BI17">
        <f>0.959*(0.9442 - 0.0007*$B17 - dis_BMI*($C17-21.75))*AE17</f>
        <v>2.3043965565808216E-2</v>
      </c>
      <c r="BJ17">
        <f>(0.943*(0.9442 - 0.0007*$B17 - dis_BMI*($C17-21.75)) - 0.19*0.5)*AF17</f>
        <v>1.5397309997674997E-3</v>
      </c>
      <c r="BK17">
        <f>(0.943*(0.9442 - 0.0007*$B17 - dis_BMI*($C17-21.75)))*AG17</f>
        <v>6.6004476881503229E-3</v>
      </c>
      <c r="BL17">
        <f>(0.955*(0.9442 - 0.0007*$B17 - dis_BMI*($C17-21.75)) - 0.15*0.5)*AH17</f>
        <v>9.3714726024114389E-4</v>
      </c>
      <c r="BM17">
        <f>(0.955*(0.9442 - 0.0007*$B17 - dis_BMI*($C17-21.75)))*AI17</f>
        <v>5.0524007345216027E-3</v>
      </c>
      <c r="BN17">
        <f>(0.955*0.943*(0.9442 - 0.0007*$B17 - dis_BMI*($C17-21.75)) - 0.19*0.5)*AJ17</f>
        <v>2.317705485627248E-5</v>
      </c>
      <c r="BO17">
        <f>(0.955*0.943*(0.9442 - 0.0007*$B17 - dis_BMI*($C17-21.75)) - 0.15*0.5)*AK17</f>
        <v>1.923771550434084E-5</v>
      </c>
      <c r="BP17">
        <f>(0.955*0.943*(0.9442 - 0.0007*$B17 - dis_BMI*($C17-21.75)))*AL17</f>
        <v>8.3119007893195647E-5</v>
      </c>
      <c r="BQ17">
        <f>(0.93*(0.9442 - 0.0007*$B17 - dis_BMI*($C17-21.75)))*AM17</f>
        <v>3.923298882386388E-4</v>
      </c>
      <c r="BR17">
        <f>(0.93*(0.9442 - 0.0007*$B17 - dis_BMI*($C17-21.75)))*AN17</f>
        <v>2.1270637643759894E-3</v>
      </c>
      <c r="BS17">
        <f>(0.93*0.943*(0.9442 - 0.0007*$B17 - dis_BMI*($C17-21.75)))*AO17</f>
        <v>7.9125579247846664E-6</v>
      </c>
      <c r="BT17">
        <f>(0.93*0.943*(0.9442 - 0.0007*$B17 - dis_BMI*($C17-21.75))-0.19*0.5)*AP17</f>
        <v>8.4557183871388855E-6</v>
      </c>
      <c r="BU17">
        <f>(0.93*0.943*(0.9442 - 0.0007*$B17 - dis_BMI*($C17-21.75)))*AQ17</f>
        <v>3.3414560499583929E-5</v>
      </c>
      <c r="BV17">
        <f>0.962*(0.9442 - 0.0007*$B17 - dis_BMI*($C17-21.75))*AR17</f>
        <v>0.30078904936968559</v>
      </c>
      <c r="BW17">
        <f>0.962*0.959*(0.9442 - 0.0007*$B17 - dis_BMI*($C17-21.75))*AS17</f>
        <v>3.1837980661473697E-2</v>
      </c>
      <c r="BX17">
        <f>0.962*(0.943*(0.9442 - 0.0007*$B17 - dis_BMI*($C17-21.75)) - 0.19*0.5)*AT17</f>
        <v>2.3804260394937405E-3</v>
      </c>
      <c r="BY17">
        <f>0.962*(0.943*(0.9442 - 0.0007*$B17 - dis_BMI*($C17-21.75)))*AU17</f>
        <v>9.181046057989771E-3</v>
      </c>
      <c r="BZ17">
        <f>0.962*(0.955*(0.9442 - 0.0007*$B17 - dis_BMI*($C17-21.75)) - 0.15*0.5)*AV17</f>
        <v>1.4995257499419512E-3</v>
      </c>
      <c r="CA17">
        <f>0.962*(0.955*(0.9442 - 0.0007*$B17 - dis_BMI*($C17-21.75)))*AW17</f>
        <v>7.0983725056733005E-3</v>
      </c>
      <c r="CB17">
        <f>0.962*(0.955*0.943*(0.9442 - 0.0007*$B17 - dis_BMI*($C17-21.75)) - 0.19*0.5)*AX17</f>
        <v>5.5175089809521486E-5</v>
      </c>
      <c r="CC17">
        <f>0.962*(0.955*0.943*(0.9442 - 0.0007*$B17 - dis_BMI*($C17-21.75)) - 0.15*0.5)*AY17</f>
        <v>4.684947143061997E-5</v>
      </c>
      <c r="CD17">
        <f>0.962*(0.955*0.943*(0.9442 - 0.0007*$B17 - dis_BMI*($C17-21.75)))*AZ17</f>
        <v>1.7892749892073839E-4</v>
      </c>
      <c r="CE17">
        <f>0.962*(0.93*(0.9442 - 0.0007*$B17 - dis_BMI*($C17-21.75)))*BA17</f>
        <v>5.9506691768710577E-4</v>
      </c>
      <c r="CF17">
        <f>0.962*(0.93*(0.9442 - 0.0007*$B17 - dis_BMI*($C17-21.75)))*BB17</f>
        <v>2.8791300501572635E-3</v>
      </c>
      <c r="CG17">
        <f>0.962*(0.93*0.943*(0.9442 - 0.0007*$B17 - dis_BMI*($C17-21.75)))*BC17</f>
        <v>1.8361383342804849E-5</v>
      </c>
      <c r="CH17">
        <f>0.962*(0.93*0.943*(0.9442 - 0.0007*$B17 - dis_BMI*($C17-21.75))-0.19*0.5)*BD17</f>
        <v>1.9418567621917733E-5</v>
      </c>
      <c r="CI17">
        <f>0.962*(0.93*0.943*(0.9442 - 0.0007*$B17 - dis_BMI*($C17-21.75)))*BE17</f>
        <v>6.9159488965926484E-5</v>
      </c>
      <c r="CJ17">
        <f t="shared" si="18"/>
        <v>0</v>
      </c>
      <c r="CK17">
        <f t="shared" si="19"/>
        <v>0.73233131260136575</v>
      </c>
      <c r="CL17">
        <f>CK17/(1+r_)^A17</f>
        <v>0.48415727051928426</v>
      </c>
      <c r="CM17">
        <f>AD17*c_BN_2</f>
        <v>822.8017577624031</v>
      </c>
      <c r="CN17">
        <f>AE17*(c_Other+c_BN_2)</f>
        <v>460.15615705833113</v>
      </c>
      <c r="CO17">
        <f>AF17*(c_Stroke1+c_Stroke2+c_BN_2)</f>
        <v>56.088341830794782</v>
      </c>
      <c r="CP17">
        <f>AG17*(c_Stroke2 + c_BN_2)</f>
        <v>70.358961823604702</v>
      </c>
      <c r="CQ17">
        <f>AH17*(c_MI1+c_MI2 + c_BN_2)</f>
        <v>39.486823348002396</v>
      </c>
      <c r="CR17">
        <f>AI17*(c_MI2+c_BN_2)</f>
        <v>32.248585188715936</v>
      </c>
      <c r="CS17">
        <f>AJ17*(c_Stroke1+c_Stroke2+c_MI2+c_BN_2)</f>
        <v>0.9966836479046689</v>
      </c>
      <c r="CT17">
        <f>AK17*(c_Stroke2+c_MI1+c_MI2+c_BN_2)</f>
        <v>1.0447822410832197</v>
      </c>
      <c r="CU17">
        <f>AL17*(c_Stroke2+c_MI2+c_BN_2)</f>
        <v>1.2642361111408489</v>
      </c>
      <c r="CV17">
        <f>AM17*(c_HF1+c_BN_2)</f>
        <v>14.369651018167589</v>
      </c>
      <c r="CW17">
        <f>AN17*(c_HF2+c_BN_2)</f>
        <v>47.345931777597436</v>
      </c>
      <c r="CX17">
        <f>AO17*(c_Stroke2+c_HF1+c_BN_2)</f>
        <v>0.37591441093398942</v>
      </c>
      <c r="CY17">
        <f>AP17*(c_Stroke1+c_Stroke2+c_HF2+c_BN_2)</f>
        <v>0.53606142716177729</v>
      </c>
      <c r="CZ17">
        <f>AQ17*(c_Stroke2+c_HF2+c_BN_2)</f>
        <v>1.0783712948581547</v>
      </c>
      <c r="DA17">
        <f>AR17*(c_DM+c_BN_2)</f>
        <v>4943.9660708556949</v>
      </c>
      <c r="DB17">
        <f>AS17*(c_Other+c_DM+c_BN_2)</f>
        <v>1121.999981809714</v>
      </c>
      <c r="DC17">
        <f>AT17*(c_Stroke1+c_Stroke2+c_DM+c_BN_2)</f>
        <v>129.88260221796986</v>
      </c>
      <c r="DD17">
        <f>AU17*(c_Stroke2+c_DM+c_BN_2)</f>
        <v>236.96342337284625</v>
      </c>
      <c r="DE17">
        <f>AV17*(c_MI1+c_MI2+c_DM+c_BN_2)</f>
        <v>89.693630905273722</v>
      </c>
      <c r="DF17">
        <f>AW17*(c_MI2+c_DM+c_BN_2)</f>
        <v>150.33745718037932</v>
      </c>
      <c r="DG17">
        <f>AX17*(c_Stroke1+c_Stroke2+c_MI2+c_DM+c_BN_2)</f>
        <v>3.437167377206805</v>
      </c>
      <c r="DH17">
        <f>AY17*(c_Stroke2+c_MI1+c_MI2+c_DM+c_BN_2)</f>
        <v>3.4454028814066255</v>
      </c>
      <c r="DI17">
        <f>AZ17*(c_Stroke2+c_MI2+c_DM+c_BN_2)</f>
        <v>5.5886362380918051</v>
      </c>
      <c r="DJ17">
        <f>BA17*(c_HF1+c_DM+c_BN_2)</f>
        <v>31.543543977293165</v>
      </c>
      <c r="DK17">
        <f>BB17*(c_HF2+c_DM+c_BN_2)</f>
        <v>109.61778867098134</v>
      </c>
      <c r="DL17">
        <f>BC17*(c_Stroke2+c_HF1+c_DM+c_BN_2)</f>
        <v>1.1975872208957312</v>
      </c>
      <c r="DM17">
        <f>BD17*(c_Stroke1+c_Stroke2+c_HF2+c_DM+c_BN_2)</f>
        <v>1.6318596517536759</v>
      </c>
      <c r="DN17">
        <f>BE17*(c_Stroke2+c_HF2+c_DM+c_BN_2)</f>
        <v>3.4154566392995189</v>
      </c>
      <c r="DO17">
        <f t="shared" si="5"/>
        <v>0</v>
      </c>
      <c r="DP17">
        <f t="shared" si="38"/>
        <v>8380.8728679395062</v>
      </c>
      <c r="DQ17">
        <f>DP17/(1+r_)^A17</f>
        <v>5540.7442812969648</v>
      </c>
    </row>
    <row r="18" spans="1:121" x14ac:dyDescent="0.3">
      <c r="A18">
        <v>15</v>
      </c>
      <c r="B18">
        <v>60</v>
      </c>
      <c r="C18">
        <f t="shared" si="39"/>
        <v>36.251999999999995</v>
      </c>
      <c r="D18">
        <f t="shared" si="1"/>
        <v>125</v>
      </c>
      <c r="E18">
        <f t="shared" si="40"/>
        <v>5.7</v>
      </c>
      <c r="F18">
        <v>6.8700000000000002E-3</v>
      </c>
      <c r="G18">
        <v>1.142E-2</v>
      </c>
      <c r="H18">
        <f t="shared" si="3"/>
        <v>7.7800000000000005E-3</v>
      </c>
      <c r="I18">
        <f t="shared" si="20"/>
        <v>4.7655426853004217E-2</v>
      </c>
      <c r="J18">
        <f t="shared" si="21"/>
        <v>0.16576728301632637</v>
      </c>
      <c r="K18">
        <f t="shared" si="22"/>
        <v>0.2241756133642161</v>
      </c>
      <c r="L18">
        <f t="shared" si="23"/>
        <v>8.2222386911711465E-2</v>
      </c>
      <c r="M18">
        <f t="shared" si="24"/>
        <v>0.11322358578286051</v>
      </c>
      <c r="N18">
        <f t="shared" si="25"/>
        <v>0.35852642297954762</v>
      </c>
      <c r="O18">
        <f t="shared" si="26"/>
        <v>0.46599448662359821</v>
      </c>
      <c r="P18">
        <f t="shared" si="27"/>
        <v>0.19619047065022954</v>
      </c>
      <c r="Q18">
        <f t="shared" si="28"/>
        <v>0.2655158090883728</v>
      </c>
      <c r="R18">
        <f>IF(C18&lt;25, HT_f_low, IF(C18&lt;30, HT_f_mod, HT_f_high))</f>
        <v>0.42</v>
      </c>
      <c r="S18">
        <f>IF(C18&lt;25, HT_m_low, IF(C18&lt;30, HT_m_mod, HT_m_high))</f>
        <v>0.43099999999999999</v>
      </c>
      <c r="T18">
        <f>PREV_FEMALE*PREV_SMOKE*(1-$R18)*(1-EXP(-J18/10))+PREV_FEMALE*PREV_SMOKE*$R18*(1-EXP(-K18/10))+PREV_FEMALE*(1-PREV_SMOKE)*(1-$R18)*(1-EXP(-L18/10))+PREV_FEMALE*(1-PREV_SMOKE)*$R18*(1-EXP(-M18/10))+(1-PREV_FEMALE)*PREV_SMOKE*(1-$S18)*(1-EXP(-N18/10))+(1-PREV_FEMALE)*PREV_SMOKE*$S18*(1-EXP(-O18/10))+(1-PREV_FEMALE)*(1-PREV_SMOKE)*(1-$S18)*(1-EXP(-P18/10))+(1-PREV_FEMALE)*(1-PREV_SMOKE)*$S18*(1-EXP(-Q18/10))</f>
        <v>1.3421516921009383E-2</v>
      </c>
      <c r="U18">
        <f t="shared" si="29"/>
        <v>0.32594285055152517</v>
      </c>
      <c r="V18">
        <f t="shared" si="30"/>
        <v>0.42443916910680513</v>
      </c>
      <c r="W18">
        <f t="shared" si="31"/>
        <v>0.17033030920537129</v>
      </c>
      <c r="X18">
        <f t="shared" si="32"/>
        <v>0.23011214999687646</v>
      </c>
      <c r="Y18">
        <f t="shared" si="33"/>
        <v>0.53023006133418771</v>
      </c>
      <c r="Z18">
        <f t="shared" si="34"/>
        <v>0.65614332944896114</v>
      </c>
      <c r="AA18">
        <f t="shared" si="35"/>
        <v>0.31038992889107009</v>
      </c>
      <c r="AB18">
        <f t="shared" si="36"/>
        <v>0.40850828188088284</v>
      </c>
      <c r="AC18">
        <f>PREV_FEMALE*PREV_SMOKE*(1-$R18)*(1-EXP(-U18/10))+PREV_FEMALE*PREV_SMOKE*$R18*(1-EXP(-V18/10))+PREV_FEMALE*(1-PREV_SMOKE)*(1-$R18)*(1-EXP(-W18/10))+PREV_FEMALE*(1-PREV_SMOKE)*$R18*(1-EXP(-X18/10))+(1-PREV_FEMALE)*PREV_SMOKE*(1-$S18)*(1-EXP(-Y18/10))+(1-PREV_FEMALE)*PREV_SMOKE*$S18*(1-EXP(-Z18/10))+(1-PREV_FEMALE)*(1-PREV_SMOKE)*(1-$S18)*(1-EXP(-AA18/10))+(1-PREV_FEMALE)*(1-PREV_SMOKE)*$S18*(1-EXP(-AB18/10))</f>
        <v>2.463145996229802E-2</v>
      </c>
      <c r="AD18">
        <f t="shared" si="37"/>
        <v>0.36651478072511273</v>
      </c>
      <c r="AE18">
        <f t="shared" si="6"/>
        <v>2.8885105614738747E-2</v>
      </c>
      <c r="AF18">
        <f t="shared" si="7"/>
        <v>2.1783759999887799E-3</v>
      </c>
      <c r="AG18">
        <f t="shared" si="8"/>
        <v>8.4233975233833601E-3</v>
      </c>
      <c r="AH18">
        <f>AD17*T17*p_MI*p_MI_rec_mid*(1-I17)+AE17*T17*p_MI*p_MI_rec_mid*(1-I17) + AH17*(PREV_FEMALE*p_recur_MI_F + (1-PREV_FEMALE)*p_recur_MI_M)*p_MI_rec_mid*(1-I17) + AI17*(PREV_FEMALE*p_recur_MI_F + (1-PREV_FEMALE)*p_recur_MI_M)*p_MI_rec_mid*(1-I17)</f>
        <v>1.2530332955362029E-3</v>
      </c>
      <c r="AI18">
        <f>AH17*(1-(PREV_FEMALE*p_recur_MI_F + (1-PREV_FEMALE)*p_recur_MI_M) - T17*p_Stroke - p_toHF_mid - H17*rr_MI)*(1-I17) + AI17*(1-(PREV_FEMALE*p_recur_MI_F + (1-PREV_FEMALE)*p_recur_MI_M) - T17*p_Stroke - p_toHF_mid - H17*rr_MI)*(1-I17)</f>
        <v>6.2481273840484311E-3</v>
      </c>
      <c r="AJ18">
        <f t="shared" si="11"/>
        <v>3.7169705130359791E-5</v>
      </c>
      <c r="AK18">
        <f>AF17*T17*p_MI*p_MI_rec_mid*(1-I17) + AG17*T17*p_MI*p_MI_rec_mid*(1-I17) + AJ17*(PREV_FEMALE*p_recur_MI_F + (1-PREV_FEMALE)*p_recur_MI_M)*p_MI_rec_mid*(1-I17) + AK17*(PREV_FEMALE*p_recur_MI_F + (1-PREV_FEMALE)*p_recur_MI_M)*p_MI_rec_mid*(1-I17) + AL17*(PREV_FEMALE*p_recur_MI_F + (1-PREV_FEMALE)*p_recur_MI_M)*p_MI_rec_mid*(1-I17)</f>
        <v>3.0109291420137553E-5</v>
      </c>
      <c r="AL18">
        <f>AJ17*(1-p_recur_Stroke-(PREV_FEMALE*p_recur_MI_F + (1-PREV_FEMALE)*p_recur_MI_M) - p_toHF_mid - H17*rr_MI*rr_Stroke)*(1-I17) + AK17*(1-p_recur_Stroke-(PREV_FEMALE*p_recur_MI_F + (1-PREV_FEMALE)*p_recur_MI_M) - p_toHF_mid - H17*rr_MI*rr_Stroke)*(1-I17) + AL17*(1-p_recur_Stroke-(PREV_FEMALE*p_recur_MI_F + (1-PREV_FEMALE)*p_recur_MI_M) - p_toHF_mid - H17*rr_MI*rr_Stroke)*(1-I17)</f>
        <v>1.1963225193622226E-4</v>
      </c>
      <c r="AM18">
        <f>AD17*T17*p_MI*p_MI_HF_mid*(1-I17) + AE17*T17*p_MI*p_MI_HF_mid*(1-I17) + AH17*p_toHF_mid*(1-I17) + AH17*(PREV_FEMALE*p_recur_MI_F + (1-PREV_FEMALE)*p_recur_MI_M)*p_MI_HF_mid*(1-I17) + AI17*p_toHF_mid*(1-I17) + AI17*(PREV_FEMALE*p_recur_MI_F + (1-PREV_FEMALE)*p_recur_MI_M)*p_MI_HF_mid*(1-I17)</f>
        <v>4.9341417519298378E-4</v>
      </c>
      <c r="AN18">
        <f t="shared" si="15"/>
        <v>2.9686469189272647E-3</v>
      </c>
      <c r="AO18">
        <f>AF17*T17*p_MI*p_MI_HF_mid*(1-I17) + AG17*T17*p_MI*p_MI_HF_mid*(1-I17) + AJ17*(PREV_FEMALE*p_recur_MI_F + (1-PREV_FEMALE)*p_recur_MI_M)*p_MI_HF_mid*(1-I17) + AJ17*p_toHF_mid*(1-I17) + AK17*(PREV_FEMALE*p_recur_MI_F + (1-PREV_FEMALE)*p_recur_MI_M)*p_MI_HF_mid*(1-I17) + AK17*p_toHF_mid*(1-I17) + AL17*(PREV_FEMALE*p_recur_MI_F + (1-PREV_FEMALE)*p_recur_MI_M)*p_MI_HF_mid*(1-I17) + AL17*p_toHF_mid*(1-I17)</f>
        <v>1.1588081368918178E-5</v>
      </c>
      <c r="AP18">
        <f>AM17*T17*p_Stroke*p_Stroke_rec*(1-I17) + AN17*T17*p_Stroke*p_Stroke_rec*(1-I17) + AO17*(p_recur_Stroke*p_Stroke_rec)*(1-I17) + AP17*(p_recur_Stroke*p_Stroke_rec)*(1-I17) + AQ17*(p_recur_Stroke*p_Stroke_rec)*(1-I17)</f>
        <v>1.5358834869472767E-5</v>
      </c>
      <c r="AQ18">
        <f>AO17*(1-p_recur_Stroke-H17*rr_Stroke*rr_HF)*(1-I17) + AP17*(1-p_recur_Stroke-H17*rr_Stroke*rr_HF)*(1-I17) + AQ17*(1-p_recur_Stroke-H17*rr_Stroke*rr_HF)*(1-I17)</f>
        <v>5.4338803382329345E-5</v>
      </c>
      <c r="AR18">
        <f>AR17*(1-AC17-H17*rr_DM) + AD17*(1-T17-H17)*I17</f>
        <v>0.37231611505417628</v>
      </c>
      <c r="AS18">
        <f>AR17*AC17*p_Other + AD17*T17*p_Other*I17 + AE17*(1-T17*p_Stroke-T17*p_MI-H17*rr_Other)*I17 + AS17*(1-AC17*p_Stroke-AC17*p_MI-H17*rr_Other*rr_DM)</f>
        <v>4.5500982799940831E-2</v>
      </c>
      <c r="AT18">
        <f>AR17*AC17*p_Stroke*p_Stroke_rec + AD17*T17*p_Stroke*p_Stroke_rec*I17 + AE17*T17*p_Stroke*p_Stroke_rec*I17 + AF17*p_recur_Stroke*p_Stroke_rec*I17 + AG17*p_recur_Stroke*p_Stroke_rec*I17 + AS17*AC17*p_Stroke*p_Stroke_rec + AT17*p_recur_Stroke*p_Stroke_rec + AU17*p_recur_Stroke*p_Stroke_rec</f>
        <v>3.8343461150087471E-3</v>
      </c>
      <c r="AU18">
        <f>AF17*(1-p_recur_Stroke-T17*p_MI-H17*rr_Stroke)*I17 + AG17*(1-p_recur_Stroke-T17*p_MI-H17*rr_Stroke)*I17 + AT17*(1-p_recur_Stroke-AC17*p_MI-H17*rr_Stroke*rr_DM) + AU17*(1-p_recur_Stroke-AC17*p_MI-H17*rr_Stroke*rr_DM)</f>
        <v>1.3420099569005363E-2</v>
      </c>
      <c r="AV18">
        <f>AR17*AC17*p_MI*p_MI_rec_mid + AD17*T17*p_MI*p_MI_rec_mid*I17 + AE17*T17*p_MI*p_MI_rec_mid*I17 +AH17*(PREV_FEMALE*p_recur_MI_F + (1-PREV_FEMALE)*p_recur_MI_M)*p_MI_rec_mid*I17 + AI17*(PREV_FEMALE*p_recur_MI_F + (1-PREV_FEMALE)*p_recur_MI_M)*p_MI_rec_mid*I17 + AS17*AC17*p_MI*p_MI_rec_mid + AV17*(PREV_FEMALE*p_recur_MI_F + (1-PREV_FEMALE)*p_recur_MI_M)*p_MI_rec_mid + AW17*(PREV_FEMALE*p_recur_MI_F + (1-PREV_FEMALE)*p_recur_MI_M)*p_MI_rec_mid</f>
        <v>2.2834962219993467E-3</v>
      </c>
      <c r="AW18">
        <f>AH17*(1-(PREV_FEMALE*p_recur_MI_F + (1-PREV_FEMALE)*p_recur_MI_M) - T17*p_Stroke - p_toHF_mid - H17*rr_MI)*I17 + AI17*(1-(PREV_FEMALE*p_recur_MI_F + (1-PREV_FEMALE)*p_recur_MI_M) - T17*p_Stroke - p_toHF_mid - H17*rr_MI)*I17 + AV17*(1-(PREV_FEMALE*p_recur_MI_F + (1-PREV_FEMALE)*p_recur_MI_M) - AC17*p_Stroke - p_toHF_mid - H17*rr_MI*rr_DM) + AW17*(1-(PREV_FEMALE*p_recur_MI_F + (1-PREV_FEMALE)*p_recur_MI_M) - AC17*p_Stroke - p_toHF_mid - H17*rr_MI*rr_DM)</f>
        <v>1.007322463906803E-2</v>
      </c>
      <c r="AX18">
        <f>AH17*T17*p_Stroke*p_Stroke_rec*I17 + AI17*T17*p_Stroke*p_Stroke_rec*I17 + AJ17*p_recur_Stroke*p_Stroke_rec*I17 + AK17*p_recur_Stroke*p_Stroke_rec*I17 + AL17*p_recur_Stroke*p_Stroke_rec*I17 + AV17*AC17*p_Stroke*p_Stroke_rec + AW17*AC17*p_Stroke*p_Stroke_rec + AX17*p_recur_Stroke*p_Stroke_rec + AY17*p_recur_Stroke*p_Stroke_rec + AZ17*p_recur_Stroke*p_Stroke_rec</f>
        <v>1.0145378578473027E-4</v>
      </c>
      <c r="AY18">
        <f>AF17*T17*p_MI*p_MI_rec_mid*I17 + AG17*T17*p_MI*p_MI_rec_mid*I17 + AJ17*(PREV_FEMALE*p_recur_MI_F+(1-PREV_FEMALE)*p_recur_MI_M)*p_MI_rec_mid*I17 + AK17*(PREV_FEMALE*p_recur_MI_F+(1-PREV_FEMALE)*p_recur_MI_M)*p_MI_rec_mid*I17 + AL17*(PREV_FEMALE*p_recur_MI_F+(1-PREV_FEMALE)*p_recur_MI_M)*p_MI_rec_mid*I17 + AT17*AC17*p_MI*p_MI_rec_mid + AU17*AC17*p_MI*p_MI_rec_mid + AX17*(PREV_FEMALE*p_recur_MI_F+(1-PREV_FEMALE)*p_recur_MI_M)*p_MI_rec_mid + AY17*(PREV_FEMALE*p_recur_MI_F+(1-PREV_FEMALE)*p_recur_MI_M)*p_MI_rec_mid + AZ17*(PREV_FEMALE*p_recur_MI_F+(1-PREV_FEMALE)*p_recur_MI_M)*p_MI_rec_mid</f>
        <v>8.3954089144134135E-5</v>
      </c>
      <c r="AZ18">
        <f>AJ17*(1-p_recur_Stroke-(PREV_FEMALE*p_recur_MI_F + (1-PREV_FEMALE)*p_recur_MI_M) - p_toHF_mid - H17*rr_MI*rr_Stroke)*I17 + AK17*(1-p_recur_Stroke-(PREV_FEMALE*p_recur_MI_F + (1-PREV_FEMALE)*p_recur_MI_M) - p_toHF_mid - H17*rr_MI*rr_Stroke)*I17 + AL17*(1-p_recur_Stroke-(PREV_FEMALE*p_recur_MI_F + (1-PREV_FEMALE)*p_recur_MI_M) - p_toHF_mid - H17*rr_MI*rr_Stroke)*I17 + AX17*(1-p_recur_Stroke-(PREV_FEMALE*p_recur_MI_F + (1-PREV_FEMALE)*p_recur_MI_M) - p_toHF_mid - H17*rr_MI*rr_Stroke*rr_DM) + AY17*(1-p_recur_Stroke-(PREV_FEMALE*p_recur_MI_F + (1-PREV_FEMALE)*p_recur_MI_M) - p_toHF_mid - H17*rr_MI*rr_Stroke*rr_DM) + AZ17*(1-p_recur_Stroke-(PREV_FEMALE*p_recur_MI_F + (1-PREV_FEMALE)*p_recur_MI_M) - p_toHF_mid - H17*rr_MI*rr_Stroke*rr_DM)</f>
        <v>2.9697752141384935E-4</v>
      </c>
      <c r="BA18">
        <f>AR17*AC17*p_MI*p_MI_HF_mid + AD17*T17*p_MI*p_MI_HF_mid*I17 + AE17*T17*p_MI*p_MI_HF_mid*I17 + AH17*p_toHF_mid*I17 + AH17*(PREV_FEMALE*p_recur_MI_F + (1-PREV_FEMALE)*p_recur_MI_M)*p_MI_HF_mid*I17 + AI17*p_toHF_mid*I17 + AI17*(PREV_FEMALE*p_recur_MI_F + (1-PREV_FEMALE)*p_recur_MI_M)*p_MI_HF_mid*I17 + AS17*AC17*p_MI*p_MI_HF_mid + AV17*(PREV_FEMALE*p_recur_MI_F + (1-PREV_FEMALE)*p_recur_MI_M)*p_MI_HF_mid + AV17*p_toHF_mid + AW17*(PREV_FEMALE*p_recur_MI_F + (1-PREV_FEMALE)*p_recur_MI_M)*p_MI_HF_mid + AW17*p_toHF_mid</f>
        <v>8.546006899658483E-4</v>
      </c>
      <c r="BB18">
        <f>AM17*(1-T17*p_Stroke - H17*rr_HF)*I17 + AN17*(1-T17*p_Stroke - H17*rr_HF)*I17 + BA17*(1-AC17*p_Stroke - H17*rr_HF*rr_DM) + BB17*(1-AC17*p_Stroke - H17*rr_HF*rr_DM)</f>
        <v>4.5966271270338373E-3</v>
      </c>
      <c r="BC18">
        <f>AF17*T17*p_MI*p_MI_HF_mid*I17 + AG17*T17*p_MI*p_MI_HF_mid*I17 + AJ17*(PREV_FEMALE*p_recur_MI_F + (1-PREV_FEMALE)*p_recur_MI_M)*p_MI_HF_mid*I17 + AJ17*p_toHF_mid*I17 + AK17*(PREV_FEMALE*p_recur_MI_F + (1-PREV_FEMALE)*p_recur_MI_M)*p_MI_HF_mid*I17 + AK17*p_toHF_mid*I17 + AL17*(PREV_FEMALE*p_recur_MI_F + (1-PREV_FEMALE)*p_recur_MI_M)*p_MI_HF_mid*I17 + AL17*p_toHF_mid*I17 + AT17*AC17*p_MI*p_MI_HF_mid + AU17*AC17*p_MI*p_MI_HF_mid + AX17*(PREV_FEMALE*p_recur_MI_F + (1-PREV_FEMALE)*p_recur_MI_M)*p_MI_HF_mid + AX17*p_toHF_mid + AY17*(PREV_FEMALE*p_recur_MI_F + (1-PREV_FEMALE)*p_recur_MI_M)*p_MI_HF_mid + AY17*p_toHF_mid + AZ17*(PREV_FEMALE*p_recur_MI_F + (1-PREV_FEMALE)*p_recur_MI_M)*p_MI_HF_mid + AZ17*p_toHF_mid</f>
        <v>3.086561917401E-5</v>
      </c>
      <c r="BD18">
        <f>AM17*T17*p_Stroke*p_Stroke_rec*I17 + AN17*T17*p_Stroke*p_Stroke_rec*I17 + AO17*(p_recur_Stroke*p_Stroke_rec)*I17 + AP17*(p_recur_Stroke*p_Stroke_rec)*I17 + AQ17*(p_recur_Stroke*p_Stroke_rec)*I17 + BA17*AC17*p_Stroke*p_Stroke_rec + BB17*AC17*p_Stroke*p_Stroke_rec + BC17*(p_recur_Stroke*p_Stroke_rec) + BD17*(p_recur_Stroke*p_Stroke_rec) + BE17*(p_recur_Stroke*p_Stroke_rec)</f>
        <v>4.0322650184100289E-5</v>
      </c>
      <c r="BE18">
        <f>AO17*(1-p_recur_Stroke - H17*rr_Stroke*rr_HF)*I17 + AP17*(1-p_recur_Stroke-H17*rr_Stroke*rr_HF)*I17 + AQ17*(1-p_recur_Stroke-H17*rr_Stroke*rr_HF)*I17 + BC17*(1-p_recur_Stroke - H17*rr_Stroke*rr_HF*rr_DM) + BD17*(1-p_recur_Stroke-H17*rr_Stroke*rr_HF*rr_DM) + BE17*(1-p_recur_Stroke-H17*rr_Stroke*rr_HF*rr_DM)</f>
        <v>1.2939872063057265E-4</v>
      </c>
      <c r="BF18">
        <f>AD17*H17 + AE17*H17*rr_Other + AF17*H17*rr_Stroke + AG17*H17*rr_Stroke + AH17*H17*rr_MI + AI17*H17*rr_MI + AJ17*H17*rr_Stroke*rr_MI + AK17*H17*rr_Stroke*rr_MI + AL17*H17*rr_Stroke*rr_MI + AM17*H17*rr_HF + AN17*H17*rr_HF + AO17*H17*rr_Stroke*rr_HF + AP17*H17*rr_Stroke*rr_HF + AR17*H17*rr_DM + AS17*H17*rr_DM*rr_Other + AT17*H17*rr_DM*rr_Stroke + AU17*H17*rr_DM*rr_Stroke + AV17*H17*rr_DM*rr_MI + AW17*H17*rr_DM*rr_MI + AX17*H17*rr_DM*rr_Stroke*rr_MI + AY17*H17*rr_DM*rr_Stroke*rr_MI + AZ17*H17*rr_DM*rr_Stroke*rr_MI + BA17*H17*rr_DM*rr_HF + BB17*H17*rr_DM*rr_HF + BC17*H17*rr_DM*rr_Stroke*rr_HF + BD17*H17*rr_DM*rr_Stroke*rr_HF + AQ17*H17*rr_Stroke*rr_HF + BE17*H17*rr_DM*rr_Stroke*rr_HF
+ AD17*T17*p_MI*p_MI_mort + AD17*T17*p_Stroke*p_Stroke_mort + AE17*T17*p_MI*p_MI_mort + AE17*T17*p_Stroke*p_Stroke_mort + AF17*T17*p_MI*p_MI_mort + AF17*p_recur_Stroke*p_Stroke_mort + AG17*T17*p_MI*p_MI_mort + AG17*p_recur_Stroke*p_Stroke_mort + AH17*(PREV_FEMALE*p_recur_MI_F + (1-PREV_FEMALE)*p_recur_MI_M)*p_MI_mort + AH17*T17*p_Stroke*p_Stroke_mort + AI17*(PREV_FEMALE*p_recur_MI_F + (1-PREV_FEMALE)*p_recur_MI_M)*p_MI_mort + AI17*T17*p_Stroke*p_Stroke_mort + AJ17*(PREV_FEMALE*p_recur_MI_F + (1-PREV_FEMALE)*p_recur_MI_M)*p_MI_mort + AJ17*p_recur_Stroke*p_Stroke_mort + AK17*(PREV_FEMALE*p_recur_MI_F + (1-PREV_FEMALE)*p_recur_MI_M)*p_MI_mort + AK17*p_recur_Stroke*p_Stroke_mort + AL17*(PREV_FEMALE*p_recur_MI_F + (1-PREV_FEMALE)*p_recur_MI_M)*p_MI_mort + AL17*p_recur_Stroke*p_Stroke_mort + AM17*T17*p_Stroke*p_Stroke_mort + AN17*T17*p_Stroke*p_Stroke_mort + AO17*p_recur_Stroke*p_Stroke_mort + AP17*p_recur_Stroke*p_Stroke_mort + AQ17*p_recur_Stroke*p_Stroke_mort
+ AR17*AC17*p_MI*p_MI_mort + AR17*AC17*p_Stroke*p_Stroke_mort + AS17*AC17*p_MI*p_MI_mort + AS17*AC17*p_Stroke*p_Stroke_mort + AT17*AC17*p_MI*p_MI_mort + AT17*p_recur_Stroke*p_Stroke_mort + AU17*AC17*p_MI*p_MI_mort + AU17*p_recur_Stroke*p_Stroke_mort + AV17*(PREV_FEMALE*p_recur_MI_F + (1-PREV_FEMALE)*p_recur_MI_M)*p_MI_mort + AV17*AC17*p_Stroke*p_Stroke_mort + AW17*(PREV_FEMALE*p_recur_MI_F + (1-PREV_FEMALE)*p_recur_MI_M)*p_MI_mort + AW17*AC17*p_Stroke*p_Stroke_mort + AX17*(PREV_FEMALE*p_recur_MI_F + (1-PREV_FEMALE)*p_recur_MI_M)*p_MI_mort + AX17*p_recur_Stroke*p_Stroke_mort + AY17*(PREV_FEMALE*p_recur_MI_F + (1-PREV_FEMALE)*p_recur_MI_M)*p_MI_mort + AY17*p_recur_Stroke*p_Stroke_mort + AZ17*(PREV_FEMALE*p_recur_MI_F + (1-PREV_FEMALE)*p_recur_MI_M)*p_MI_mort + AZ17*p_recur_Stroke*p_Stroke_mort + BA17*AC17*p_Stroke*p_Stroke_mort + BB17*AC17*p_Stroke*p_Stroke_mort + BC17*p_recur_Stroke*p_Stroke_mort + BD17*p_recur_Stroke*p_Stroke_mort + BE17*p_recur_Stroke*p_Stroke_mort
+BF17</f>
        <v>7.6204456792434594E-2</v>
      </c>
      <c r="BG18">
        <f t="shared" si="17"/>
        <v>0.94700000000000029</v>
      </c>
      <c r="BH18">
        <f>(0.9442 - 0.0007*$B18 - dis_BMI*($C18-21.75))*AD18</f>
        <v>0.31312948391494727</v>
      </c>
      <c r="BI18">
        <f>0.959*(0.9442 - 0.0007*$B18 - dis_BMI*($C18-21.75))*AE18</f>
        <v>2.3666009567304535E-2</v>
      </c>
      <c r="BJ18">
        <f>(0.943*(0.9442 - 0.0007*$B18 - dis_BMI*($C18-21.75)) - 0.19*0.5)*AF18</f>
        <v>1.5480538122862775E-3</v>
      </c>
      <c r="BK18">
        <f>(0.943*(0.9442 - 0.0007*$B18 - dis_BMI*($C18-21.75)))*AG18</f>
        <v>6.7862750571372199E-3</v>
      </c>
      <c r="BL18">
        <f>(0.955*(0.9442 - 0.0007*$B18 - dis_BMI*($C18-21.75)) - 0.15*0.5)*AH18</f>
        <v>9.2836979618541704E-4</v>
      </c>
      <c r="BM18">
        <f>(0.955*(0.9442 - 0.0007*$B18 - dis_BMI*($C18-21.75)))*AI18</f>
        <v>5.0978343052395956E-3</v>
      </c>
      <c r="BN18">
        <f>(0.955*0.943*(0.9442 - 0.0007*$B18 - dis_BMI*($C18-21.75)) - 0.19*0.5)*AJ18</f>
        <v>2.5066943011003754E-5</v>
      </c>
      <c r="BO18">
        <f>(0.955*0.943*(0.9442 - 0.0007*$B18 - dis_BMI*($C18-21.75)) - 0.15*0.5)*AK18</f>
        <v>2.0907643982651674E-5</v>
      </c>
      <c r="BP18">
        <f>(0.955*0.943*(0.9442 - 0.0007*$B18 - dis_BMI*($C18-21.75)))*AL18</f>
        <v>9.2044069351014733E-5</v>
      </c>
      <c r="BQ18">
        <f>(0.93*(0.9442 - 0.0007*$B18 - dis_BMI*($C18-21.75)))*AM18</f>
        <v>3.9203698395958955E-4</v>
      </c>
      <c r="BR18">
        <f>(0.93*(0.9442 - 0.0007*$B18 - dis_BMI*($C18-21.75)))*AN18</f>
        <v>2.3587068289677346E-3</v>
      </c>
      <c r="BS18">
        <f>(0.93*0.943*(0.9442 - 0.0007*$B18 - dis_BMI*($C18-21.75)))*AO18</f>
        <v>8.6823771313374683E-6</v>
      </c>
      <c r="BT18">
        <f>(0.93*0.943*(0.9442 - 0.0007*$B18 - dis_BMI*($C18-21.75))-0.19*0.5)*AP18</f>
        <v>1.0048527210733841E-5</v>
      </c>
      <c r="BU18">
        <f>(0.93*0.943*(0.9442 - 0.0007*$B18 - dis_BMI*($C18-21.75)))*AQ18</f>
        <v>4.0713382035478754E-5</v>
      </c>
      <c r="BV18">
        <f>0.962*(0.9442 - 0.0007*$B18 - dis_BMI*($C18-21.75))*AR18</f>
        <v>0.30599855461698944</v>
      </c>
      <c r="BW18">
        <f>0.962*0.959*(0.9442 - 0.0007*$B18 - dis_BMI*($C18-21.75))*AS18</f>
        <v>3.5863025522555353E-2</v>
      </c>
      <c r="BX18">
        <f>0.962*(0.943*(0.9442 - 0.0007*$B18 - dis_BMI*($C18-21.75)) - 0.19*0.5)*AT18</f>
        <v>2.6213173044493392E-3</v>
      </c>
      <c r="BY18">
        <f>0.962*(0.943*(0.9442 - 0.0007*$B18 - dis_BMI*($C18-21.75)))*AU18</f>
        <v>1.04009970111692E-2</v>
      </c>
      <c r="BZ18">
        <f>0.962*(0.955*(0.9442 - 0.0007*$B18 - dis_BMI*($C18-21.75)) - 0.15*0.5)*AV18</f>
        <v>1.6275478316728326E-3</v>
      </c>
      <c r="CA18">
        <f>0.962*(0.955*(0.9442 - 0.0007*$B18 - dis_BMI*($C18-21.75)))*AW18</f>
        <v>7.9064118171833751E-3</v>
      </c>
      <c r="CB18">
        <f>0.962*(0.955*0.943*(0.9442 - 0.0007*$B18 - dis_BMI*($C18-21.75)) - 0.19*0.5)*AX18</f>
        <v>6.5819652854617929E-5</v>
      </c>
      <c r="CC18">
        <f>0.962*(0.955*0.943*(0.9442 - 0.0007*$B18 - dis_BMI*($C18-21.75)) - 0.15*0.5)*AY18</f>
        <v>5.6081740991383867E-5</v>
      </c>
      <c r="CD18">
        <f>0.962*(0.955*0.943*(0.9442 - 0.0007*$B18 - dis_BMI*($C18-21.75)))*AZ18</f>
        <v>2.1980936083032876E-4</v>
      </c>
      <c r="CE18">
        <f>0.962*(0.93*(0.9442 - 0.0007*$B18 - dis_BMI*($C18-21.75)))*BA18</f>
        <v>6.5321135926535629E-4</v>
      </c>
      <c r="CF18">
        <f>0.962*(0.93*(0.9442 - 0.0007*$B18 - dis_BMI*($C18-21.75)))*BB18</f>
        <v>3.513417539840474E-3</v>
      </c>
      <c r="CG18">
        <f>0.962*(0.93*0.943*(0.9442 - 0.0007*$B18 - dis_BMI*($C18-21.75)))*BC18</f>
        <v>2.2247293050786155E-5</v>
      </c>
      <c r="CH18">
        <f>0.962*(0.93*0.943*(0.9442 - 0.0007*$B18 - dis_BMI*($C18-21.75))-0.19*0.5)*BD18</f>
        <v>2.5378636302053585E-5</v>
      </c>
      <c r="CI18">
        <f>0.962*(0.93*0.943*(0.9442 - 0.0007*$B18 - dis_BMI*($C18-21.75)))*BE18</f>
        <v>9.3267892733193264E-5</v>
      </c>
      <c r="CJ18">
        <f t="shared" si="18"/>
        <v>0</v>
      </c>
      <c r="CK18">
        <f t="shared" si="19"/>
        <v>0.72317132078863766</v>
      </c>
      <c r="CL18">
        <f>CK18/(1+r_)^A18</f>
        <v>0.46417615226285142</v>
      </c>
      <c r="CM18">
        <f>AD18*c_BN_2</f>
        <v>767.84846561911115</v>
      </c>
      <c r="CN18">
        <f>AE18*(c_Other+c_BN_2)</f>
        <v>472.96471933573224</v>
      </c>
      <c r="CO18">
        <f>AF18*(c_Stroke1+c_Stroke2+c_BN_2)</f>
        <v>56.443900535709275</v>
      </c>
      <c r="CP18">
        <f>AG18*(c_Stroke2 + c_BN_2)</f>
        <v>72.399101713479979</v>
      </c>
      <c r="CQ18">
        <f>AH18*(c_MI1+c_MI2 + c_BN_2)</f>
        <v>39.152278352324196</v>
      </c>
      <c r="CR18">
        <f>AI18*(c_MI2+c_BN_2)</f>
        <v>32.565239925660421</v>
      </c>
      <c r="CS18">
        <f>AJ18*(c_Stroke1+c_Stroke2+c_MI2+c_BN_2)</f>
        <v>1.078962200524084</v>
      </c>
      <c r="CT18">
        <f>AK18*(c_Stroke2+c_MI1+c_MI2+c_BN_2)</f>
        <v>1.136505313944512</v>
      </c>
      <c r="CU18">
        <f>AL18*(c_Stroke2+c_MI2+c_BN_2)</f>
        <v>1.4011329346770351</v>
      </c>
      <c r="CV18">
        <f>AM18*(c_HF1+c_BN_2)</f>
        <v>14.370687852495653</v>
      </c>
      <c r="CW18">
        <f>AN18*(c_HF2+c_BN_2)</f>
        <v>52.545050465012586</v>
      </c>
      <c r="CX18">
        <f>AO18*(c_Stroke2+c_HF1+c_BN_2)</f>
        <v>0.41282539876771007</v>
      </c>
      <c r="CY18">
        <f>AP18*(c_Stroke1+c_Stroke2+c_HF2+c_BN_2)</f>
        <v>0.63763738844103135</v>
      </c>
      <c r="CZ18">
        <f>AQ18*(c_Stroke2+c_HF2+c_BN_2)</f>
        <v>1.31499904185237</v>
      </c>
      <c r="DA18">
        <f>AR18*(c_DM+c_BN_2)</f>
        <v>5033.7138755324631</v>
      </c>
      <c r="DB18">
        <f>AS18*(c_Other+c_DM+c_BN_2)</f>
        <v>1264.8818208555551</v>
      </c>
      <c r="DC18">
        <f>AT18*(c_Stroke1+c_Stroke2+c_DM+c_BN_2)</f>
        <v>143.15914654996658</v>
      </c>
      <c r="DD18">
        <f>AU18*(c_Stroke2+c_DM+c_BN_2)</f>
        <v>268.67039337148736</v>
      </c>
      <c r="DE18">
        <f>AV18*(c_MI1+c_MI2+c_DM+c_BN_2)</f>
        <v>97.439067288934126</v>
      </c>
      <c r="DF18">
        <f>AW18*(c_MI2+c_DM+c_BN_2)</f>
        <v>167.58823832017481</v>
      </c>
      <c r="DG18">
        <f>AX18*(c_Stroke1+c_Stroke2+c_MI2+c_DM+c_BN_2)</f>
        <v>4.1041099963496936</v>
      </c>
      <c r="DH18">
        <f>AY18*(c_Stroke2+c_MI1+c_MI2+c_DM+c_BN_2)</f>
        <v>4.1281065173062199</v>
      </c>
      <c r="DI18">
        <f>AZ18*(c_Stroke2+c_MI2+c_DM+c_BN_2)</f>
        <v>6.8711689129522329</v>
      </c>
      <c r="DJ18">
        <f>BA18*(c_HF1+c_DM+c_BN_2)</f>
        <v>34.654057978115148</v>
      </c>
      <c r="DK18">
        <f>BB18*(c_HF2+c_DM+c_BN_2)</f>
        <v>133.87676507486051</v>
      </c>
      <c r="DL18">
        <f>BC18*(c_Stroke2+c_HF1+c_DM+c_BN_2)</f>
        <v>1.4522273821371705</v>
      </c>
      <c r="DM18">
        <f>BD18*(c_Stroke1+c_Stroke2+c_HF2+c_DM+c_BN_2)</f>
        <v>2.1347214233964533</v>
      </c>
      <c r="DN18">
        <f>BE18*(c_Stroke2+c_HF2+c_DM+c_BN_2)</f>
        <v>4.6098294224641512</v>
      </c>
      <c r="DO18">
        <f t="shared" si="5"/>
        <v>0</v>
      </c>
      <c r="DP18">
        <f t="shared" si="38"/>
        <v>8681.555034703897</v>
      </c>
      <c r="DQ18">
        <f>DP18/(1+r_)^A18</f>
        <v>5572.3598210068221</v>
      </c>
    </row>
    <row r="19" spans="1:121" x14ac:dyDescent="0.3">
      <c r="A19">
        <v>16</v>
      </c>
      <c r="B19">
        <v>61</v>
      </c>
      <c r="C19">
        <f t="shared" si="39"/>
        <v>36.251999999999995</v>
      </c>
      <c r="D19">
        <f t="shared" si="1"/>
        <v>125</v>
      </c>
      <c r="E19">
        <f t="shared" si="40"/>
        <v>5.7</v>
      </c>
      <c r="F19">
        <v>7.45E-3</v>
      </c>
      <c r="G19">
        <v>1.244E-2</v>
      </c>
      <c r="H19">
        <f t="shared" si="3"/>
        <v>8.4479999999999989E-3</v>
      </c>
      <c r="I19">
        <f t="shared" si="20"/>
        <v>4.7655426853004217E-2</v>
      </c>
      <c r="J19">
        <f t="shared" si="21"/>
        <v>0.17269414311917897</v>
      </c>
      <c r="K19">
        <f t="shared" si="22"/>
        <v>0.23318238525402213</v>
      </c>
      <c r="L19">
        <f t="shared" si="23"/>
        <v>8.5837869870740491E-2</v>
      </c>
      <c r="M19">
        <f t="shared" si="24"/>
        <v>0.11811214002283932</v>
      </c>
      <c r="N19">
        <f t="shared" si="25"/>
        <v>0.37339000672006983</v>
      </c>
      <c r="O19">
        <f t="shared" si="26"/>
        <v>0.48339398616321261</v>
      </c>
      <c r="P19">
        <f t="shared" si="27"/>
        <v>0.20540652628975054</v>
      </c>
      <c r="Q19">
        <f t="shared" si="28"/>
        <v>0.27738664736076568</v>
      </c>
      <c r="R19">
        <f>IF(C19&lt;25, HT_f_low, IF(C19&lt;30, HT_f_mod, HT_f_high))</f>
        <v>0.42</v>
      </c>
      <c r="S19">
        <f>IF(C19&lt;25, HT_m_low, IF(C19&lt;30, HT_m_mod, HT_m_high))</f>
        <v>0.43099999999999999</v>
      </c>
      <c r="T19">
        <f>PREV_FEMALE*PREV_SMOKE*(1-$R19)*(1-EXP(-J19/10))+PREV_FEMALE*PREV_SMOKE*$R19*(1-EXP(-K19/10))+PREV_FEMALE*(1-PREV_SMOKE)*(1-$R19)*(1-EXP(-L19/10))+PREV_FEMALE*(1-PREV_SMOKE)*$R19*(1-EXP(-M19/10))+(1-PREV_FEMALE)*PREV_SMOKE*(1-$S19)*(1-EXP(-N19/10))+(1-PREV_FEMALE)*PREV_SMOKE*$S19*(1-EXP(-O19/10))+(1-PREV_FEMALE)*(1-PREV_SMOKE)*(1-$S19)*(1-EXP(-P19/10))+(1-PREV_FEMALE)*(1-PREV_SMOKE)*$S19*(1-EXP(-Q19/10))</f>
        <v>1.4000967759126123E-2</v>
      </c>
      <c r="U19">
        <f t="shared" si="29"/>
        <v>0.33806392894592607</v>
      </c>
      <c r="V19">
        <f t="shared" si="30"/>
        <v>0.43888171883987326</v>
      </c>
      <c r="W19">
        <f t="shared" si="31"/>
        <v>0.17742686009697095</v>
      </c>
      <c r="X19">
        <f t="shared" si="32"/>
        <v>0.23931885508708617</v>
      </c>
      <c r="Y19">
        <f t="shared" si="33"/>
        <v>0.54860169852536678</v>
      </c>
      <c r="Z19">
        <f t="shared" si="34"/>
        <v>0.67498979727353137</v>
      </c>
      <c r="AA19">
        <f t="shared" si="35"/>
        <v>0.32379021426780608</v>
      </c>
      <c r="AB19">
        <f t="shared" si="36"/>
        <v>0.42468331003524307</v>
      </c>
      <c r="AC19">
        <f>PREV_FEMALE*PREV_SMOKE*(1-$R19)*(1-EXP(-U19/10))+PREV_FEMALE*PREV_SMOKE*$R19*(1-EXP(-V19/10))+PREV_FEMALE*(1-PREV_SMOKE)*(1-$R19)*(1-EXP(-W19/10))+PREV_FEMALE*(1-PREV_SMOKE)*$R19*(1-EXP(-X19/10))+(1-PREV_FEMALE)*PREV_SMOKE*(1-$S19)*(1-EXP(-Y19/10))+(1-PREV_FEMALE)*PREV_SMOKE*$S19*(1-EXP(-Z19/10))+(1-PREV_FEMALE)*(1-PREV_SMOKE)*(1-$S19)*(1-EXP(-AA19/10))+(1-PREV_FEMALE)*(1-PREV_SMOKE)*$S19*(1-EXP(-AB19/10))</f>
        <v>2.5595165502352045E-2</v>
      </c>
      <c r="AD19">
        <f t="shared" si="37"/>
        <v>0.34164800764001152</v>
      </c>
      <c r="AE19">
        <f t="shared" si="6"/>
        <v>2.9512415965002078E-2</v>
      </c>
      <c r="AF19">
        <f t="shared" si="7"/>
        <v>2.184077234403811E-3</v>
      </c>
      <c r="AG19">
        <f t="shared" si="8"/>
        <v>8.6092791843054295E-3</v>
      </c>
      <c r="AH19">
        <f>AD18*T18*p_MI*p_MI_rec_mid*(1-I18)+AE18*T18*p_MI*p_MI_rec_mid*(1-I18) + AH18*(PREV_FEMALE*p_recur_MI_F + (1-PREV_FEMALE)*p_recur_MI_M)*p_MI_rec_mid*(1-I18) + AI18*(PREV_FEMALE*p_recur_MI_F + (1-PREV_FEMALE)*p_recur_MI_M)*p_MI_rec_mid*(1-I18)</f>
        <v>1.239449168465491E-3</v>
      </c>
      <c r="AI19">
        <f>AH18*(1-(PREV_FEMALE*p_recur_MI_F + (1-PREV_FEMALE)*p_recur_MI_M) - T18*p_Stroke - p_toHF_mid - H18*rr_MI)*(1-I18) + AI18*(1-(PREV_FEMALE*p_recur_MI_F + (1-PREV_FEMALE)*p_recur_MI_M) - T18*p_Stroke - p_toHF_mid - H18*rr_MI)*(1-I18)</f>
        <v>6.2830225859205769E-3</v>
      </c>
      <c r="AJ19">
        <f t="shared" si="11"/>
        <v>3.9939660517277482E-5</v>
      </c>
      <c r="AK19">
        <f>AF18*T18*p_MI*p_MI_rec_mid*(1-I18) + AG18*T18*p_MI*p_MI_rec_mid*(1-I18) + AJ18*(PREV_FEMALE*p_recur_MI_F + (1-PREV_FEMALE)*p_recur_MI_M)*p_MI_rec_mid*(1-I18) + AK18*(PREV_FEMALE*p_recur_MI_F + (1-PREV_FEMALE)*p_recur_MI_M)*p_MI_rec_mid*(1-I18) + AL18*(PREV_FEMALE*p_recur_MI_F + (1-PREV_FEMALE)*p_recur_MI_M)*p_MI_rec_mid*(1-I18)</f>
        <v>3.2475479297723882E-5</v>
      </c>
      <c r="AL19">
        <f>AJ18*(1-p_recur_Stroke-(PREV_FEMALE*p_recur_MI_F + (1-PREV_FEMALE)*p_recur_MI_M) - p_toHF_mid - H18*rr_MI*rr_Stroke)*(1-I18) + AK18*(1-p_recur_Stroke-(PREV_FEMALE*p_recur_MI_F + (1-PREV_FEMALE)*p_recur_MI_M) - p_toHF_mid - H18*rr_MI*rr_Stroke)*(1-I18) + AL18*(1-p_recur_Stroke-(PREV_FEMALE*p_recur_MI_F + (1-PREV_FEMALE)*p_recur_MI_M) - p_toHF_mid - H18*rr_MI*rr_Stroke)*(1-I18)</f>
        <v>1.3108649400941431E-4</v>
      </c>
      <c r="AM19">
        <f>AD18*T18*p_MI*p_MI_HF_mid*(1-I18) + AE18*T18*p_MI*p_MI_HF_mid*(1-I18) + AH18*p_toHF_mid*(1-I18) + AH18*(PREV_FEMALE*p_recur_MI_F + (1-PREV_FEMALE)*p_recur_MI_M)*p_MI_HF_mid*(1-I18) + AI18*p_toHF_mid*(1-I18) + AI18*(PREV_FEMALE*p_recur_MI_F + (1-PREV_FEMALE)*p_recur_MI_M)*p_MI_HF_mid*(1-I18)</f>
        <v>4.9192739732548769E-4</v>
      </c>
      <c r="AN19">
        <f t="shared" si="15"/>
        <v>3.2402119280647282E-3</v>
      </c>
      <c r="AO19">
        <f>AF18*T18*p_MI*p_MI_HF_mid*(1-I18) + AG18*T18*p_MI*p_MI_HF_mid*(1-I18) + AJ18*(PREV_FEMALE*p_recur_MI_F + (1-PREV_FEMALE)*p_recur_MI_M)*p_MI_HF_mid*(1-I18) + AJ18*p_toHF_mid*(1-I18) + AK18*(PREV_FEMALE*p_recur_MI_F + (1-PREV_FEMALE)*p_recur_MI_M)*p_MI_HF_mid*(1-I18) + AK18*p_toHF_mid*(1-I18) + AL18*(PREV_FEMALE*p_recur_MI_F + (1-PREV_FEMALE)*p_recur_MI_M)*p_MI_HF_mid*(1-I18) + AL18*p_toHF_mid*(1-I18)</f>
        <v>1.2604931408836522E-5</v>
      </c>
      <c r="AP19">
        <f>AM18*T18*p_Stroke*p_Stroke_rec*(1-I18) + AN18*T18*p_Stroke*p_Stroke_rec*(1-I18) + AO18*(p_recur_Stroke*p_Stroke_rec)*(1-I18) + AP18*(p_recur_Stroke*p_Stroke_rec)*(1-I18) + AQ18*(p_recur_Stroke*p_Stroke_rec)*(1-I18)</f>
        <v>1.7909956466265545E-5</v>
      </c>
      <c r="AQ19">
        <f>AO18*(1-p_recur_Stroke-H18*rr_Stroke*rr_HF)*(1-I18) + AP18*(1-p_recur_Stroke-H18*rr_Stroke*rr_HF)*(1-I18) + AQ18*(1-p_recur_Stroke-H18*rr_Stroke*rr_HF)*(1-I18)</f>
        <v>6.4691706812262738E-5</v>
      </c>
      <c r="AR19">
        <f>AR18*(1-AC18-H18*rr_DM) + AD18*(1-T18-H18)*I18</f>
        <v>0.37691041705126893</v>
      </c>
      <c r="AS19">
        <f>AR18*AC18*p_Other + AD18*T18*p_Other*I18 + AE18*(1-T18*p_Stroke-T18*p_MI-H18*rr_Other)*I18 + AS18*(1-AC18*p_Stroke-AC18*p_MI-H18*rr_Other*rr_DM)</f>
        <v>5.0743841652052098E-2</v>
      </c>
      <c r="AT19">
        <f>AR18*AC18*p_Stroke*p_Stroke_rec + AD18*T18*p_Stroke*p_Stroke_rec*I18 + AE18*T18*p_Stroke*p_Stroke_rec*I18 + AF18*p_recur_Stroke*p_Stroke_rec*I18 + AG18*p_recur_Stroke*p_Stroke_rec*I18 + AS18*AC18*p_Stroke*p_Stroke_rec + AT18*p_recur_Stroke*p_Stroke_rec + AU18*p_recur_Stroke*p_Stroke_rec</f>
        <v>4.1918520546143992E-3</v>
      </c>
      <c r="AU19">
        <f>AF18*(1-p_recur_Stroke-T18*p_MI-H18*rr_Stroke)*I18 + AG18*(1-p_recur_Stroke-T18*p_MI-H18*rr_Stroke)*I18 + AT18*(1-p_recur_Stroke-AC18*p_MI-H18*rr_Stroke*rr_DM) + AU18*(1-p_recur_Stroke-AC18*p_MI-H18*rr_Stroke*rr_DM)</f>
        <v>1.5038025599922969E-2</v>
      </c>
      <c r="AV19">
        <f>AR18*AC18*p_MI*p_MI_rec_mid + AD18*T18*p_MI*p_MI_rec_mid*I18 + AE18*T18*p_MI*p_MI_rec_mid*I18 +AH18*(PREV_FEMALE*p_recur_MI_F + (1-PREV_FEMALE)*p_recur_MI_M)*p_MI_rec_mid*I18 + AI18*(PREV_FEMALE*p_recur_MI_F + (1-PREV_FEMALE)*p_recur_MI_M)*p_MI_rec_mid*I18 + AS18*AC18*p_MI*p_MI_rec_mid + AV18*(PREV_FEMALE*p_recur_MI_F + (1-PREV_FEMALE)*p_recur_MI_M)*p_MI_rec_mid + AW18*(PREV_FEMALE*p_recur_MI_F + (1-PREV_FEMALE)*p_recur_MI_M)*p_MI_rec_mid</f>
        <v>2.4633700833943941E-3</v>
      </c>
      <c r="AW19">
        <f>AH18*(1-(PREV_FEMALE*p_recur_MI_F + (1-PREV_FEMALE)*p_recur_MI_M) - T18*p_Stroke - p_toHF_mid - H18*rr_MI)*I18 + AI18*(1-(PREV_FEMALE*p_recur_MI_F + (1-PREV_FEMALE)*p_recur_MI_M) - T18*p_Stroke - p_toHF_mid - H18*rr_MI)*I18 + AV18*(1-(PREV_FEMALE*p_recur_MI_F + (1-PREV_FEMALE)*p_recur_MI_M) - AC18*p_Stroke - p_toHF_mid - H18*rr_MI*rr_DM) + AW18*(1-(PREV_FEMALE*p_recur_MI_F + (1-PREV_FEMALE)*p_recur_MI_M) - AC18*p_Stroke - p_toHF_mid - H18*rr_MI*rr_DM)</f>
        <v>1.1127751081498834E-2</v>
      </c>
      <c r="AX19">
        <f>AH18*T18*p_Stroke*p_Stroke_rec*I18 + AI18*T18*p_Stroke*p_Stroke_rec*I18 + AJ18*p_recur_Stroke*p_Stroke_rec*I18 + AK18*p_recur_Stroke*p_Stroke_rec*I18 + AL18*p_recur_Stroke*p_Stroke_rec*I18 + AV18*AC18*p_Stroke*p_Stroke_rec + AW18*AC18*p_Stroke*p_Stroke_rec + AX18*p_recur_Stroke*p_Stroke_rec + AY18*p_recur_Stroke*p_Stroke_rec + AZ18*p_recur_Stroke*p_Stroke_rec</f>
        <v>1.196573710501358E-4</v>
      </c>
      <c r="AY19">
        <f>AF18*T18*p_MI*p_MI_rec_mid*I18 + AG18*T18*p_MI*p_MI_rec_mid*I18 + AJ18*(PREV_FEMALE*p_recur_MI_F+(1-PREV_FEMALE)*p_recur_MI_M)*p_MI_rec_mid*I18 + AK18*(PREV_FEMALE*p_recur_MI_F+(1-PREV_FEMALE)*p_recur_MI_M)*p_MI_rec_mid*I18 + AL18*(PREV_FEMALE*p_recur_MI_F+(1-PREV_FEMALE)*p_recur_MI_M)*p_MI_rec_mid*I18 + AT18*AC18*p_MI*p_MI_rec_mid + AU18*AC18*p_MI*p_MI_rec_mid + AX18*(PREV_FEMALE*p_recur_MI_F+(1-PREV_FEMALE)*p_recur_MI_M)*p_MI_rec_mid + AY18*(PREV_FEMALE*p_recur_MI_F+(1-PREV_FEMALE)*p_recur_MI_M)*p_MI_rec_mid + AZ18*(PREV_FEMALE*p_recur_MI_F+(1-PREV_FEMALE)*p_recur_MI_M)*p_MI_rec_mid</f>
        <v>9.9231081216547606E-5</v>
      </c>
      <c r="AZ19">
        <f>AJ18*(1-p_recur_Stroke-(PREV_FEMALE*p_recur_MI_F + (1-PREV_FEMALE)*p_recur_MI_M) - p_toHF_mid - H18*rr_MI*rr_Stroke)*I18 + AK18*(1-p_recur_Stroke-(PREV_FEMALE*p_recur_MI_F + (1-PREV_FEMALE)*p_recur_MI_M) - p_toHF_mid - H18*rr_MI*rr_Stroke)*I18 + AL18*(1-p_recur_Stroke-(PREV_FEMALE*p_recur_MI_F + (1-PREV_FEMALE)*p_recur_MI_M) - p_toHF_mid - H18*rr_MI*rr_Stroke)*I18 + AX18*(1-p_recur_Stroke-(PREV_FEMALE*p_recur_MI_F + (1-PREV_FEMALE)*p_recur_MI_M) - p_toHF_mid - H18*rr_MI*rr_Stroke*rr_DM) + AY18*(1-p_recur_Stroke-(PREV_FEMALE*p_recur_MI_F + (1-PREV_FEMALE)*p_recur_MI_M) - p_toHF_mid - H18*rr_MI*rr_Stroke*rr_DM) + AZ18*(1-p_recur_Stroke-(PREV_FEMALE*p_recur_MI_F + (1-PREV_FEMALE)*p_recur_MI_M) - p_toHF_mid - H18*rr_MI*rr_Stroke*rr_DM)</f>
        <v>3.59016163709714E-4</v>
      </c>
      <c r="BA19">
        <f>AR18*AC18*p_MI*p_MI_HF_mid + AD18*T18*p_MI*p_MI_HF_mid*I18 + AE18*T18*p_MI*p_MI_HF_mid*I18 + AH18*p_toHF_mid*I18 + AH18*(PREV_FEMALE*p_recur_MI_F + (1-PREV_FEMALE)*p_recur_MI_M)*p_MI_HF_mid*I18 + AI18*p_toHF_mid*I18 + AI18*(PREV_FEMALE*p_recur_MI_F + (1-PREV_FEMALE)*p_recur_MI_M)*p_MI_HF_mid*I18 + AS18*AC18*p_MI*p_MI_HF_mid + AV18*(PREV_FEMALE*p_recur_MI_F + (1-PREV_FEMALE)*p_recur_MI_M)*p_MI_HF_mid + AV18*p_toHF_mid + AW18*(PREV_FEMALE*p_recur_MI_F + (1-PREV_FEMALE)*p_recur_MI_M)*p_MI_HF_mid + AW18*p_toHF_mid</f>
        <v>9.3169740276855559E-4</v>
      </c>
      <c r="BB19">
        <f>AM18*(1-T18*p_Stroke - H18*rr_HF)*I18 + AN18*(1-T18*p_Stroke - H18*rr_HF)*I18 + BA18*(1-AC18*p_Stroke - H18*rr_HF*rr_DM) + BB18*(1-AC18*p_Stroke - H18*rr_HF*rr_DM)</f>
        <v>5.4937205999861724E-3</v>
      </c>
      <c r="BC19">
        <f>AF18*T18*p_MI*p_MI_HF_mid*I18 + AG18*T18*p_MI*p_MI_HF_mid*I18 + AJ18*(PREV_FEMALE*p_recur_MI_F + (1-PREV_FEMALE)*p_recur_MI_M)*p_MI_HF_mid*I18 + AJ18*p_toHF_mid*I18 + AK18*(PREV_FEMALE*p_recur_MI_F + (1-PREV_FEMALE)*p_recur_MI_M)*p_MI_HF_mid*I18 + AK18*p_toHF_mid*I18 + AL18*(PREV_FEMALE*p_recur_MI_F + (1-PREV_FEMALE)*p_recur_MI_M)*p_MI_HF_mid*I18 + AL18*p_toHF_mid*I18 + AT18*AC18*p_MI*p_MI_HF_mid + AU18*AC18*p_MI*p_MI_HF_mid + AX18*(PREV_FEMALE*p_recur_MI_F + (1-PREV_FEMALE)*p_recur_MI_M)*p_MI_HF_mid + AX18*p_toHF_mid + AY18*(PREV_FEMALE*p_recur_MI_F + (1-PREV_FEMALE)*p_recur_MI_M)*p_MI_HF_mid + AY18*p_toHF_mid + AZ18*(PREV_FEMALE*p_recur_MI_F + (1-PREV_FEMALE)*p_recur_MI_M)*p_MI_HF_mid + AZ18*p_toHF_mid</f>
        <v>3.6884314862591926E-5</v>
      </c>
      <c r="BD19">
        <f>AM18*T18*p_Stroke*p_Stroke_rec*I18 + AN18*T18*p_Stroke*p_Stroke_rec*I18 + AO18*(p_recur_Stroke*p_Stroke_rec)*I18 + AP18*(p_recur_Stroke*p_Stroke_rec)*I18 + AQ18*(p_recur_Stroke*p_Stroke_rec)*I18 + BA18*AC18*p_Stroke*p_Stroke_rec + BB18*AC18*p_Stroke*p_Stroke_rec + BC18*(p_recur_Stroke*p_Stroke_rec) + BD18*(p_recur_Stroke*p_Stroke_rec) + BE18*(p_recur_Stroke*p_Stroke_rec)</f>
        <v>5.1452911540634527E-5</v>
      </c>
      <c r="BE19">
        <f>AO18*(1-p_recur_Stroke - H18*rr_Stroke*rr_HF)*I18 + AP18*(1-p_recur_Stroke-H18*rr_Stroke*rr_HF)*I18 + AQ18*(1-p_recur_Stroke-H18*rr_Stroke*rr_HF)*I18 + BC18*(1-p_recur_Stroke - H18*rr_Stroke*rr_HF*rr_DM) + BD18*(1-p_recur_Stroke-H18*rr_Stroke*rr_HF*rr_DM) + BE18*(1-p_recur_Stroke-H18*rr_Stroke*rr_HF*rr_DM)</f>
        <v>1.6953031785094124E-4</v>
      </c>
      <c r="BF19">
        <f>AD18*H18 + AE18*H18*rr_Other + AF18*H18*rr_Stroke + AG18*H18*rr_Stroke + AH18*H18*rr_MI + AI18*H18*rr_MI + AJ18*H18*rr_Stroke*rr_MI + AK18*H18*rr_Stroke*rr_MI + AL18*H18*rr_Stroke*rr_MI + AM18*H18*rr_HF + AN18*H18*rr_HF + AO18*H18*rr_Stroke*rr_HF + AP18*H18*rr_Stroke*rr_HF + AR18*H18*rr_DM + AS18*H18*rr_DM*rr_Other + AT18*H18*rr_DM*rr_Stroke + AU18*H18*rr_DM*rr_Stroke + AV18*H18*rr_DM*rr_MI + AW18*H18*rr_DM*rr_MI + AX18*H18*rr_DM*rr_Stroke*rr_MI + AY18*H18*rr_DM*rr_Stroke*rr_MI + AZ18*H18*rr_DM*rr_Stroke*rr_MI + BA18*H18*rr_DM*rr_HF + BB18*H18*rr_DM*rr_HF + BC18*H18*rr_DM*rr_Stroke*rr_HF + BD18*H18*rr_DM*rr_Stroke*rr_HF + AQ18*H18*rr_Stroke*rr_HF + BE18*H18*rr_DM*rr_Stroke*rr_HF
+ AD18*T18*p_MI*p_MI_mort + AD18*T18*p_Stroke*p_Stroke_mort + AE18*T18*p_MI*p_MI_mort + AE18*T18*p_Stroke*p_Stroke_mort + AF18*T18*p_MI*p_MI_mort + AF18*p_recur_Stroke*p_Stroke_mort + AG18*T18*p_MI*p_MI_mort + AG18*p_recur_Stroke*p_Stroke_mort + AH18*(PREV_FEMALE*p_recur_MI_F + (1-PREV_FEMALE)*p_recur_MI_M)*p_MI_mort + AH18*T18*p_Stroke*p_Stroke_mort + AI18*(PREV_FEMALE*p_recur_MI_F + (1-PREV_FEMALE)*p_recur_MI_M)*p_MI_mort + AI18*T18*p_Stroke*p_Stroke_mort + AJ18*(PREV_FEMALE*p_recur_MI_F + (1-PREV_FEMALE)*p_recur_MI_M)*p_MI_mort + AJ18*p_recur_Stroke*p_Stroke_mort + AK18*(PREV_FEMALE*p_recur_MI_F + (1-PREV_FEMALE)*p_recur_MI_M)*p_MI_mort + AK18*p_recur_Stroke*p_Stroke_mort + AL18*(PREV_FEMALE*p_recur_MI_F + (1-PREV_FEMALE)*p_recur_MI_M)*p_MI_mort + AL18*p_recur_Stroke*p_Stroke_mort + AM18*T18*p_Stroke*p_Stroke_mort + AN18*T18*p_Stroke*p_Stroke_mort + AO18*p_recur_Stroke*p_Stroke_mort + AP18*p_recur_Stroke*p_Stroke_mort + AQ18*p_recur_Stroke*p_Stroke_mort
+ AR18*AC18*p_MI*p_MI_mort + AR18*AC18*p_Stroke*p_Stroke_mort + AS18*AC18*p_MI*p_MI_mort + AS18*AC18*p_Stroke*p_Stroke_mort + AT18*AC18*p_MI*p_MI_mort + AT18*p_recur_Stroke*p_Stroke_mort + AU18*AC18*p_MI*p_MI_mort + AU18*p_recur_Stroke*p_Stroke_mort + AV18*(PREV_FEMALE*p_recur_MI_F + (1-PREV_FEMALE)*p_recur_MI_M)*p_MI_mort + AV18*AC18*p_Stroke*p_Stroke_mort + AW18*(PREV_FEMALE*p_recur_MI_F + (1-PREV_FEMALE)*p_recur_MI_M)*p_MI_mort + AW18*AC18*p_Stroke*p_Stroke_mort + AX18*(PREV_FEMALE*p_recur_MI_F + (1-PREV_FEMALE)*p_recur_MI_M)*p_MI_mort + AX18*p_recur_Stroke*p_Stroke_mort + AY18*(PREV_FEMALE*p_recur_MI_F + (1-PREV_FEMALE)*p_recur_MI_M)*p_MI_mort + AY18*p_recur_Stroke*p_Stroke_mort + AZ18*(PREV_FEMALE*p_recur_MI_F + (1-PREV_FEMALE)*p_recur_MI_M)*p_MI_mort + AZ18*p_recur_Stroke*p_Stroke_mort + BA18*AC18*p_Stroke*p_Stroke_mort + BB18*AC18*p_Stroke*p_Stroke_mort + BC18*p_recur_Stroke*p_Stroke_mort + BD18*p_recur_Stroke*p_Stroke_mort + BE18*p_recur_Stroke*p_Stroke_mort
+BF18</f>
        <v>8.575645298225236E-2</v>
      </c>
      <c r="BG19">
        <f t="shared" si="17"/>
        <v>0.94700000000000017</v>
      </c>
      <c r="BH19">
        <f>(0.9442 - 0.0007*$B19 - dis_BMI*($C19-21.75))*AD19</f>
        <v>0.29164556684504545</v>
      </c>
      <c r="BI19">
        <f>0.959*(0.9442 - 0.0007*$B19 - dis_BMI*($C19-21.75))*AE19</f>
        <v>2.416016286320893E-2</v>
      </c>
      <c r="BJ19">
        <f>(0.943*(0.9442 - 0.0007*$B19 - dis_BMI*($C19-21.75)) - 0.19*0.5)*AF19</f>
        <v>1.5506636613450773E-3</v>
      </c>
      <c r="BK19">
        <f>(0.943*(0.9442 - 0.0007*$B19 - dis_BMI*($C19-21.75)))*AG19</f>
        <v>6.9303468562366497E-3</v>
      </c>
      <c r="BL19">
        <f>(0.955*(0.9442 - 0.0007*$B19 - dis_BMI*($C19-21.75)) - 0.15*0.5)*AH19</f>
        <v>9.1747677255782031E-4</v>
      </c>
      <c r="BM19">
        <f>(0.955*(0.9442 - 0.0007*$B19 - dis_BMI*($C19-21.75)))*AI19</f>
        <v>5.1221050282085415E-3</v>
      </c>
      <c r="BN19">
        <f>(0.955*0.943*(0.9442 - 0.0007*$B19 - dis_BMI*($C19-21.75)) - 0.19*0.5)*AJ19</f>
        <v>2.6909800328385025E-5</v>
      </c>
      <c r="BO19">
        <f>(0.955*0.943*(0.9442 - 0.0007*$B19 - dis_BMI*($C19-21.75)) - 0.15*0.5)*AK19</f>
        <v>2.2530232960964324E-5</v>
      </c>
      <c r="BP19">
        <f>(0.955*0.943*(0.9442 - 0.0007*$B19 - dis_BMI*($C19-21.75)))*AL19</f>
        <v>1.007742325292972E-4</v>
      </c>
      <c r="BQ19">
        <f>(0.93*(0.9442 - 0.0007*$B19 - dis_BMI*($C19-21.75)))*AM19</f>
        <v>3.9053543568565467E-4</v>
      </c>
      <c r="BR19">
        <f>(0.93*(0.9442 - 0.0007*$B19 - dis_BMI*($C19-21.75)))*AN19</f>
        <v>2.5723665401041693E-3</v>
      </c>
      <c r="BS19">
        <f>(0.93*0.943*(0.9442 - 0.0007*$B19 - dis_BMI*($C19-21.75)))*AO19</f>
        <v>9.436514573374417E-6</v>
      </c>
      <c r="BT19">
        <f>(0.93*0.943*(0.9442 - 0.0007*$B19 - dis_BMI*($C19-21.75))-0.19*0.5)*AP19</f>
        <v>1.170660529605743E-5</v>
      </c>
      <c r="BU19">
        <f>(0.93*0.943*(0.9442 - 0.0007*$B19 - dis_BMI*($C19-21.75)))*AQ19</f>
        <v>4.8430587546269736E-5</v>
      </c>
      <c r="BV19">
        <f>0.962*(0.9442 - 0.0007*$B19 - dis_BMI*($C19-21.75))*AR19</f>
        <v>0.30952070049059477</v>
      </c>
      <c r="BW19">
        <f>0.962*0.959*(0.9442 - 0.0007*$B19 - dis_BMI*($C19-21.75))*AS19</f>
        <v>3.9962579133798096E-2</v>
      </c>
      <c r="BX19">
        <f>0.962*(0.943*(0.9442 - 0.0007*$B19 - dis_BMI*($C19-21.75)) - 0.19*0.5)*AT19</f>
        <v>2.8630612303638683E-3</v>
      </c>
      <c r="BY19">
        <f>0.962*(0.943*(0.9442 - 0.0007*$B19 - dis_BMI*($C19-21.75)))*AU19</f>
        <v>1.1645390911757789E-2</v>
      </c>
      <c r="BZ19">
        <f>0.962*(0.955*(0.9442 - 0.0007*$B19 - dis_BMI*($C19-21.75)) - 0.15*0.5)*AV19</f>
        <v>1.754167629753056E-3</v>
      </c>
      <c r="CA19">
        <f>0.962*(0.955*(0.9442 - 0.0007*$B19 - dis_BMI*($C19-21.75)))*AW19</f>
        <v>8.7269468868240354E-3</v>
      </c>
      <c r="CB19">
        <f>0.962*(0.955*0.943*(0.9442 - 0.0007*$B19 - dis_BMI*($C19-21.75)) - 0.19*0.5)*AX19</f>
        <v>7.7556934537614721E-5</v>
      </c>
      <c r="CC19">
        <f>0.962*(0.955*0.943*(0.9442 - 0.0007*$B19 - dis_BMI*($C19-21.75)) - 0.15*0.5)*AY19</f>
        <v>6.6226668457835362E-5</v>
      </c>
      <c r="CD19">
        <f>0.962*(0.955*0.943*(0.9442 - 0.0007*$B19 - dis_BMI*($C19-21.75)))*AZ19</f>
        <v>2.655098425559228E-4</v>
      </c>
      <c r="CE19">
        <f>0.962*(0.93*(0.9442 - 0.0007*$B19 - dis_BMI*($C19-21.75)))*BA19</f>
        <v>7.1155650341496685E-4</v>
      </c>
      <c r="CF19">
        <f>0.962*(0.93*(0.9442 - 0.0007*$B19 - dis_BMI*($C19-21.75)))*BB19</f>
        <v>4.1956676161691506E-3</v>
      </c>
      <c r="CG19">
        <f>0.962*(0.93*0.943*(0.9442 - 0.0007*$B19 - dis_BMI*($C19-21.75)))*BC19</f>
        <v>2.6563660493647534E-5</v>
      </c>
      <c r="CH19">
        <f>0.962*(0.93*0.943*(0.9442 - 0.0007*$B19 - dis_BMI*($C19-21.75))-0.19*0.5)*BD19</f>
        <v>3.235351513078809E-5</v>
      </c>
      <c r="CI19">
        <f>0.962*(0.93*0.943*(0.9442 - 0.0007*$B19 - dis_BMI*($C19-21.75)))*BE19</f>
        <v>1.2209379036995076E-4</v>
      </c>
      <c r="CJ19">
        <f t="shared" si="18"/>
        <v>0</v>
      </c>
      <c r="CK19">
        <f t="shared" si="19"/>
        <v>0.71347938678984801</v>
      </c>
      <c r="CL19">
        <f>CK19/(1+r_)^A19</f>
        <v>0.44461676566247371</v>
      </c>
      <c r="CM19">
        <f>AD19*c_BN_2</f>
        <v>715.75257600582415</v>
      </c>
      <c r="CN19">
        <f>AE19*(c_Other+c_BN_2)</f>
        <v>483.23629901094404</v>
      </c>
      <c r="CO19">
        <f>AF19*(c_Stroke1+c_Stroke2+c_BN_2)</f>
        <v>56.591625220637148</v>
      </c>
      <c r="CP19">
        <f>AG19*(c_Stroke2 + c_BN_2)</f>
        <v>73.996754589105166</v>
      </c>
      <c r="CQ19">
        <f>AH19*(c_MI1+c_MI2 + c_BN_2)</f>
        <v>38.727828717872733</v>
      </c>
      <c r="CR19">
        <f>AI19*(c_MI2+c_BN_2)</f>
        <v>32.747113717818046</v>
      </c>
      <c r="CS19">
        <f>AJ19*(c_Stroke1+c_Stroke2+c_MI2+c_BN_2)</f>
        <v>1.1593684654955307</v>
      </c>
      <c r="CT19">
        <f>AK19*(c_Stroke2+c_MI1+c_MI2+c_BN_2)</f>
        <v>1.2258194415718857</v>
      </c>
      <c r="CU19">
        <f>AL19*(c_Stroke2+c_MI2+c_BN_2)</f>
        <v>1.5352850178382604</v>
      </c>
      <c r="CV19">
        <f>AM19*(c_HF1+c_BN_2)</f>
        <v>14.327385447104829</v>
      </c>
      <c r="CW19">
        <f>AN19*(c_HF2+c_BN_2)</f>
        <v>57.35175112674569</v>
      </c>
      <c r="CX19">
        <f>AO19*(c_Stroke2+c_HF1+c_BN_2)</f>
        <v>0.44905068143980109</v>
      </c>
      <c r="CY19">
        <f>AP19*(c_Stroke1+c_Stroke2+c_HF2+c_BN_2)</f>
        <v>0.74354975265348033</v>
      </c>
      <c r="CZ19">
        <f>AQ19*(c_Stroke2+c_HF2+c_BN_2)</f>
        <v>1.5655393048567583</v>
      </c>
      <c r="DA19">
        <f>AR19*(c_DM+c_BN_2)</f>
        <v>5095.8288385331562</v>
      </c>
      <c r="DB19">
        <f>AS19*(c_Other+c_DM+c_BN_2)</f>
        <v>1410.6280540853963</v>
      </c>
      <c r="DC19">
        <f>AT19*(c_Stroke1+c_Stroke2+c_DM+c_BN_2)</f>
        <v>156.50698831108321</v>
      </c>
      <c r="DD19">
        <f>AU19*(c_Stroke2+c_DM+c_BN_2)</f>
        <v>301.06127251045785</v>
      </c>
      <c r="DE19">
        <f>AV19*(c_MI1+c_MI2+c_DM+c_BN_2)</f>
        <v>105.11446482852219</v>
      </c>
      <c r="DF19">
        <f>AW19*(c_MI2+c_DM+c_BN_2)</f>
        <v>185.13239474289608</v>
      </c>
      <c r="DG19">
        <f>AX19*(c_Stroke1+c_Stroke2+c_MI2+c_DM+c_BN_2)</f>
        <v>4.8404996310911432</v>
      </c>
      <c r="DH19">
        <f>AY19*(c_Stroke2+c_MI1+c_MI2+c_DM+c_BN_2)</f>
        <v>4.8792914944988626</v>
      </c>
      <c r="DI19">
        <f>AZ19*(c_Stroke2+c_MI2+c_DM+c_BN_2)</f>
        <v>8.3065569797516527</v>
      </c>
      <c r="DJ19">
        <f>BA19*(c_HF1+c_DM+c_BN_2)</f>
        <v>37.780329682264927</v>
      </c>
      <c r="DK19">
        <f>BB19*(c_HF2+c_DM+c_BN_2)</f>
        <v>160.00461247459728</v>
      </c>
      <c r="DL19">
        <f>BC19*(c_Stroke2+c_HF1+c_DM+c_BN_2)</f>
        <v>1.73540701428495</v>
      </c>
      <c r="DM19">
        <f>BD19*(c_Stroke1+c_Stroke2+c_HF2+c_DM+c_BN_2)</f>
        <v>2.7239685898727326</v>
      </c>
      <c r="DN19">
        <f>BE19*(c_Stroke2+c_HF2+c_DM+c_BN_2)</f>
        <v>6.0395175734397819</v>
      </c>
      <c r="DO19">
        <f t="shared" si="5"/>
        <v>0</v>
      </c>
      <c r="DP19">
        <f t="shared" si="38"/>
        <v>8959.9921429512196</v>
      </c>
      <c r="DQ19">
        <f>DP19/(1+r_)^A19</f>
        <v>5583.5708791591851</v>
      </c>
    </row>
    <row r="20" spans="1:121" x14ac:dyDescent="0.3">
      <c r="A20">
        <v>17</v>
      </c>
      <c r="B20">
        <v>62</v>
      </c>
      <c r="C20">
        <f t="shared" si="39"/>
        <v>36.251999999999995</v>
      </c>
      <c r="D20">
        <f t="shared" si="1"/>
        <v>125</v>
      </c>
      <c r="E20">
        <f t="shared" si="40"/>
        <v>5.7</v>
      </c>
      <c r="F20">
        <v>7.8600000000000007E-3</v>
      </c>
      <c r="G20">
        <v>1.3310000000000001E-2</v>
      </c>
      <c r="H20">
        <f t="shared" si="3"/>
        <v>8.9499999999999996E-3</v>
      </c>
      <c r="I20">
        <f t="shared" si="20"/>
        <v>4.7655426853004217E-2</v>
      </c>
      <c r="J20">
        <f t="shared" si="21"/>
        <v>0.17975922068194017</v>
      </c>
      <c r="K20">
        <f t="shared" si="22"/>
        <v>0.24233781584161174</v>
      </c>
      <c r="L20">
        <f t="shared" si="23"/>
        <v>8.9541954913408217E-2</v>
      </c>
      <c r="M20">
        <f t="shared" si="24"/>
        <v>0.12311247069651565</v>
      </c>
      <c r="N20">
        <f t="shared" si="25"/>
        <v>0.38841474797772468</v>
      </c>
      <c r="O20">
        <f t="shared" si="26"/>
        <v>0.50080972907069921</v>
      </c>
      <c r="P20">
        <f t="shared" si="27"/>
        <v>0.21483610918146734</v>
      </c>
      <c r="Q20">
        <f t="shared" si="28"/>
        <v>0.28947380514652099</v>
      </c>
      <c r="R20">
        <f>IF(C20&lt;25, HT_f_low, IF(C20&lt;30, HT_f_mod, HT_f_high))</f>
        <v>0.42</v>
      </c>
      <c r="S20">
        <f>IF(C20&lt;25, HT_m_low, IF(C20&lt;30, HT_m_mod, HT_m_high))</f>
        <v>0.43099999999999999</v>
      </c>
      <c r="T20">
        <f>PREV_FEMALE*PREV_SMOKE*(1-$R20)*(1-EXP(-J20/10))+PREV_FEMALE*PREV_SMOKE*$R20*(1-EXP(-K20/10))+PREV_FEMALE*(1-PREV_SMOKE)*(1-$R20)*(1-EXP(-L20/10))+PREV_FEMALE*(1-PREV_SMOKE)*$R20*(1-EXP(-M20/10))+(1-PREV_FEMALE)*PREV_SMOKE*(1-$S20)*(1-EXP(-N20/10))+(1-PREV_FEMALE)*PREV_SMOKE*$S20*(1-EXP(-O20/10))+(1-PREV_FEMALE)*(1-PREV_SMOKE)*(1-$S20)*(1-EXP(-P20/10))+(1-PREV_FEMALE)*(1-PREV_SMOKE)*$S20*(1-EXP(-Q20/10))</f>
        <v>1.4592099596938095E-2</v>
      </c>
      <c r="U20">
        <f t="shared" si="29"/>
        <v>0.35030449640743888</v>
      </c>
      <c r="V20">
        <f t="shared" si="30"/>
        <v>0.45335953962540765</v>
      </c>
      <c r="W20">
        <f t="shared" si="31"/>
        <v>0.18466316227187718</v>
      </c>
      <c r="X20">
        <f t="shared" si="32"/>
        <v>0.24867416518220675</v>
      </c>
      <c r="Y20">
        <f t="shared" si="33"/>
        <v>0.56686431240508295</v>
      </c>
      <c r="Z20">
        <f t="shared" si="34"/>
        <v>0.69341303046067182</v>
      </c>
      <c r="AA20">
        <f t="shared" si="35"/>
        <v>0.33738855298333714</v>
      </c>
      <c r="AB20">
        <f t="shared" si="36"/>
        <v>0.44096261182310292</v>
      </c>
      <c r="AC20">
        <f>PREV_FEMALE*PREV_SMOKE*(1-$R20)*(1-EXP(-U20/10))+PREV_FEMALE*PREV_SMOKE*$R20*(1-EXP(-V20/10))+PREV_FEMALE*(1-PREV_SMOKE)*(1-$R20)*(1-EXP(-W20/10))+PREV_FEMALE*(1-PREV_SMOKE)*$R20*(1-EXP(-X20/10))+(1-PREV_FEMALE)*PREV_SMOKE*(1-$S20)*(1-EXP(-Y20/10))+(1-PREV_FEMALE)*PREV_SMOKE*$S20*(1-EXP(-Z20/10))+(1-PREV_FEMALE)*(1-PREV_SMOKE)*(1-$S20)*(1-EXP(-AA20/10))+(1-PREV_FEMALE)*(1-PREV_SMOKE)*$S20*(1-EXP(-AB20/10))</f>
        <v>2.6570547024293737E-2</v>
      </c>
      <c r="AD20">
        <f t="shared" si="37"/>
        <v>0.31806248110542373</v>
      </c>
      <c r="AE20">
        <f t="shared" si="6"/>
        <v>2.9983270561644199E-2</v>
      </c>
      <c r="AF20">
        <f t="shared" si="7"/>
        <v>2.1820006416044275E-3</v>
      </c>
      <c r="AG20">
        <f t="shared" si="8"/>
        <v>8.7420539535892315E-3</v>
      </c>
      <c r="AH20">
        <f>AD19*T19*p_MI*p_MI_rec_mid*(1-I19)+AE19*T19*p_MI*p_MI_rec_mid*(1-I19) + AH19*(PREV_FEMALE*p_recur_MI_F + (1-PREV_FEMALE)*p_recur_MI_M)*p_MI_rec_mid*(1-I19) + AI19*(PREV_FEMALE*p_recur_MI_F + (1-PREV_FEMALE)*p_recur_MI_M)*p_MI_rec_mid*(1-I19)</f>
        <v>1.2231386939980445E-3</v>
      </c>
      <c r="AI20">
        <f>AH19*(1-(PREV_FEMALE*p_recur_MI_F + (1-PREV_FEMALE)*p_recur_MI_M) - T19*p_Stroke - p_toHF_mid - H19*rr_MI)*(1-I19) + AI19*(1-(PREV_FEMALE*p_recur_MI_F + (1-PREV_FEMALE)*p_recur_MI_M) - T19*p_Stroke - p_toHF_mid - H19*rr_MI)*(1-I19)</f>
        <v>6.2923569581196208E-3</v>
      </c>
      <c r="AJ20">
        <f t="shared" si="11"/>
        <v>4.2619982536006704E-5</v>
      </c>
      <c r="AK20">
        <f>AF19*T19*p_MI*p_MI_rec_mid*(1-I19) + AG19*T19*p_MI*p_MI_rec_mid*(1-I19) + AJ19*(PREV_FEMALE*p_recur_MI_F + (1-PREV_FEMALE)*p_recur_MI_M)*p_MI_rec_mid*(1-I19) + AK19*(PREV_FEMALE*p_recur_MI_F + (1-PREV_FEMALE)*p_recur_MI_M)*p_MI_rec_mid*(1-I19) + AL19*(PREV_FEMALE*p_recur_MI_F + (1-PREV_FEMALE)*p_recur_MI_M)*p_MI_rec_mid*(1-I19)</f>
        <v>3.4756073956994924E-5</v>
      </c>
      <c r="AL20">
        <f>AJ19*(1-p_recur_Stroke-(PREV_FEMALE*p_recur_MI_F + (1-PREV_FEMALE)*p_recur_MI_M) - p_toHF_mid - H19*rr_MI*rr_Stroke)*(1-I19) + AK19*(1-p_recur_Stroke-(PREV_FEMALE*p_recur_MI_F + (1-PREV_FEMALE)*p_recur_MI_M) - p_toHF_mid - H19*rr_MI*rr_Stroke)*(1-I19) + AL19*(1-p_recur_Stroke-(PREV_FEMALE*p_recur_MI_F + (1-PREV_FEMALE)*p_recur_MI_M) - p_toHF_mid - H19*rr_MI*rr_Stroke)*(1-I19)</f>
        <v>1.4208159573610252E-4</v>
      </c>
      <c r="AM20">
        <f>AD19*T19*p_MI*p_MI_HF_mid*(1-I19) + AE19*T19*p_MI*p_MI_HF_mid*(1-I19) + AH19*p_toHF_mid*(1-I19) + AH19*(PREV_FEMALE*p_recur_MI_F + (1-PREV_FEMALE)*p_recur_MI_M)*p_MI_HF_mid*(1-I19) + AI19*p_toHF_mid*(1-I19) + AI19*(PREV_FEMALE*p_recur_MI_F + (1-PREV_FEMALE)*p_recur_MI_M)*p_MI_HF_mid*(1-I19)</f>
        <v>4.8899728013771448E-4</v>
      </c>
      <c r="AN20">
        <f t="shared" si="15"/>
        <v>3.4881886765372959E-3</v>
      </c>
      <c r="AO20">
        <f>AF19*T19*p_MI*p_MI_HF_mid*(1-I19) + AG19*T19*p_MI*p_MI_HF_mid*(1-I19) + AJ19*(PREV_FEMALE*p_recur_MI_F + (1-PREV_FEMALE)*p_recur_MI_M)*p_MI_HF_mid*(1-I19) + AJ19*p_toHF_mid*(1-I19) + AK19*(PREV_FEMALE*p_recur_MI_F + (1-PREV_FEMALE)*p_recur_MI_M)*p_MI_HF_mid*(1-I19) + AK19*p_toHF_mid*(1-I19) + AL19*(PREV_FEMALE*p_recur_MI_F + (1-PREV_FEMALE)*p_recur_MI_M)*p_MI_HF_mid*(1-I19) + AL19*p_toHF_mid*(1-I19)</f>
        <v>1.3592396215191529E-5</v>
      </c>
      <c r="AP20">
        <f>AM19*T19*p_Stroke*p_Stroke_rec*(1-I19) + AN19*T19*p_Stroke*p_Stroke_rec*(1-I19) + AO19*(p_recur_Stroke*p_Stroke_rec)*(1-I19) + AP19*(p_recur_Stroke*p_Stroke_rec)*(1-I19) + AQ19*(p_recur_Stroke*p_Stroke_rec)*(1-I19)</f>
        <v>2.0539845718714526E-5</v>
      </c>
      <c r="AQ20">
        <f>AO19*(1-p_recur_Stroke-H19*rr_Stroke*rr_HF)*(1-I19) + AP19*(1-p_recur_Stroke-H19*rr_Stroke*rr_HF)*(1-I19) + AQ19*(1-p_recur_Stroke-H19*rr_Stroke*rr_HF)*(1-I19)</f>
        <v>7.5425687988568246E-5</v>
      </c>
      <c r="AR20">
        <f>AR19*(1-AC19-H19*rr_DM) + AD19*(1-T19-H19)*I19</f>
        <v>0.37951745388965213</v>
      </c>
      <c r="AS20">
        <f>AR19*AC19*p_Other + AD19*T19*p_Other*I19 + AE19*(1-T19*p_Stroke-T19*p_MI-H19*rr_Other)*I19 + AS19*(1-AC19*p_Stroke-AC19*p_MI-H19*rr_Other*rr_DM)</f>
        <v>5.6028971130258981E-2</v>
      </c>
      <c r="AT20">
        <f>AR19*AC19*p_Stroke*p_Stroke_rec + AD19*T19*p_Stroke*p_Stroke_rec*I19 + AE19*T19*p_Stroke*p_Stroke_rec*I19 + AF19*p_recur_Stroke*p_Stroke_rec*I19 + AG19*p_recur_Stroke*p_Stroke_rec*I19 + AS19*AC19*p_Stroke*p_Stroke_rec + AT19*p_recur_Stroke*p_Stroke_rec + AU19*p_recur_Stroke*p_Stroke_rec</f>
        <v>4.5483145759953048E-3</v>
      </c>
      <c r="AU20">
        <f>AF19*(1-p_recur_Stroke-T19*p_MI-H19*rr_Stroke)*I19 + AG19*(1-p_recur_Stroke-T19*p_MI-H19*rr_Stroke)*I19 + AT19*(1-p_recur_Stroke-AC19*p_MI-H19*rr_Stroke*rr_DM) + AU19*(1-p_recur_Stroke-AC19*p_MI-H19*rr_Stroke*rr_DM)</f>
        <v>1.666671025990446E-2</v>
      </c>
      <c r="AV20">
        <f>AR19*AC19*p_MI*p_MI_rec_mid + AD19*T19*p_MI*p_MI_rec_mid*I19 + AE19*T19*p_MI*p_MI_rec_mid*I19 +AH19*(PREV_FEMALE*p_recur_MI_F + (1-PREV_FEMALE)*p_recur_MI_M)*p_MI_rec_mid*I19 + AI19*(PREV_FEMALE*p_recur_MI_F + (1-PREV_FEMALE)*p_recur_MI_M)*p_MI_rec_mid*I19 + AS19*AC19*p_MI*p_MI_rec_mid + AV19*(PREV_FEMALE*p_recur_MI_F + (1-PREV_FEMALE)*p_recur_MI_M)*p_MI_rec_mid + AW19*(PREV_FEMALE*p_recur_MI_F + (1-PREV_FEMALE)*p_recur_MI_M)*p_MI_rec_mid</f>
        <v>2.6403620246993435E-3</v>
      </c>
      <c r="AW20">
        <f>AH19*(1-(PREV_FEMALE*p_recur_MI_F + (1-PREV_FEMALE)*p_recur_MI_M) - T19*p_Stroke - p_toHF_mid - H19*rr_MI)*I19 + AI19*(1-(PREV_FEMALE*p_recur_MI_F + (1-PREV_FEMALE)*p_recur_MI_M) - T19*p_Stroke - p_toHF_mid - H19*rr_MI)*I19 + AV19*(1-(PREV_FEMALE*p_recur_MI_F + (1-PREV_FEMALE)*p_recur_MI_M) - AC19*p_Stroke - p_toHF_mid - H19*rr_MI*rr_DM) + AW19*(1-(PREV_FEMALE*p_recur_MI_F + (1-PREV_FEMALE)*p_recur_MI_M) - AC19*p_Stroke - p_toHF_mid - H19*rr_MI*rr_DM)</f>
        <v>1.2188931226203892E-2</v>
      </c>
      <c r="AX20">
        <f>AH19*T19*p_Stroke*p_Stroke_rec*I19 + AI19*T19*p_Stroke*p_Stroke_rec*I19 + AJ19*p_recur_Stroke*p_Stroke_rec*I19 + AK19*p_recur_Stroke*p_Stroke_rec*I19 + AL19*p_recur_Stroke*p_Stroke_rec*I19 + AV19*AC19*p_Stroke*p_Stroke_rec + AW19*AC19*p_Stroke*p_Stroke_rec + AX19*p_recur_Stroke*p_Stroke_rec + AY19*p_recur_Stroke*p_Stroke_rec + AZ19*p_recur_Stroke*p_Stroke_rec</f>
        <v>1.3954203446694339E-4</v>
      </c>
      <c r="AY20">
        <f>AF19*T19*p_MI*p_MI_rec_mid*I19 + AG19*T19*p_MI*p_MI_rec_mid*I19 + AJ19*(PREV_FEMALE*p_recur_MI_F+(1-PREV_FEMALE)*p_recur_MI_M)*p_MI_rec_mid*I19 + AK19*(PREV_FEMALE*p_recur_MI_F+(1-PREV_FEMALE)*p_recur_MI_M)*p_MI_rec_mid*I19 + AL19*(PREV_FEMALE*p_recur_MI_F+(1-PREV_FEMALE)*p_recur_MI_M)*p_MI_rec_mid*I19 + AT19*AC19*p_MI*p_MI_rec_mid + AU19*AC19*p_MI*p_MI_rec_mid + AX19*(PREV_FEMALE*p_recur_MI_F+(1-PREV_FEMALE)*p_recur_MI_M)*p_MI_rec_mid + AY19*(PREV_FEMALE*p_recur_MI_F+(1-PREV_FEMALE)*p_recur_MI_M)*p_MI_rec_mid + AZ19*(PREV_FEMALE*p_recur_MI_F+(1-PREV_FEMALE)*p_recur_MI_M)*p_MI_rec_mid</f>
        <v>1.1585365621686762E-4</v>
      </c>
      <c r="AZ20">
        <f>AJ19*(1-p_recur_Stroke-(PREV_FEMALE*p_recur_MI_F + (1-PREV_FEMALE)*p_recur_MI_M) - p_toHF_mid - H19*rr_MI*rr_Stroke)*I19 + AK19*(1-p_recur_Stroke-(PREV_FEMALE*p_recur_MI_F + (1-PREV_FEMALE)*p_recur_MI_M) - p_toHF_mid - H19*rr_MI*rr_Stroke)*I19 + AL19*(1-p_recur_Stroke-(PREV_FEMALE*p_recur_MI_F + (1-PREV_FEMALE)*p_recur_MI_M) - p_toHF_mid - H19*rr_MI*rr_Stroke)*I19 + AX19*(1-p_recur_Stroke-(PREV_FEMALE*p_recur_MI_F + (1-PREV_FEMALE)*p_recur_MI_M) - p_toHF_mid - H19*rr_MI*rr_Stroke*rr_DM) + AY19*(1-p_recur_Stroke-(PREV_FEMALE*p_recur_MI_F + (1-PREV_FEMALE)*p_recur_MI_M) - p_toHF_mid - H19*rr_MI*rr_Stroke*rr_DM) + AZ19*(1-p_recur_Stroke-(PREV_FEMALE*p_recur_MI_F + (1-PREV_FEMALE)*p_recur_MI_M) - p_toHF_mid - H19*rr_MI*rr_Stroke*rr_DM)</f>
        <v>4.2716232037986622E-4</v>
      </c>
      <c r="BA20">
        <f>AR19*AC19*p_MI*p_MI_HF_mid + AD19*T19*p_MI*p_MI_HF_mid*I19 + AE19*T19*p_MI*p_MI_HF_mid*I19 + AH19*p_toHF_mid*I19 + AH19*(PREV_FEMALE*p_recur_MI_F + (1-PREV_FEMALE)*p_recur_MI_M)*p_MI_HF_mid*I19 + AI19*p_toHF_mid*I19 + AI19*(PREV_FEMALE*p_recur_MI_F + (1-PREV_FEMALE)*p_recur_MI_M)*p_MI_HF_mid*I19 + AS19*AC19*p_MI*p_MI_HF_mid + AV19*(PREV_FEMALE*p_recur_MI_F + (1-PREV_FEMALE)*p_recur_MI_M)*p_MI_HF_mid + AV19*p_toHF_mid + AW19*(PREV_FEMALE*p_recur_MI_F + (1-PREV_FEMALE)*p_recur_MI_M)*p_MI_HF_mid + AW19*p_toHF_mid</f>
        <v>1.0086185368553483E-3</v>
      </c>
      <c r="BB20">
        <f>AM19*(1-T19*p_Stroke - H19*rr_HF)*I19 + AN19*(1-T19*p_Stroke - H19*rr_HF)*I19 + BA19*(1-AC19*p_Stroke - H19*rr_HF*rr_DM) + BB19*(1-AC19*p_Stroke - H19*rr_HF*rr_DM)</f>
        <v>6.448529547824336E-3</v>
      </c>
      <c r="BC20">
        <f>AF19*T19*p_MI*p_MI_HF_mid*I19 + AG19*T19*p_MI*p_MI_HF_mid*I19 + AJ19*(PREV_FEMALE*p_recur_MI_F + (1-PREV_FEMALE)*p_recur_MI_M)*p_MI_HF_mid*I19 + AJ19*p_toHF_mid*I19 + AK19*(PREV_FEMALE*p_recur_MI_F + (1-PREV_FEMALE)*p_recur_MI_M)*p_MI_HF_mid*I19 + AK19*p_toHF_mid*I19 + AL19*(PREV_FEMALE*p_recur_MI_F + (1-PREV_FEMALE)*p_recur_MI_M)*p_MI_HF_mid*I19 + AL19*p_toHF_mid*I19 + AT19*AC19*p_MI*p_MI_HF_mid + AU19*AC19*p_MI*p_MI_HF_mid + AX19*(PREV_FEMALE*p_recur_MI_F + (1-PREV_FEMALE)*p_recur_MI_M)*p_MI_HF_mid + AX19*p_toHF_mid + AY19*(PREV_FEMALE*p_recur_MI_F + (1-PREV_FEMALE)*p_recur_MI_M)*p_MI_HF_mid + AY19*p_toHF_mid + AZ19*(PREV_FEMALE*p_recur_MI_F + (1-PREV_FEMALE)*p_recur_MI_M)*p_MI_HF_mid + AZ19*p_toHF_mid</f>
        <v>4.3497303901319786E-5</v>
      </c>
      <c r="BD20">
        <f>AM19*T19*p_Stroke*p_Stroke_rec*I19 + AN19*T19*p_Stroke*p_Stroke_rec*I19 + AO19*(p_recur_Stroke*p_Stroke_rec)*I19 + AP19*(p_recur_Stroke*p_Stroke_rec)*I19 + AQ19*(p_recur_Stroke*p_Stroke_rec)*I19 + BA19*AC19*p_Stroke*p_Stroke_rec + BB19*AC19*p_Stroke*p_Stroke_rec + BC19*(p_recur_Stroke*p_Stroke_rec) + BD19*(p_recur_Stroke*p_Stroke_rec) + BE19*(p_recur_Stroke*p_Stroke_rec)</f>
        <v>6.4296052249369608E-5</v>
      </c>
      <c r="BE20">
        <f>AO19*(1-p_recur_Stroke - H19*rr_Stroke*rr_HF)*I19 + AP19*(1-p_recur_Stroke-H19*rr_Stroke*rr_HF)*I19 + AQ19*(1-p_recur_Stroke-H19*rr_Stroke*rr_HF)*I19 + BC19*(1-p_recur_Stroke - H19*rr_Stroke*rr_HF*rr_DM) + BD19*(1-p_recur_Stroke-H19*rr_Stroke*rr_HF*rr_DM) + BE19*(1-p_recur_Stroke-H19*rr_Stroke*rr_HF*rr_DM)</f>
        <v>2.164264282724605E-4</v>
      </c>
      <c r="BF20">
        <f>AD19*H19 + AE19*H19*rr_Other + AF19*H19*rr_Stroke + AG19*H19*rr_Stroke + AH19*H19*rr_MI + AI19*H19*rr_MI + AJ19*H19*rr_Stroke*rr_MI + AK19*H19*rr_Stroke*rr_MI + AL19*H19*rr_Stroke*rr_MI + AM19*H19*rr_HF + AN19*H19*rr_HF + AO19*H19*rr_Stroke*rr_HF + AP19*H19*rr_Stroke*rr_HF + AR19*H19*rr_DM + AS19*H19*rr_DM*rr_Other + AT19*H19*rr_DM*rr_Stroke + AU19*H19*rr_DM*rr_Stroke + AV19*H19*rr_DM*rr_MI + AW19*H19*rr_DM*rr_MI + AX19*H19*rr_DM*rr_Stroke*rr_MI + AY19*H19*rr_DM*rr_Stroke*rr_MI + AZ19*H19*rr_DM*rr_Stroke*rr_MI + BA19*H19*rr_DM*rr_HF + BB19*H19*rr_DM*rr_HF + BC19*H19*rr_DM*rr_Stroke*rr_HF + BD19*H19*rr_DM*rr_Stroke*rr_HF + AQ19*H19*rr_Stroke*rr_HF + BE19*H19*rr_DM*rr_Stroke*rr_HF
+ AD19*T19*p_MI*p_MI_mort + AD19*T19*p_Stroke*p_Stroke_mort + AE19*T19*p_MI*p_MI_mort + AE19*T19*p_Stroke*p_Stroke_mort + AF19*T19*p_MI*p_MI_mort + AF19*p_recur_Stroke*p_Stroke_mort + AG19*T19*p_MI*p_MI_mort + AG19*p_recur_Stroke*p_Stroke_mort + AH19*(PREV_FEMALE*p_recur_MI_F + (1-PREV_FEMALE)*p_recur_MI_M)*p_MI_mort + AH19*T19*p_Stroke*p_Stroke_mort + AI19*(PREV_FEMALE*p_recur_MI_F + (1-PREV_FEMALE)*p_recur_MI_M)*p_MI_mort + AI19*T19*p_Stroke*p_Stroke_mort + AJ19*(PREV_FEMALE*p_recur_MI_F + (1-PREV_FEMALE)*p_recur_MI_M)*p_MI_mort + AJ19*p_recur_Stroke*p_Stroke_mort + AK19*(PREV_FEMALE*p_recur_MI_F + (1-PREV_FEMALE)*p_recur_MI_M)*p_MI_mort + AK19*p_recur_Stroke*p_Stroke_mort + AL19*(PREV_FEMALE*p_recur_MI_F + (1-PREV_FEMALE)*p_recur_MI_M)*p_MI_mort + AL19*p_recur_Stroke*p_Stroke_mort + AM19*T19*p_Stroke*p_Stroke_mort + AN19*T19*p_Stroke*p_Stroke_mort + AO19*p_recur_Stroke*p_Stroke_mort + AP19*p_recur_Stroke*p_Stroke_mort + AQ19*p_recur_Stroke*p_Stroke_mort
+ AR19*AC19*p_MI*p_MI_mort + AR19*AC19*p_Stroke*p_Stroke_mort + AS19*AC19*p_MI*p_MI_mort + AS19*AC19*p_Stroke*p_Stroke_mort + AT19*AC19*p_MI*p_MI_mort + AT19*p_recur_Stroke*p_Stroke_mort + AU19*AC19*p_MI*p_MI_mort + AU19*p_recur_Stroke*p_Stroke_mort + AV19*(PREV_FEMALE*p_recur_MI_F + (1-PREV_FEMALE)*p_recur_MI_M)*p_MI_mort + AV19*AC19*p_Stroke*p_Stroke_mort + AW19*(PREV_FEMALE*p_recur_MI_F + (1-PREV_FEMALE)*p_recur_MI_M)*p_MI_mort + AW19*AC19*p_Stroke*p_Stroke_mort + AX19*(PREV_FEMALE*p_recur_MI_F + (1-PREV_FEMALE)*p_recur_MI_M)*p_MI_mort + AX19*p_recur_Stroke*p_Stroke_mort + AY19*(PREV_FEMALE*p_recur_MI_F + (1-PREV_FEMALE)*p_recur_MI_M)*p_MI_mort + AY19*p_recur_Stroke*p_Stroke_mort + AZ19*(PREV_FEMALE*p_recur_MI_F + (1-PREV_FEMALE)*p_recur_MI_M)*p_MI_mort + AZ19*p_recur_Stroke*p_Stroke_mort + BA19*AC19*p_Stroke*p_Stroke_mort + BB19*AC19*p_Stroke*p_Stroke_mort + BC19*p_recur_Stroke*p_Stroke_mort + BD19*p_recur_Stroke*p_Stroke_mort + BE19*p_recur_Stroke*p_Stroke_mort
+BF19</f>
        <v>9.6153827559913654E-2</v>
      </c>
      <c r="BG20">
        <f t="shared" si="17"/>
        <v>0.94700000000000006</v>
      </c>
      <c r="BH20">
        <f>(0.9442 - 0.0007*$B20 - dis_BMI*($C20-21.75))*AD20</f>
        <v>0.27128929404649588</v>
      </c>
      <c r="BI20">
        <f>0.959*(0.9442 - 0.0007*$B20 - dis_BMI*($C20-21.75))*AE20</f>
        <v>2.4525497393793998E-2</v>
      </c>
      <c r="BJ20">
        <f>(0.943*(0.9442 - 0.0007*$B20 - dis_BMI*($C20-21.75)) - 0.19*0.5)*AF20</f>
        <v>1.5477489714748622E-3</v>
      </c>
      <c r="BK20">
        <f>(0.943*(0.9442 - 0.0007*$B20 - dis_BMI*($C20-21.75)))*AG20</f>
        <v>7.0314580204948436E-3</v>
      </c>
      <c r="BL20">
        <f>(0.955*(0.9442 - 0.0007*$B20 - dis_BMI*($C20-21.75)) - 0.15*0.5)*AH20</f>
        <v>9.0458561084553709E-4</v>
      </c>
      <c r="BM20">
        <f>(0.955*(0.9442 - 0.0007*$B20 - dis_BMI*($C20-21.75)))*AI20</f>
        <v>5.1255082426679578E-3</v>
      </c>
      <c r="BN20">
        <f>(0.955*0.943*(0.9442 - 0.0007*$B20 - dis_BMI*($C20-21.75)) - 0.19*0.5)*AJ20</f>
        <v>2.8688830314600221E-5</v>
      </c>
      <c r="BO20">
        <f>(0.955*0.943*(0.9442 - 0.0007*$B20 - dis_BMI*($C20-21.75)) - 0.15*0.5)*AK20</f>
        <v>2.4090511360201729E-5</v>
      </c>
      <c r="BP20">
        <f>(0.955*0.943*(0.9442 - 0.0007*$B20 - dis_BMI*($C20-21.75)))*AL20</f>
        <v>1.0913727438114879E-4</v>
      </c>
      <c r="BQ20">
        <f>(0.93*(0.9442 - 0.0007*$B20 - dis_BMI*($C20-21.75)))*AM20</f>
        <v>3.8789091252161567E-4</v>
      </c>
      <c r="BR20">
        <f>(0.93*(0.9442 - 0.0007*$B20 - dis_BMI*($C20-21.75)))*AN20</f>
        <v>2.7669615839347162E-3</v>
      </c>
      <c r="BS20">
        <f>(0.93*0.943*(0.9442 - 0.0007*$B20 - dis_BMI*($C20-21.75)))*AO20</f>
        <v>1.0167422715528467E-5</v>
      </c>
      <c r="BT20">
        <f>(0.93*0.943*(0.9442 - 0.0007*$B20 - dis_BMI*($C20-21.75))-0.19*0.5)*AP20</f>
        <v>1.3412988227595621E-5</v>
      </c>
      <c r="BU20">
        <f>(0.93*0.943*(0.9442 - 0.0007*$B20 - dis_BMI*($C20-21.75)))*AQ20</f>
        <v>5.6420136762363009E-5</v>
      </c>
      <c r="BV20">
        <f>0.962*(0.9442 - 0.0007*$B20 - dis_BMI*($C20-21.75))*AR20</f>
        <v>0.31140604499574376</v>
      </c>
      <c r="BW20">
        <f>0.962*0.959*(0.9442 - 0.0007*$B20 - dis_BMI*($C20-21.75))*AS20</f>
        <v>4.4088623489818991E-2</v>
      </c>
      <c r="BX20">
        <f>0.962*(0.943*(0.9442 - 0.0007*$B20 - dis_BMI*($C20-21.75)) - 0.19*0.5)*AT20</f>
        <v>3.103639113551103E-3</v>
      </c>
      <c r="BY20">
        <f>0.962*(0.943*(0.9442 - 0.0007*$B20 - dis_BMI*($C20-21.75)))*AU20</f>
        <v>1.2896054604164936E-2</v>
      </c>
      <c r="BZ20">
        <f>0.962*(0.955*(0.9442 - 0.0007*$B20 - dis_BMI*($C20-21.75)) - 0.15*0.5)*AV20</f>
        <v>1.8785057111119236E-3</v>
      </c>
      <c r="CA20">
        <f>0.962*(0.955*(0.9442 - 0.0007*$B20 - dis_BMI*($C20-21.75)))*AW20</f>
        <v>9.551339522758202E-3</v>
      </c>
      <c r="CB20">
        <f>0.962*(0.955*0.943*(0.9442 - 0.0007*$B20 - dis_BMI*($C20-21.75)) - 0.19*0.5)*AX20</f>
        <v>9.0360722951417097E-5</v>
      </c>
      <c r="CC20">
        <f>0.962*(0.955*0.943*(0.9442 - 0.0007*$B20 - dis_BMI*($C20-21.75)) - 0.15*0.5)*AY20</f>
        <v>7.7250290678095642E-5</v>
      </c>
      <c r="CD20">
        <f>0.962*(0.955*0.943*(0.9442 - 0.0007*$B20 - dis_BMI*($C20-21.75)))*AZ20</f>
        <v>3.1564817765722554E-4</v>
      </c>
      <c r="CE20">
        <f>0.962*(0.93*(0.9442 - 0.0007*$B20 - dis_BMI*($C20-21.75)))*BA20</f>
        <v>7.6967109895673775E-4</v>
      </c>
      <c r="CF20">
        <f>0.962*(0.93*(0.9442 - 0.0007*$B20 - dis_BMI*($C20-21.75)))*BB20</f>
        <v>4.9208364137380105E-3</v>
      </c>
      <c r="CG20">
        <f>0.962*(0.93*0.943*(0.9442 - 0.0007*$B20 - dis_BMI*($C20-21.75)))*BC20</f>
        <v>3.1300571358896998E-5</v>
      </c>
      <c r="CH20">
        <f>0.962*(0.93*0.943*(0.9442 - 0.0007*$B20 - dis_BMI*($C20-21.75))-0.19*0.5)*BD20</f>
        <v>4.039129212414192E-5</v>
      </c>
      <c r="CI20">
        <f>0.962*(0.93*0.943*(0.9442 - 0.0007*$B20 - dis_BMI*($C20-21.75)))*BE20</f>
        <v>1.5574001729996438E-4</v>
      </c>
      <c r="CJ20">
        <f t="shared" si="18"/>
        <v>0</v>
      </c>
      <c r="CK20">
        <f t="shared" si="19"/>
        <v>0.70314626796790447</v>
      </c>
      <c r="CL20">
        <f>CK20/(1+r_)^A20</f>
        <v>0.42541505595495666</v>
      </c>
      <c r="CM20">
        <f>AD20*c_BN_2</f>
        <v>666.34089791586268</v>
      </c>
      <c r="CN20">
        <f>AE20*(c_Other+c_BN_2)</f>
        <v>490.94607217636212</v>
      </c>
      <c r="CO20">
        <f>AF20*(c_Stroke1+c_Stroke2+c_BN_2)</f>
        <v>56.537818624612321</v>
      </c>
      <c r="CP20">
        <f>AG20*(c_Stroke2 + c_BN_2)</f>
        <v>75.137953731099444</v>
      </c>
      <c r="CQ20">
        <f>AH20*(c_MI1+c_MI2 + c_BN_2)</f>
        <v>38.218191632662901</v>
      </c>
      <c r="CR20">
        <f>AI20*(c_MI2+c_BN_2)</f>
        <v>32.795764465719465</v>
      </c>
      <c r="CS20">
        <f>AJ20*(c_Stroke1+c_Stroke2+c_MI2+c_BN_2)</f>
        <v>1.2371728530552026</v>
      </c>
      <c r="CT20">
        <f>AK20*(c_Stroke2+c_MI1+c_MI2+c_BN_2)</f>
        <v>1.3119027675807304</v>
      </c>
      <c r="CU20">
        <f>AL20*(c_Stroke2+c_MI2+c_BN_2)</f>
        <v>1.6640596492612327</v>
      </c>
      <c r="CV20">
        <f>AM20*(c_HF1+c_BN_2)</f>
        <v>14.242045784010934</v>
      </c>
      <c r="CW20">
        <f>AN20*(c_HF2+c_BN_2)</f>
        <v>61.74093957471014</v>
      </c>
      <c r="CX20">
        <f>AO20*(c_Stroke2+c_HF1+c_BN_2)</f>
        <v>0.48422911516619821</v>
      </c>
      <c r="CY20">
        <f>AP20*(c_Stroke1+c_Stroke2+c_HF2+c_BN_2)</f>
        <v>0.8527322348581523</v>
      </c>
      <c r="CZ20">
        <f>AQ20*(c_Stroke2+c_HF2+c_BN_2)</f>
        <v>1.8253016493233516</v>
      </c>
      <c r="DA20">
        <f>AR20*(c_DM+c_BN_2)</f>
        <v>5131.0759765880966</v>
      </c>
      <c r="DB20">
        <f>AS20*(c_Other+c_DM+c_BN_2)</f>
        <v>1557.5493684500693</v>
      </c>
      <c r="DC20">
        <f>AT20*(c_Stroke1+c_Stroke2+c_DM+c_BN_2)</f>
        <v>169.8158730093607</v>
      </c>
      <c r="DD20">
        <f>AU20*(c_Stroke2+c_DM+c_BN_2)</f>
        <v>333.66753940328732</v>
      </c>
      <c r="DE20">
        <f>AV20*(c_MI1+c_MI2+c_DM+c_BN_2)</f>
        <v>112.66688795594568</v>
      </c>
      <c r="DF20">
        <f>AW20*(c_MI2+c_DM+c_BN_2)</f>
        <v>202.78724881035416</v>
      </c>
      <c r="DG20">
        <f>AX20*(c_Stroke1+c_Stroke2+c_MI2+c_DM+c_BN_2)</f>
        <v>5.6448939202912607</v>
      </c>
      <c r="DH20">
        <f>AY20*(c_Stroke2+c_MI1+c_MI2+c_DM+c_BN_2)</f>
        <v>5.6966401298395981</v>
      </c>
      <c r="DI20">
        <f>AZ20*(c_Stroke2+c_MI2+c_DM+c_BN_2)</f>
        <v>9.8832546066289648</v>
      </c>
      <c r="DJ20">
        <f>BA20*(c_HF1+c_DM+c_BN_2)</f>
        <v>40.899481669484373</v>
      </c>
      <c r="DK20">
        <f>BB20*(c_HF2+c_DM+c_BN_2)</f>
        <v>187.81342308038379</v>
      </c>
      <c r="DL20">
        <f>BC20*(c_Stroke2+c_HF1+c_DM+c_BN_2)</f>
        <v>2.046548148557096</v>
      </c>
      <c r="DM20">
        <f>BD20*(c_Stroke1+c_Stroke2+c_HF2+c_DM+c_BN_2)</f>
        <v>3.4038973021338763</v>
      </c>
      <c r="DN20">
        <f>BE20*(c_Stroke2+c_HF2+c_DM+c_BN_2)</f>
        <v>7.7101915072064049</v>
      </c>
      <c r="DO20">
        <f t="shared" si="5"/>
        <v>0</v>
      </c>
      <c r="DP20">
        <f t="shared" si="38"/>
        <v>9213.9963067559274</v>
      </c>
      <c r="DQ20">
        <f>DP20/(1+r_)^A20</f>
        <v>5574.6192975403201</v>
      </c>
    </row>
    <row r="21" spans="1:121" x14ac:dyDescent="0.3">
      <c r="A21">
        <v>18</v>
      </c>
      <c r="B21">
        <v>63</v>
      </c>
      <c r="C21">
        <f t="shared" si="39"/>
        <v>36.251999999999995</v>
      </c>
      <c r="D21">
        <f t="shared" si="1"/>
        <v>125</v>
      </c>
      <c r="E21">
        <f t="shared" si="40"/>
        <v>5.7</v>
      </c>
      <c r="F21">
        <v>8.4799999999999997E-3</v>
      </c>
      <c r="G21">
        <v>1.4420000000000001E-2</v>
      </c>
      <c r="H21">
        <f t="shared" si="3"/>
        <v>9.6679999999999995E-3</v>
      </c>
      <c r="I21">
        <f t="shared" si="20"/>
        <v>4.7655426853004217E-2</v>
      </c>
      <c r="J21">
        <f t="shared" si="21"/>
        <v>0.18696026664749921</v>
      </c>
      <c r="K21">
        <f t="shared" si="22"/>
        <v>0.25163699842036613</v>
      </c>
      <c r="L21">
        <f t="shared" si="23"/>
        <v>9.3334655845543901E-2</v>
      </c>
      <c r="M21">
        <f t="shared" si="24"/>
        <v>0.12822399311850585</v>
      </c>
      <c r="N21">
        <f t="shared" si="25"/>
        <v>0.40358126075049472</v>
      </c>
      <c r="O21">
        <f t="shared" si="26"/>
        <v>0.51821148206919621</v>
      </c>
      <c r="P21">
        <f t="shared" si="27"/>
        <v>0.2244748237133789</v>
      </c>
      <c r="Q21">
        <f t="shared" si="28"/>
        <v>0.30176722400302236</v>
      </c>
      <c r="R21">
        <f>IF(C21&lt;25, HT_f_low, IF(C21&lt;30, HT_f_mod, HT_f_high))</f>
        <v>0.42</v>
      </c>
      <c r="S21">
        <f>IF(C21&lt;25, HT_m_low, IF(C21&lt;30, HT_m_mod, HT_m_high))</f>
        <v>0.43099999999999999</v>
      </c>
      <c r="T21">
        <f>PREV_FEMALE*PREV_SMOKE*(1-$R21)*(1-EXP(-J21/10))+PREV_FEMALE*PREV_SMOKE*$R21*(1-EXP(-K21/10))+PREV_FEMALE*(1-PREV_SMOKE)*(1-$R21)*(1-EXP(-L21/10))+PREV_FEMALE*(1-PREV_SMOKE)*$R21*(1-EXP(-M21/10))+(1-PREV_FEMALE)*PREV_SMOKE*(1-$S21)*(1-EXP(-N21/10))+(1-PREV_FEMALE)*PREV_SMOKE*$S21*(1-EXP(-O21/10))+(1-PREV_FEMALE)*(1-PREV_SMOKE)*(1-$S21)*(1-EXP(-P21/10))+(1-PREV_FEMALE)*(1-PREV_SMOKE)*$S21*(1-EXP(-Q21/10))</f>
        <v>1.5194664815609042E-2</v>
      </c>
      <c r="U21">
        <f t="shared" si="29"/>
        <v>0.36265365519646597</v>
      </c>
      <c r="V21">
        <f t="shared" si="30"/>
        <v>0.46785550745574001</v>
      </c>
      <c r="W21">
        <f t="shared" si="31"/>
        <v>0.19203678721741491</v>
      </c>
      <c r="X21">
        <f t="shared" si="32"/>
        <v>0.25817286395192351</v>
      </c>
      <c r="Y21">
        <f t="shared" si="33"/>
        <v>0.58498268807739551</v>
      </c>
      <c r="Z21">
        <f t="shared" si="34"/>
        <v>0.71137643263235562</v>
      </c>
      <c r="AA21">
        <f t="shared" si="35"/>
        <v>0.35117054312382046</v>
      </c>
      <c r="AB21">
        <f t="shared" si="36"/>
        <v>0.45732156914923339</v>
      </c>
      <c r="AC21">
        <f>PREV_FEMALE*PREV_SMOKE*(1-$R21)*(1-EXP(-U21/10))+PREV_FEMALE*PREV_SMOKE*$R21*(1-EXP(-V21/10))+PREV_FEMALE*(1-PREV_SMOKE)*(1-$R21)*(1-EXP(-W21/10))+PREV_FEMALE*(1-PREV_SMOKE)*$R21*(1-EXP(-X21/10))+(1-PREV_FEMALE)*PREV_SMOKE*(1-$S21)*(1-EXP(-Y21/10))+(1-PREV_FEMALE)*PREV_SMOKE*$S21*(1-EXP(-Z21/10))+(1-PREV_FEMALE)*(1-PREV_SMOKE)*(1-$S21)*(1-EXP(-AA21/10))+(1-PREV_FEMALE)*(1-PREV_SMOKE)*$S21*(1-EXP(-AB21/10))</f>
        <v>2.7556794822188205E-2</v>
      </c>
      <c r="AD21">
        <f t="shared" si="37"/>
        <v>0.29577405629237635</v>
      </c>
      <c r="AE21">
        <f t="shared" si="6"/>
        <v>3.0312348007727037E-2</v>
      </c>
      <c r="AF21">
        <f t="shared" si="7"/>
        <v>2.1719859964038661E-3</v>
      </c>
      <c r="AG21">
        <f t="shared" si="8"/>
        <v>8.8302131307957821E-3</v>
      </c>
      <c r="AH21">
        <f>AD20*T20*p_MI*p_MI_rec_mid*(1-I20)+AE20*T20*p_MI*p_MI_rec_mid*(1-I20) + AH20*(PREV_FEMALE*p_recur_MI_F + (1-PREV_FEMALE)*p_recur_MI_M)*p_MI_rec_mid*(1-I20) + AI20*(PREV_FEMALE*p_recur_MI_F + (1-PREV_FEMALE)*p_recur_MI_M)*p_MI_rec_mid*(1-I20)</f>
        <v>1.204114108339372E-3</v>
      </c>
      <c r="AI21">
        <f>AH20*(1-(PREV_FEMALE*p_recur_MI_F + (1-PREV_FEMALE)*p_recur_MI_M) - T20*p_Stroke - p_toHF_mid - H20*rr_MI)*(1-I20) + AI20*(1-(PREV_FEMALE*p_recur_MI_F + (1-PREV_FEMALE)*p_recur_MI_M) - T20*p_Stroke - p_toHF_mid - H20*rr_MI)*(1-I20)</f>
        <v>6.2798715939452361E-3</v>
      </c>
      <c r="AJ21">
        <f t="shared" si="11"/>
        <v>4.5173162600578634E-5</v>
      </c>
      <c r="AK21">
        <f>AF20*T20*p_MI*p_MI_rec_mid*(1-I20) + AG20*T20*p_MI*p_MI_rec_mid*(1-I20) + AJ20*(PREV_FEMALE*p_recur_MI_F + (1-PREV_FEMALE)*p_recur_MI_M)*p_MI_rec_mid*(1-I20) + AK20*(PREV_FEMALE*p_recur_MI_F + (1-PREV_FEMALE)*p_recur_MI_M)*p_MI_rec_mid*(1-I20) + AL20*(PREV_FEMALE*p_recur_MI_F + (1-PREV_FEMALE)*p_recur_MI_M)*p_MI_rec_mid*(1-I20)</f>
        <v>3.6917720165868752E-5</v>
      </c>
      <c r="AL21">
        <f>AJ20*(1-p_recur_Stroke-(PREV_FEMALE*p_recur_MI_F + (1-PREV_FEMALE)*p_recur_MI_M) - p_toHF_mid - H20*rr_MI*rr_Stroke)*(1-I20) + AK20*(1-p_recur_Stroke-(PREV_FEMALE*p_recur_MI_F + (1-PREV_FEMALE)*p_recur_MI_M) - p_toHF_mid - H20*rr_MI*rr_Stroke)*(1-I20) + AL20*(1-p_recur_Stroke-(PREV_FEMALE*p_recur_MI_F + (1-PREV_FEMALE)*p_recur_MI_M) - p_toHF_mid - H20*rr_MI*rr_Stroke)*(1-I20)</f>
        <v>1.5270297360482919E-4</v>
      </c>
      <c r="AM21">
        <f>AD20*T20*p_MI*p_MI_HF_mid*(1-I20) + AE20*T20*p_MI*p_MI_HF_mid*(1-I20) + AH20*p_toHF_mid*(1-I20) + AH20*(PREV_FEMALE*p_recur_MI_F + (1-PREV_FEMALE)*p_recur_MI_M)*p_MI_HF_mid*(1-I20) + AI20*p_toHF_mid*(1-I20) + AI20*(PREV_FEMALE*p_recur_MI_F + (1-PREV_FEMALE)*p_recur_MI_M)*p_MI_HF_mid*(1-I20)</f>
        <v>4.8463977535901889E-4</v>
      </c>
      <c r="AN21">
        <f t="shared" si="15"/>
        <v>3.7132423564711788E-3</v>
      </c>
      <c r="AO21">
        <f>AF20*T20*p_MI*p_MI_HF_mid*(1-I20) + AG20*T20*p_MI*p_MI_HF_mid*(1-I20) + AJ20*(PREV_FEMALE*p_recur_MI_F + (1-PREV_FEMALE)*p_recur_MI_M)*p_MI_HF_mid*(1-I20) + AJ20*p_toHF_mid*(1-I20) + AK20*(PREV_FEMALE*p_recur_MI_F + (1-PREV_FEMALE)*p_recur_MI_M)*p_MI_HF_mid*(1-I20) + AK20*p_toHF_mid*(1-I20) + AL20*(PREV_FEMALE*p_recur_MI_F + (1-PREV_FEMALE)*p_recur_MI_M)*p_MI_HF_mid*(1-I20) + AL20*p_toHF_mid*(1-I20)</f>
        <v>1.4535175837292301E-5</v>
      </c>
      <c r="AP21">
        <f>AM20*T20*p_Stroke*p_Stroke_rec*(1-I20) + AN20*T20*p_Stroke*p_Stroke_rec*(1-I20) + AO20*(p_recur_Stroke*p_Stroke_rec)*(1-I20) + AP20*(p_recur_Stroke*p_Stroke_rec)*(1-I20) + AQ20*(p_recur_Stroke*p_Stroke_rec)*(1-I20)</f>
        <v>2.3213880769402252E-5</v>
      </c>
      <c r="AQ21">
        <f>AO20*(1-p_recur_Stroke-H20*rr_Stroke*rr_HF)*(1-I20) + AP20*(1-p_recur_Stroke-H20*rr_Stroke*rr_HF)*(1-I20) + AQ20*(1-p_recur_Stroke-H20*rr_Stroke*rr_HF)*(1-I20)</f>
        <v>8.6496900024076649E-5</v>
      </c>
      <c r="AR21">
        <f>AR20*(1-AC20-H20*rr_DM) + AD20*(1-T20-H20)*I20</f>
        <v>0.3803278503451919</v>
      </c>
      <c r="AS21">
        <f>AR20*AC20*p_Other + AD20*T20*p_Other*I20 + AE20*(1-T20*p_Stroke-T20*p_MI-H20*rr_Other)*I20 + AS20*(1-AC20*p_Stroke-AC20*p_MI-H20*rr_Other*rr_DM)</f>
        <v>6.1326384105607423E-2</v>
      </c>
      <c r="AT21">
        <f>AR20*AC20*p_Stroke*p_Stroke_rec + AD20*T20*p_Stroke*p_Stroke_rec*I20 + AE20*T20*p_Stroke*p_Stroke_rec*I20 + AF20*p_recur_Stroke*p_Stroke_rec*I20 + AG20*p_recur_Stroke*p_Stroke_rec*I20 + AS20*AC20*p_Stroke*p_Stroke_rec + AT20*p_recur_Stroke*p_Stroke_rec + AU20*p_recur_Stroke*p_Stroke_rec</f>
        <v>4.8996099112256818E-3</v>
      </c>
      <c r="AU21">
        <f>AF20*(1-p_recur_Stroke-T20*p_MI-H20*rr_Stroke)*I20 + AG20*(1-p_recur_Stroke-T20*p_MI-H20*rr_Stroke)*I20 + AT20*(1-p_recur_Stroke-AC20*p_MI-H20*rr_Stroke*rr_DM) + AU20*(1-p_recur_Stroke-AC20*p_MI-H20*rr_Stroke*rr_DM)</f>
        <v>1.8303620666497981E-2</v>
      </c>
      <c r="AV21">
        <f>AR20*AC20*p_MI*p_MI_rec_mid + AD20*T20*p_MI*p_MI_rec_mid*I20 + AE20*T20*p_MI*p_MI_rec_mid*I20 +AH20*(PREV_FEMALE*p_recur_MI_F + (1-PREV_FEMALE)*p_recur_MI_M)*p_MI_rec_mid*I20 + AI20*(PREV_FEMALE*p_recur_MI_F + (1-PREV_FEMALE)*p_recur_MI_M)*p_MI_rec_mid*I20 + AS20*AC20*p_MI*p_MI_rec_mid + AV20*(PREV_FEMALE*p_recur_MI_F + (1-PREV_FEMALE)*p_recur_MI_M)*p_MI_rec_mid + AW20*(PREV_FEMALE*p_recur_MI_F + (1-PREV_FEMALE)*p_recur_MI_M)*p_MI_rec_mid</f>
        <v>2.8128417908305559E-3</v>
      </c>
      <c r="AW21">
        <f>AH20*(1-(PREV_FEMALE*p_recur_MI_F + (1-PREV_FEMALE)*p_recur_MI_M) - T20*p_Stroke - p_toHF_mid - H20*rr_MI)*I20 + AI20*(1-(PREV_FEMALE*p_recur_MI_F + (1-PREV_FEMALE)*p_recur_MI_M) - T20*p_Stroke - p_toHF_mid - H20*rr_MI)*I20 + AV20*(1-(PREV_FEMALE*p_recur_MI_F + (1-PREV_FEMALE)*p_recur_MI_M) - AC20*p_Stroke - p_toHF_mid - H20*rr_MI*rr_DM) + AW20*(1-(PREV_FEMALE*p_recur_MI_F + (1-PREV_FEMALE)*p_recur_MI_M) - AC20*p_Stroke - p_toHF_mid - H20*rr_MI*rr_DM)</f>
        <v>1.3253198642322064E-2</v>
      </c>
      <c r="AX21">
        <f>AH20*T20*p_Stroke*p_Stroke_rec*I20 + AI20*T20*p_Stroke*p_Stroke_rec*I20 + AJ20*p_recur_Stroke*p_Stroke_rec*I20 + AK20*p_recur_Stroke*p_Stroke_rec*I20 + AL20*p_recur_Stroke*p_Stroke_rec*I20 + AV20*AC20*p_Stroke*p_Stroke_rec + AW20*AC20*p_Stroke*p_Stroke_rec + AX20*p_recur_Stroke*p_Stroke_rec + AY20*p_recur_Stroke*p_Stroke_rec + AZ20*p_recur_Stroke*p_Stroke_rec</f>
        <v>1.6099002139312909E-4</v>
      </c>
      <c r="AY21">
        <f>AF20*T20*p_MI*p_MI_rec_mid*I20 + AG20*T20*p_MI*p_MI_rec_mid*I20 + AJ20*(PREV_FEMALE*p_recur_MI_F+(1-PREV_FEMALE)*p_recur_MI_M)*p_MI_rec_mid*I20 + AK20*(PREV_FEMALE*p_recur_MI_F+(1-PREV_FEMALE)*p_recur_MI_M)*p_MI_rec_mid*I20 + AL20*(PREV_FEMALE*p_recur_MI_F+(1-PREV_FEMALE)*p_recur_MI_M)*p_MI_rec_mid*I20 + AT20*AC20*p_MI*p_MI_rec_mid + AU20*AC20*p_MI*p_MI_rec_mid + AX20*(PREV_FEMALE*p_recur_MI_F+(1-PREV_FEMALE)*p_recur_MI_M)*p_MI_rec_mid + AY20*(PREV_FEMALE*p_recur_MI_F+(1-PREV_FEMALE)*p_recur_MI_M)*p_MI_rec_mid + AZ20*(PREV_FEMALE*p_recur_MI_F+(1-PREV_FEMALE)*p_recur_MI_M)*p_MI_rec_mid</f>
        <v>1.336980428296754E-4</v>
      </c>
      <c r="AZ21">
        <f>AJ20*(1-p_recur_Stroke-(PREV_FEMALE*p_recur_MI_F + (1-PREV_FEMALE)*p_recur_MI_M) - p_toHF_mid - H20*rr_MI*rr_Stroke)*I20 + AK20*(1-p_recur_Stroke-(PREV_FEMALE*p_recur_MI_F + (1-PREV_FEMALE)*p_recur_MI_M) - p_toHF_mid - H20*rr_MI*rr_Stroke)*I20 + AL20*(1-p_recur_Stroke-(PREV_FEMALE*p_recur_MI_F + (1-PREV_FEMALE)*p_recur_MI_M) - p_toHF_mid - H20*rr_MI*rr_Stroke)*I20 + AX20*(1-p_recur_Stroke-(PREV_FEMALE*p_recur_MI_F + (1-PREV_FEMALE)*p_recur_MI_M) - p_toHF_mid - H20*rr_MI*rr_Stroke*rr_DM) + AY20*(1-p_recur_Stroke-(PREV_FEMALE*p_recur_MI_F + (1-PREV_FEMALE)*p_recur_MI_M) - p_toHF_mid - H20*rr_MI*rr_Stroke*rr_DM) + AZ20*(1-p_recur_Stroke-(PREV_FEMALE*p_recur_MI_F + (1-PREV_FEMALE)*p_recur_MI_M) - p_toHF_mid - H20*rr_MI*rr_Stroke*rr_DM)</f>
        <v>5.0181291213680145E-4</v>
      </c>
      <c r="BA21">
        <f>AR20*AC20*p_MI*p_MI_HF_mid + AD20*T20*p_MI*p_MI_HF_mid*I20 + AE20*T20*p_MI*p_MI_HF_mid*I20 + AH20*p_toHF_mid*I20 + AH20*(PREV_FEMALE*p_recur_MI_F + (1-PREV_FEMALE)*p_recur_MI_M)*p_MI_HF_mid*I20 + AI20*p_toHF_mid*I20 + AI20*(PREV_FEMALE*p_recur_MI_F + (1-PREV_FEMALE)*p_recur_MI_M)*p_MI_HF_mid*I20 + AS20*AC20*p_MI*p_MI_HF_mid + AV20*(PREV_FEMALE*p_recur_MI_F + (1-PREV_FEMALE)*p_recur_MI_M)*p_MI_HF_mid + AV20*p_toHF_mid + AW20*(PREV_FEMALE*p_recur_MI_F + (1-PREV_FEMALE)*p_recur_MI_M)*p_MI_HF_mid + AW20*p_toHF_mid</f>
        <v>1.0846301586314566E-3</v>
      </c>
      <c r="BB21">
        <f>AM20*(1-T20*p_Stroke - H20*rr_HF)*I20 + AN20*(1-T20*p_Stroke - H20*rr_HF)*I20 + BA20*(1-AC20*p_Stroke - H20*rr_HF*rr_DM) + BB20*(1-AC20*p_Stroke - H20*rr_HF*rr_DM)</f>
        <v>7.4576969154985049E-3</v>
      </c>
      <c r="BC21">
        <f>AF20*T20*p_MI*p_MI_HF_mid*I20 + AG20*T20*p_MI*p_MI_HF_mid*I20 + AJ20*(PREV_FEMALE*p_recur_MI_F + (1-PREV_FEMALE)*p_recur_MI_M)*p_MI_HF_mid*I20 + AJ20*p_toHF_mid*I20 + AK20*(PREV_FEMALE*p_recur_MI_F + (1-PREV_FEMALE)*p_recur_MI_M)*p_MI_HF_mid*I20 + AK20*p_toHF_mid*I20 + AL20*(PREV_FEMALE*p_recur_MI_F + (1-PREV_FEMALE)*p_recur_MI_M)*p_MI_HF_mid*I20 + AL20*p_toHF_mid*I20 + AT20*AC20*p_MI*p_MI_HF_mid + AU20*AC20*p_MI*p_MI_HF_mid + AX20*(PREV_FEMALE*p_recur_MI_F + (1-PREV_FEMALE)*p_recur_MI_M)*p_MI_HF_mid + AX20*p_toHF_mid + AY20*(PREV_FEMALE*p_recur_MI_F + (1-PREV_FEMALE)*p_recur_MI_M)*p_MI_HF_mid + AY20*p_toHF_mid + AZ20*(PREV_FEMALE*p_recur_MI_F + (1-PREV_FEMALE)*p_recur_MI_M)*p_MI_HF_mid + AZ20*p_toHF_mid</f>
        <v>5.0659139361523431E-5</v>
      </c>
      <c r="BD21">
        <f>AM20*T20*p_Stroke*p_Stroke_rec*I20 + AN20*T20*p_Stroke*p_Stroke_rec*I20 + AO20*(p_recur_Stroke*p_Stroke_rec)*I20 + AP20*(p_recur_Stroke*p_Stroke_rec)*I20 + AQ20*(p_recur_Stroke*p_Stroke_rec)*I20 + BA20*AC20*p_Stroke*p_Stroke_rec + BB20*AC20*p_Stroke*p_Stroke_rec + BC20*(p_recur_Stroke*p_Stroke_rec) + BD20*(p_recur_Stroke*p_Stroke_rec) + BE20*(p_recur_Stroke*p_Stroke_rec)</f>
        <v>7.8882019954023224E-5</v>
      </c>
      <c r="BE21">
        <f>AO20*(1-p_recur_Stroke - H20*rr_Stroke*rr_HF)*I20 + AP20*(1-p_recur_Stroke-H20*rr_Stroke*rr_HF)*I20 + AQ20*(1-p_recur_Stroke-H20*rr_Stroke*rr_HF)*I20 + BC20*(1-p_recur_Stroke - H20*rr_Stroke*rr_HF*rr_DM) + BD20*(1-p_recur_Stroke-H20*rr_Stroke*rr_HF*rr_DM) + BE20*(1-p_recur_Stroke-H20*rr_Stroke*rr_HF*rr_DM)</f>
        <v>2.7063198741443214E-4</v>
      </c>
      <c r="BF21">
        <f>AD20*H20 + AE20*H20*rr_Other + AF20*H20*rr_Stroke + AG20*H20*rr_Stroke + AH20*H20*rr_MI + AI20*H20*rr_MI + AJ20*H20*rr_Stroke*rr_MI + AK20*H20*rr_Stroke*rr_MI + AL20*H20*rr_Stroke*rr_MI + AM20*H20*rr_HF + AN20*H20*rr_HF + AO20*H20*rr_Stroke*rr_HF + AP20*H20*rr_Stroke*rr_HF + AR20*H20*rr_DM + AS20*H20*rr_DM*rr_Other + AT20*H20*rr_DM*rr_Stroke + AU20*H20*rr_DM*rr_Stroke + AV20*H20*rr_DM*rr_MI + AW20*H20*rr_DM*rr_MI + AX20*H20*rr_DM*rr_Stroke*rr_MI + AY20*H20*rr_DM*rr_Stroke*rr_MI + AZ20*H20*rr_DM*rr_Stroke*rr_MI + BA20*H20*rr_DM*rr_HF + BB20*H20*rr_DM*rr_HF + BC20*H20*rr_DM*rr_Stroke*rr_HF + BD20*H20*rr_DM*rr_Stroke*rr_HF + AQ20*H20*rr_Stroke*rr_HF + BE20*H20*rr_DM*rr_Stroke*rr_HF
+ AD20*T20*p_MI*p_MI_mort + AD20*T20*p_Stroke*p_Stroke_mort + AE20*T20*p_MI*p_MI_mort + AE20*T20*p_Stroke*p_Stroke_mort + AF20*T20*p_MI*p_MI_mort + AF20*p_recur_Stroke*p_Stroke_mort + AG20*T20*p_MI*p_MI_mort + AG20*p_recur_Stroke*p_Stroke_mort + AH20*(PREV_FEMALE*p_recur_MI_F + (1-PREV_FEMALE)*p_recur_MI_M)*p_MI_mort + AH20*T20*p_Stroke*p_Stroke_mort + AI20*(PREV_FEMALE*p_recur_MI_F + (1-PREV_FEMALE)*p_recur_MI_M)*p_MI_mort + AI20*T20*p_Stroke*p_Stroke_mort + AJ20*(PREV_FEMALE*p_recur_MI_F + (1-PREV_FEMALE)*p_recur_MI_M)*p_MI_mort + AJ20*p_recur_Stroke*p_Stroke_mort + AK20*(PREV_FEMALE*p_recur_MI_F + (1-PREV_FEMALE)*p_recur_MI_M)*p_MI_mort + AK20*p_recur_Stroke*p_Stroke_mort + AL20*(PREV_FEMALE*p_recur_MI_F + (1-PREV_FEMALE)*p_recur_MI_M)*p_MI_mort + AL20*p_recur_Stroke*p_Stroke_mort + AM20*T20*p_Stroke*p_Stroke_mort + AN20*T20*p_Stroke*p_Stroke_mort + AO20*p_recur_Stroke*p_Stroke_mort + AP20*p_recur_Stroke*p_Stroke_mort + AQ20*p_recur_Stroke*p_Stroke_mort
+ AR20*AC20*p_MI*p_MI_mort + AR20*AC20*p_Stroke*p_Stroke_mort + AS20*AC20*p_MI*p_MI_mort + AS20*AC20*p_Stroke*p_Stroke_mort + AT20*AC20*p_MI*p_MI_mort + AT20*p_recur_Stroke*p_Stroke_mort + AU20*AC20*p_MI*p_MI_mort + AU20*p_recur_Stroke*p_Stroke_mort + AV20*(PREV_FEMALE*p_recur_MI_F + (1-PREV_FEMALE)*p_recur_MI_M)*p_MI_mort + AV20*AC20*p_Stroke*p_Stroke_mort + AW20*(PREV_FEMALE*p_recur_MI_F + (1-PREV_FEMALE)*p_recur_MI_M)*p_MI_mort + AW20*AC20*p_Stroke*p_Stroke_mort + AX20*(PREV_FEMALE*p_recur_MI_F + (1-PREV_FEMALE)*p_recur_MI_M)*p_MI_mort + AX20*p_recur_Stroke*p_Stroke_mort + AY20*(PREV_FEMALE*p_recur_MI_F + (1-PREV_FEMALE)*p_recur_MI_M)*p_MI_mort + AY20*p_recur_Stroke*p_Stroke_mort + AZ20*(PREV_FEMALE*p_recur_MI_F + (1-PREV_FEMALE)*p_recur_MI_M)*p_MI_mort + AZ20*p_recur_Stroke*p_Stroke_mort + BA20*AC20*p_Stroke*p_Stroke_mort + BB20*AC20*p_Stroke*p_Stroke_mort + BC20*p_recur_Stroke*p_Stroke_mort + BD20*p_recur_Stroke*p_Stroke_mort + BE20*p_recur_Stroke*p_Stroke_mort
+BF20</f>
        <v>0.10720798226668508</v>
      </c>
      <c r="BG21">
        <f t="shared" si="17"/>
        <v>0.94700000000000006</v>
      </c>
      <c r="BH21">
        <f>(0.9442 - 0.0007*$B21 - dis_BMI*($C21-21.75))*AD21</f>
        <v>0.25207148736640622</v>
      </c>
      <c r="BI21">
        <f>0.959*(0.9442 - 0.0007*$B21 - dis_BMI*($C21-21.75))*AE21</f>
        <v>2.4774325088436886E-2</v>
      </c>
      <c r="BJ21">
        <f>(0.943*(0.9442 - 0.0007*$B21 - dis_BMI*($C21-21.75)) - 0.19*0.5)*AF21</f>
        <v>1.5392115990405771E-3</v>
      </c>
      <c r="BK21">
        <f>(0.943*(0.9442 - 0.0007*$B21 - dis_BMI*($C21-21.75)))*AG21</f>
        <v>7.0965378822191415E-3</v>
      </c>
      <c r="BL21">
        <f>(0.955*(0.9442 - 0.0007*$B21 - dis_BMI*($C21-21.75)) - 0.15*0.5)*AH21</f>
        <v>8.8971081997810174E-4</v>
      </c>
      <c r="BM21">
        <f>(0.955*(0.9442 - 0.0007*$B21 - dis_BMI*($C21-21.75)))*AI21</f>
        <v>5.1111400584418782E-3</v>
      </c>
      <c r="BN21">
        <f>(0.955*0.943*(0.9442 - 0.0007*$B21 - dis_BMI*($C21-21.75)) - 0.19*0.5)*AJ21</f>
        <v>3.0378977937339171E-5</v>
      </c>
      <c r="BO21">
        <f>(0.955*0.943*(0.9442 - 0.0007*$B21 - dis_BMI*($C21-21.75)) - 0.15*0.5)*AK21</f>
        <v>2.5565542535622781E-5</v>
      </c>
      <c r="BP21">
        <f>(0.955*0.943*(0.9442 - 0.0007*$B21 - dis_BMI*($C21-21.75)))*AL21</f>
        <v>1.1719962043088042E-4</v>
      </c>
      <c r="BQ21">
        <f>(0.93*(0.9442 - 0.0007*$B21 - dis_BMI*($C21-21.75)))*AM21</f>
        <v>3.8411887643230203E-4</v>
      </c>
      <c r="BR21">
        <f>(0.93*(0.9442 - 0.0007*$B21 - dis_BMI*($C21-21.75)))*AN21</f>
        <v>2.9430652505397989E-3</v>
      </c>
      <c r="BS21">
        <f>(0.93*0.943*(0.9442 - 0.0007*$B21 - dis_BMI*($C21-21.75)))*AO21</f>
        <v>1.0863720356048951E-5</v>
      </c>
      <c r="BT21">
        <f>(0.93*0.943*(0.9442 - 0.0007*$B21 - dis_BMI*($C21-21.75))-0.19*0.5)*AP21</f>
        <v>1.5144943331334509E-5</v>
      </c>
      <c r="BU21">
        <f>(0.93*0.943*(0.9442 - 0.0007*$B21 - dis_BMI*($C21-21.75)))*AQ21</f>
        <v>6.4648556305442069E-5</v>
      </c>
      <c r="BV21">
        <f>0.962*(0.9442 - 0.0007*$B21 - dis_BMI*($C21-21.75))*AR21</f>
        <v>0.31181488808174812</v>
      </c>
      <c r="BW21">
        <f>0.962*0.959*(0.9442 - 0.0007*$B21 - dis_BMI*($C21-21.75))*AS21</f>
        <v>4.8217499497482781E-2</v>
      </c>
      <c r="BX21">
        <f>0.962*(0.943*(0.9442 - 0.0007*$B21 - dis_BMI*($C21-21.75)) - 0.19*0.5)*AT21</f>
        <v>3.3402416197487704E-3</v>
      </c>
      <c r="BY21">
        <f>0.962*(0.943*(0.9442 - 0.0007*$B21 - dis_BMI*($C21-21.75)))*AU21</f>
        <v>1.4151009354802653E-2</v>
      </c>
      <c r="BZ21">
        <f>0.962*(0.955*(0.9442 - 0.0007*$B21 - dis_BMI*($C21-21.75)) - 0.15*0.5)*AV21</f>
        <v>1.9994088268043267E-3</v>
      </c>
      <c r="CA21">
        <f>0.962*(0.955*(0.9442 - 0.0007*$B21 - dis_BMI*($C21-21.75)))*AW21</f>
        <v>1.0376784499180671E-2</v>
      </c>
      <c r="CB21">
        <f>0.962*(0.955*0.943*(0.9442 - 0.0007*$B21 - dis_BMI*($C21-21.75)) - 0.19*0.5)*AX21</f>
        <v>1.0415177883224155E-4</v>
      </c>
      <c r="CC21">
        <f>0.962*(0.955*0.943*(0.9442 - 0.0007*$B21 - dis_BMI*($C21-21.75)) - 0.15*0.5)*AY21</f>
        <v>8.9067704941804454E-5</v>
      </c>
      <c r="CD21">
        <f>0.962*(0.955*0.943*(0.9442 - 0.0007*$B21 - dis_BMI*($C21-21.75)))*AZ21</f>
        <v>3.7050631527733526E-4</v>
      </c>
      <c r="CE21">
        <f>0.962*(0.93*(0.9442 - 0.0007*$B21 - dis_BMI*($C21-21.75)))*BA21</f>
        <v>8.2699587482647175E-4</v>
      </c>
      <c r="CF21">
        <f>0.962*(0.93*(0.9442 - 0.0007*$B21 - dis_BMI*($C21-21.75)))*BB21</f>
        <v>5.6862558502017444E-3</v>
      </c>
      <c r="CG21">
        <f>0.962*(0.93*0.943*(0.9442 - 0.0007*$B21 - dis_BMI*($C21-21.75)))*BC21</f>
        <v>3.6424296061853773E-5</v>
      </c>
      <c r="CH21">
        <f>0.962*(0.93*0.943*(0.9442 - 0.0007*$B21 - dis_BMI*($C21-21.75))-0.19*0.5)*BD21</f>
        <v>4.9507728244268375E-5</v>
      </c>
      <c r="CI21">
        <f>0.962*(0.93*0.943*(0.9442 - 0.0007*$B21 - dis_BMI*($C21-21.75)))*BE21</f>
        <v>1.9458640153839995E-4</v>
      </c>
      <c r="CJ21">
        <f t="shared" si="18"/>
        <v>0</v>
      </c>
      <c r="CK21">
        <f t="shared" si="19"/>
        <v>0.69233072613208302</v>
      </c>
      <c r="CL21">
        <f>CK21/(1+r_)^A21</f>
        <v>0.40667133521705101</v>
      </c>
      <c r="CM21">
        <f>AD21*c_BN_2</f>
        <v>619.64664793252848</v>
      </c>
      <c r="CN21">
        <f>AE21*(c_Other+c_BN_2)</f>
        <v>496.33438627852252</v>
      </c>
      <c r="CO21">
        <f>AF21*(c_Stroke1+c_Stroke2+c_BN_2)</f>
        <v>56.278329152820575</v>
      </c>
      <c r="CP21">
        <f>AG21*(c_Stroke2 + c_BN_2)</f>
        <v>75.89568185918975</v>
      </c>
      <c r="CQ21">
        <f>AH21*(c_MI1+c_MI2 + c_BN_2)</f>
        <v>37.623749429172015</v>
      </c>
      <c r="CR21">
        <f>AI21*(c_MI2+c_BN_2)</f>
        <v>32.730690747642569</v>
      </c>
      <c r="CS21">
        <f>AJ21*(c_Stroke1+c_Stroke2+c_MI2+c_BN_2)</f>
        <v>1.3112865639695965</v>
      </c>
      <c r="CT21">
        <f>AK21*(c_Stroke2+c_MI1+c_MI2+c_BN_2)</f>
        <v>1.393496265380882</v>
      </c>
      <c r="CU21">
        <f>AL21*(c_Stroke2+c_MI2+c_BN_2)</f>
        <v>1.7884572268597596</v>
      </c>
      <c r="CV21">
        <f>AM21*(c_HF1+c_BN_2)</f>
        <v>14.115133457331424</v>
      </c>
      <c r="CW21">
        <f>AN21*(c_HF2+c_BN_2)</f>
        <v>65.724389709539864</v>
      </c>
      <c r="CX21">
        <f>AO21*(c_Stroke2+c_HF1+c_BN_2)</f>
        <v>0.51781563920353824</v>
      </c>
      <c r="CY21">
        <f>AP21*(c_Stroke1+c_Stroke2+c_HF2+c_BN_2)</f>
        <v>0.96374747402250394</v>
      </c>
      <c r="CZ21">
        <f>AQ21*(c_Stroke2+c_HF2+c_BN_2)</f>
        <v>2.0932249805826548</v>
      </c>
      <c r="DA21">
        <f>AR21*(c_DM+c_BN_2)</f>
        <v>5142.032536666994</v>
      </c>
      <c r="DB21">
        <f>AS21*(c_Other+c_DM+c_BN_2)</f>
        <v>1704.8121517517807</v>
      </c>
      <c r="DC21">
        <f>AT21*(c_Stroke1+c_Stroke2+c_DM+c_BN_2)</f>
        <v>182.93183564552206</v>
      </c>
      <c r="DD21">
        <f>AU21*(c_Stroke2+c_DM+c_BN_2)</f>
        <v>366.43848574328956</v>
      </c>
      <c r="DE21">
        <f>AV21*(c_MI1+c_MI2+c_DM+c_BN_2)</f>
        <v>120.02677205653065</v>
      </c>
      <c r="DF21">
        <f>AW21*(c_MI2+c_DM+c_BN_2)</f>
        <v>220.49346581231219</v>
      </c>
      <c r="DG21">
        <f>AX21*(c_Stroke1+c_Stroke2+c_MI2+c_DM+c_BN_2)</f>
        <v>6.512529335416251</v>
      </c>
      <c r="DH21">
        <f>AY21*(c_Stroke2+c_MI1+c_MI2+c_DM+c_BN_2)</f>
        <v>6.5740664639779691</v>
      </c>
      <c r="DI21">
        <f>AZ21*(c_Stroke2+c_MI2+c_DM+c_BN_2)</f>
        <v>11.610445348109176</v>
      </c>
      <c r="DJ21">
        <f>BA21*(c_HF1+c_DM+c_BN_2)</f>
        <v>43.981752932505565</v>
      </c>
      <c r="DK21">
        <f>BB21*(c_HF2+c_DM+c_BN_2)</f>
        <v>217.20542266389396</v>
      </c>
      <c r="DL21">
        <f>BC21*(c_Stroke2+c_HF1+c_DM+c_BN_2)</f>
        <v>2.3835125069596774</v>
      </c>
      <c r="DM21">
        <f>BD21*(c_Stroke1+c_Stroke2+c_HF2+c_DM+c_BN_2)</f>
        <v>4.1760930183859433</v>
      </c>
      <c r="DN21">
        <f>BE21*(c_Stroke2+c_HF2+c_DM+c_BN_2)</f>
        <v>9.6412645516391446</v>
      </c>
      <c r="DO21">
        <f t="shared" si="5"/>
        <v>0</v>
      </c>
      <c r="DP21">
        <f t="shared" si="38"/>
        <v>9445.2373712140834</v>
      </c>
      <c r="DQ21">
        <f>DP21/(1+r_)^A21</f>
        <v>5548.0814995069468</v>
      </c>
    </row>
    <row r="22" spans="1:121" x14ac:dyDescent="0.3">
      <c r="A22">
        <v>19</v>
      </c>
      <c r="B22">
        <v>64</v>
      </c>
      <c r="C22">
        <f t="shared" si="39"/>
        <v>36.251999999999995</v>
      </c>
      <c r="D22">
        <f t="shared" si="1"/>
        <v>125</v>
      </c>
      <c r="E22">
        <f t="shared" si="40"/>
        <v>5.7</v>
      </c>
      <c r="F22">
        <v>8.9599999999999992E-3</v>
      </c>
      <c r="G22">
        <v>1.523E-2</v>
      </c>
      <c r="H22">
        <f t="shared" si="3"/>
        <v>1.0213999999999999E-2</v>
      </c>
      <c r="I22">
        <f t="shared" si="20"/>
        <v>4.7655426853004217E-2</v>
      </c>
      <c r="J22">
        <f t="shared" si="21"/>
        <v>0.19429488327670863</v>
      </c>
      <c r="K22">
        <f t="shared" si="22"/>
        <v>0.26107481931629195</v>
      </c>
      <c r="L22">
        <f t="shared" si="23"/>
        <v>9.7215935750090576E-2</v>
      </c>
      <c r="M22">
        <f t="shared" si="24"/>
        <v>0.13344603726102677</v>
      </c>
      <c r="N22">
        <f t="shared" si="25"/>
        <v>0.41886961999503292</v>
      </c>
      <c r="O22">
        <f t="shared" si="26"/>
        <v>0.53556902222370562</v>
      </c>
      <c r="P22">
        <f t="shared" si="27"/>
        <v>0.2343178687195443</v>
      </c>
      <c r="Q22">
        <f t="shared" si="28"/>
        <v>0.31425629099311447</v>
      </c>
      <c r="R22">
        <f>IF(C22&lt;25, HT_f_low, IF(C22&lt;30, HT_f_mod, HT_f_high))</f>
        <v>0.42</v>
      </c>
      <c r="S22">
        <f>IF(C22&lt;25, HT_m_low, IF(C22&lt;30, HT_m_mod, HT_m_high))</f>
        <v>0.43099999999999999</v>
      </c>
      <c r="T22">
        <f>PREV_FEMALE*PREV_SMOKE*(1-$R22)*(1-EXP(-J22/10))+PREV_FEMALE*PREV_SMOKE*$R22*(1-EXP(-K22/10))+PREV_FEMALE*(1-PREV_SMOKE)*(1-$R22)*(1-EXP(-L22/10))+PREV_FEMALE*(1-PREV_SMOKE)*$R22*(1-EXP(-M22/10))+(1-PREV_FEMALE)*PREV_SMOKE*(1-$S22)*(1-EXP(-N22/10))+(1-PREV_FEMALE)*PREV_SMOKE*$S22*(1-EXP(-O22/10))+(1-PREV_FEMALE)*(1-PREV_SMOKE)*(1-$S22)*(1-EXP(-P22/10))+(1-PREV_FEMALE)*(1-PREV_SMOKE)*$S22*(1-EXP(-Q22/10))</f>
        <v>1.5808401459341533E-2</v>
      </c>
      <c r="U22">
        <f t="shared" si="29"/>
        <v>0.37510030156018082</v>
      </c>
      <c r="V22">
        <f t="shared" si="30"/>
        <v>0.48235251919321542</v>
      </c>
      <c r="W22">
        <f t="shared" si="31"/>
        <v>0.19954515243421878</v>
      </c>
      <c r="X22">
        <f t="shared" si="32"/>
        <v>0.26780952381861245</v>
      </c>
      <c r="Y22">
        <f t="shared" si="33"/>
        <v>0.60292231364289417</v>
      </c>
      <c r="Z22">
        <f t="shared" si="34"/>
        <v>0.72884632133778249</v>
      </c>
      <c r="AA22">
        <f t="shared" si="35"/>
        <v>0.3651211949908959</v>
      </c>
      <c r="AB22">
        <f t="shared" si="36"/>
        <v>0.47373519493017735</v>
      </c>
      <c r="AC22">
        <f>PREV_FEMALE*PREV_SMOKE*(1-$R22)*(1-EXP(-U22/10))+PREV_FEMALE*PREV_SMOKE*$R22*(1-EXP(-V22/10))+PREV_FEMALE*(1-PREV_SMOKE)*(1-$R22)*(1-EXP(-W22/10))+PREV_FEMALE*(1-PREV_SMOKE)*$R22*(1-EXP(-X22/10))+(1-PREV_FEMALE)*PREV_SMOKE*(1-$S22)*(1-EXP(-Y22/10))+(1-PREV_FEMALE)*PREV_SMOKE*$S22*(1-EXP(-Z22/10))+(1-PREV_FEMALE)*(1-PREV_SMOKE)*(1-$S22)*(1-EXP(-AA22/10))+(1-PREV_FEMALE)*(1-PREV_SMOKE)*$S22*(1-EXP(-AB22/10))</f>
        <v>2.85530850406161E-2</v>
      </c>
      <c r="AD22">
        <f t="shared" si="37"/>
        <v>0.27467553136535067</v>
      </c>
      <c r="AE22">
        <f t="shared" si="6"/>
        <v>3.0494143653094823E-2</v>
      </c>
      <c r="AF22">
        <f t="shared" si="7"/>
        <v>2.1552251763058325E-3</v>
      </c>
      <c r="AG22">
        <f t="shared" si="8"/>
        <v>8.8684431374338457E-3</v>
      </c>
      <c r="AH22">
        <f>AD21*T21*p_MI*p_MI_rec_mid*(1-I21)+AE21*T21*p_MI*p_MI_rec_mid*(1-I21) + AH21*(PREV_FEMALE*p_recur_MI_F + (1-PREV_FEMALE)*p_recur_MI_M)*p_MI_rec_mid*(1-I21) + AI21*(PREV_FEMALE*p_recur_MI_F + (1-PREV_FEMALE)*p_recur_MI_M)*p_MI_rec_mid*(1-I21)</f>
        <v>1.1828235233535983E-3</v>
      </c>
      <c r="AI22">
        <f>AH21*(1-(PREV_FEMALE*p_recur_MI_F + (1-PREV_FEMALE)*p_recur_MI_M) - T21*p_Stroke - p_toHF_mid - H21*rr_MI)*(1-I21) + AI21*(1-(PREV_FEMALE*p_recur_MI_F + (1-PREV_FEMALE)*p_recur_MI_M) - T21*p_Stroke - p_toHF_mid - H21*rr_MI)*(1-I21)</f>
        <v>6.2444688919631296E-3</v>
      </c>
      <c r="AJ22">
        <f t="shared" si="11"/>
        <v>4.7601691897204698E-5</v>
      </c>
      <c r="AK22">
        <f>AF21*T21*p_MI*p_MI_rec_mid*(1-I21) + AG21*T21*p_MI*p_MI_rec_mid*(1-I21) + AJ21*(PREV_FEMALE*p_recur_MI_F + (1-PREV_FEMALE)*p_recur_MI_M)*p_MI_rec_mid*(1-I21) + AK21*(PREV_FEMALE*p_recur_MI_F + (1-PREV_FEMALE)*p_recur_MI_M)*p_MI_rec_mid*(1-I21) + AL21*(PREV_FEMALE*p_recur_MI_F + (1-PREV_FEMALE)*p_recur_MI_M)*p_MI_rec_mid*(1-I21)</f>
        <v>3.896443284908151E-5</v>
      </c>
      <c r="AL22">
        <f>AJ21*(1-p_recur_Stroke-(PREV_FEMALE*p_recur_MI_F + (1-PREV_FEMALE)*p_recur_MI_M) - p_toHF_mid - H21*rr_MI*rr_Stroke)*(1-I21) + AK21*(1-p_recur_Stroke-(PREV_FEMALE*p_recur_MI_F + (1-PREV_FEMALE)*p_recur_MI_M) - p_toHF_mid - H21*rr_MI*rr_Stroke)*(1-I21) + AL21*(1-p_recur_Stroke-(PREV_FEMALE*p_recur_MI_F + (1-PREV_FEMALE)*p_recur_MI_M) - p_toHF_mid - H21*rr_MI*rr_Stroke)*(1-I21)</f>
        <v>1.6258023289646237E-4</v>
      </c>
      <c r="AM22">
        <f>AD21*T21*p_MI*p_MI_HF_mid*(1-I21) + AE21*T21*p_MI*p_MI_HF_mid*(1-I21) + AH21*p_toHF_mid*(1-I21) + AH21*(PREV_FEMALE*p_recur_MI_F + (1-PREV_FEMALE)*p_recur_MI_M)*p_MI_HF_mid*(1-I21) + AI21*p_toHF_mid*(1-I21) + AI21*(PREV_FEMALE*p_recur_MI_F + (1-PREV_FEMALE)*p_recur_MI_M)*p_MI_HF_mid*(1-I21)</f>
        <v>4.7906347846484284E-4</v>
      </c>
      <c r="AN22">
        <f t="shared" si="15"/>
        <v>3.9135138961549675E-3</v>
      </c>
      <c r="AO22">
        <f>AF21*T21*p_MI*p_MI_HF_mid*(1-I21) + AG21*T21*p_MI*p_MI_HF_mid*(1-I21) + AJ21*(PREV_FEMALE*p_recur_MI_F + (1-PREV_FEMALE)*p_recur_MI_M)*p_MI_HF_mid*(1-I21) + AJ21*p_toHF_mid*(1-I21) + AK21*(PREV_FEMALE*p_recur_MI_F + (1-PREV_FEMALE)*p_recur_MI_M)*p_MI_HF_mid*(1-I21) + AK21*p_toHF_mid*(1-I21) + AL21*(PREV_FEMALE*p_recur_MI_F + (1-PREV_FEMALE)*p_recur_MI_M)*p_MI_HF_mid*(1-I21) + AL21*p_toHF_mid*(1-I21)</f>
        <v>1.5434576047235545E-5</v>
      </c>
      <c r="AP22">
        <f>AM21*T21*p_Stroke*p_Stroke_rec*(1-I21) + AN21*T21*p_Stroke*p_Stroke_rec*(1-I21) + AO21*(p_recur_Stroke*p_Stroke_rec)*(1-I21) + AP21*(p_recur_Stroke*p_Stroke_rec)*(1-I21) + AQ21*(p_recur_Stroke*p_Stroke_rec)*(1-I21)</f>
        <v>2.5916864057241742E-5</v>
      </c>
      <c r="AQ22">
        <f>AO21*(1-p_recur_Stroke-H21*rr_Stroke*rr_HF)*(1-I21) + AP21*(1-p_recur_Stroke-H21*rr_Stroke*rr_HF)*(1-I21) + AQ21*(1-p_recur_Stroke-H21*rr_Stroke*rr_HF)*(1-I21)</f>
        <v>9.7609251807076757E-5</v>
      </c>
      <c r="AR22">
        <f>AR21*(1-AC21-H21*rr_DM) + AD21*(1-T21-H21)*I21</f>
        <v>0.37936346640663288</v>
      </c>
      <c r="AS22">
        <f>AR21*AC21*p_Other + AD21*T21*p_Other*I21 + AE21*(1-T21*p_Stroke-T21*p_MI-H21*rr_Other)*I21 + AS21*(1-AC21*p_Stroke-AC21*p_MI-H21*rr_Other*rr_DM)</f>
        <v>6.6560678022788228E-2</v>
      </c>
      <c r="AT22">
        <f>AR21*AC21*p_Stroke*p_Stroke_rec + AD21*T21*p_Stroke*p_Stroke_rec*I21 + AE21*T21*p_Stroke*p_Stroke_rec*I21 + AF21*p_recur_Stroke*p_Stroke_rec*I21 + AG21*p_recur_Stroke*p_Stroke_rec*I21 + AS21*AC21*p_Stroke*p_Stroke_rec + AT21*p_recur_Stroke*p_Stroke_rec + AU21*p_recur_Stroke*p_Stroke_rec</f>
        <v>5.2447780555237985E-3</v>
      </c>
      <c r="AU22">
        <f>AF21*(1-p_recur_Stroke-T21*p_MI-H21*rr_Stroke)*I21 + AG21*(1-p_recur_Stroke-T21*p_MI-H21*rr_Stroke)*I21 + AT21*(1-p_recur_Stroke-AC21*p_MI-H21*rr_Stroke*rr_DM) + AU21*(1-p_recur_Stroke-AC21*p_MI-H21*rr_Stroke*rr_DM)</f>
        <v>1.9914479673980176E-2</v>
      </c>
      <c r="AV22">
        <f>AR21*AC21*p_MI*p_MI_rec_mid + AD21*T21*p_MI*p_MI_rec_mid*I21 + AE21*T21*p_MI*p_MI_rec_mid*I21 +AH21*(PREV_FEMALE*p_recur_MI_F + (1-PREV_FEMALE)*p_recur_MI_M)*p_MI_rec_mid*I21 + AI21*(PREV_FEMALE*p_recur_MI_F + (1-PREV_FEMALE)*p_recur_MI_M)*p_MI_rec_mid*I21 + AS21*AC21*p_MI*p_MI_rec_mid + AV21*(PREV_FEMALE*p_recur_MI_F + (1-PREV_FEMALE)*p_recur_MI_M)*p_MI_rec_mid + AW21*(PREV_FEMALE*p_recur_MI_F + (1-PREV_FEMALE)*p_recur_MI_M)*p_MI_rec_mid</f>
        <v>2.9803174154845631E-3</v>
      </c>
      <c r="AW22">
        <f>AH21*(1-(PREV_FEMALE*p_recur_MI_F + (1-PREV_FEMALE)*p_recur_MI_M) - T21*p_Stroke - p_toHF_mid - H21*rr_MI)*I21 + AI21*(1-(PREV_FEMALE*p_recur_MI_F + (1-PREV_FEMALE)*p_recur_MI_M) - T21*p_Stroke - p_toHF_mid - H21*rr_MI)*I21 + AV21*(1-(PREV_FEMALE*p_recur_MI_F + (1-PREV_FEMALE)*p_recur_MI_M) - AC21*p_Stroke - p_toHF_mid - H21*rr_MI*rr_DM) + AW21*(1-(PREV_FEMALE*p_recur_MI_F + (1-PREV_FEMALE)*p_recur_MI_M) - AC21*p_Stroke - p_toHF_mid - H21*rr_MI*rr_DM)</f>
        <v>1.4305917706076161E-2</v>
      </c>
      <c r="AX22">
        <f>AH21*T21*p_Stroke*p_Stroke_rec*I21 + AI21*T21*p_Stroke*p_Stroke_rec*I21 + AJ21*p_recur_Stroke*p_Stroke_rec*I21 + AK21*p_recur_Stroke*p_Stroke_rec*I21 + AL21*p_recur_Stroke*p_Stroke_rec*I21 + AV21*AC21*p_Stroke*p_Stroke_rec + AW21*AC21*p_Stroke*p_Stroke_rec + AX21*p_recur_Stroke*p_Stroke_rec + AY21*p_recur_Stroke*p_Stroke_rec + AZ21*p_recur_Stroke*p_Stroke_rec</f>
        <v>1.839970691617708E-4</v>
      </c>
      <c r="AY22">
        <f>AF21*T21*p_MI*p_MI_rec_mid*I21 + AG21*T21*p_MI*p_MI_rec_mid*I21 + AJ21*(PREV_FEMALE*p_recur_MI_F+(1-PREV_FEMALE)*p_recur_MI_M)*p_MI_rec_mid*I21 + AK21*(PREV_FEMALE*p_recur_MI_F+(1-PREV_FEMALE)*p_recur_MI_M)*p_MI_rec_mid*I21 + AL21*(PREV_FEMALE*p_recur_MI_F+(1-PREV_FEMALE)*p_recur_MI_M)*p_MI_rec_mid*I21 + AT21*AC21*p_MI*p_MI_rec_mid + AU21*AC21*p_MI*p_MI_rec_mid + AX21*(PREV_FEMALE*p_recur_MI_F+(1-PREV_FEMALE)*p_recur_MI_M)*p_MI_rec_mid + AY21*(PREV_FEMALE*p_recur_MI_F+(1-PREV_FEMALE)*p_recur_MI_M)*p_MI_rec_mid + AZ21*(PREV_FEMALE*p_recur_MI_F+(1-PREV_FEMALE)*p_recur_MI_M)*p_MI_rec_mid</f>
        <v>1.5275581483299423E-4</v>
      </c>
      <c r="AZ22">
        <f>AJ21*(1-p_recur_Stroke-(PREV_FEMALE*p_recur_MI_F + (1-PREV_FEMALE)*p_recur_MI_M) - p_toHF_mid - H21*rr_MI*rr_Stroke)*I21 + AK21*(1-p_recur_Stroke-(PREV_FEMALE*p_recur_MI_F + (1-PREV_FEMALE)*p_recur_MI_M) - p_toHF_mid - H21*rr_MI*rr_Stroke)*I21 + AL21*(1-p_recur_Stroke-(PREV_FEMALE*p_recur_MI_F + (1-PREV_FEMALE)*p_recur_MI_M) - p_toHF_mid - H21*rr_MI*rr_Stroke)*I21 + AX21*(1-p_recur_Stroke-(PREV_FEMALE*p_recur_MI_F + (1-PREV_FEMALE)*p_recur_MI_M) - p_toHF_mid - H21*rr_MI*rr_Stroke*rr_DM) + AY21*(1-p_recur_Stroke-(PREV_FEMALE*p_recur_MI_F + (1-PREV_FEMALE)*p_recur_MI_M) - p_toHF_mid - H21*rr_MI*rr_Stroke*rr_DM) + AZ21*(1-p_recur_Stroke-(PREV_FEMALE*p_recur_MI_F + (1-PREV_FEMALE)*p_recur_MI_M) - p_toHF_mid - H21*rr_MI*rr_Stroke*rr_DM)</f>
        <v>5.8154937236397234E-4</v>
      </c>
      <c r="BA22">
        <f>AR21*AC21*p_MI*p_MI_HF_mid + AD21*T21*p_MI*p_MI_HF_mid*I21 + AE21*T21*p_MI*p_MI_HF_mid*I21 + AH21*p_toHF_mid*I21 + AH21*(PREV_FEMALE*p_recur_MI_F + (1-PREV_FEMALE)*p_recur_MI_M)*p_MI_HF_mid*I21 + AI21*p_toHF_mid*I21 + AI21*(PREV_FEMALE*p_recur_MI_F + (1-PREV_FEMALE)*p_recur_MI_M)*p_MI_HF_mid*I21 + AS21*AC21*p_MI*p_MI_HF_mid + AV21*(PREV_FEMALE*p_recur_MI_F + (1-PREV_FEMALE)*p_recur_MI_M)*p_MI_HF_mid + AV21*p_toHF_mid + AW21*(PREV_FEMALE*p_recur_MI_F + (1-PREV_FEMALE)*p_recur_MI_M)*p_MI_HF_mid + AW21*p_toHF_mid</f>
        <v>1.1594693586411914E-3</v>
      </c>
      <c r="BB22">
        <f>AM21*(1-T21*p_Stroke - H21*rr_HF)*I21 + AN21*(1-T21*p_Stroke - H21*rr_HF)*I21 + BA21*(1-AC21*p_Stroke - H21*rr_HF*rr_DM) + BB21*(1-AC21*p_Stroke - H21*rr_HF*rr_DM)</f>
        <v>8.5111628854363259E-3</v>
      </c>
      <c r="BC22">
        <f>AF21*T21*p_MI*p_MI_HF_mid*I21 + AG21*T21*p_MI*p_MI_HF_mid*I21 + AJ21*(PREV_FEMALE*p_recur_MI_F + (1-PREV_FEMALE)*p_recur_MI_M)*p_MI_HF_mid*I21 + AJ21*p_toHF_mid*I21 + AK21*(PREV_FEMALE*p_recur_MI_F + (1-PREV_FEMALE)*p_recur_MI_M)*p_MI_HF_mid*I21 + AK21*p_toHF_mid*I21 + AL21*(PREV_FEMALE*p_recur_MI_F + (1-PREV_FEMALE)*p_recur_MI_M)*p_MI_HF_mid*I21 + AL21*p_toHF_mid*I21 + AT21*AC21*p_MI*p_MI_HF_mid + AU21*AC21*p_MI*p_MI_HF_mid + AX21*(PREV_FEMALE*p_recur_MI_F + (1-PREV_FEMALE)*p_recur_MI_M)*p_MI_HF_mid + AX21*p_toHF_mid + AY21*(PREV_FEMALE*p_recur_MI_F + (1-PREV_FEMALE)*p_recur_MI_M)*p_MI_HF_mid + AY21*p_toHF_mid + AZ21*(PREV_FEMALE*p_recur_MI_F + (1-PREV_FEMALE)*p_recur_MI_M)*p_MI_HF_mid + AZ21*p_toHF_mid</f>
        <v>5.8372821206518859E-5</v>
      </c>
      <c r="BD22">
        <f>AM21*T21*p_Stroke*p_Stroke_rec*I21 + AN21*T21*p_Stroke*p_Stroke_rec*I21 + AO21*(p_recur_Stroke*p_Stroke_rec)*I21 + AP21*(p_recur_Stroke*p_Stroke_rec)*I21 + AQ21*(p_recur_Stroke*p_Stroke_rec)*I21 + BA21*AC21*p_Stroke*p_Stroke_rec + BB21*AC21*p_Stroke*p_Stroke_rec + BC21*(p_recur_Stroke*p_Stroke_rec) + BD21*(p_recur_Stroke*p_Stroke_rec) + BE21*(p_recur_Stroke*p_Stroke_rec)</f>
        <v>9.5286459207075667E-5</v>
      </c>
      <c r="BE22">
        <f>AO21*(1-p_recur_Stroke - H21*rr_Stroke*rr_HF)*I21 + AP21*(1-p_recur_Stroke-H21*rr_Stroke*rr_HF)*I21 + AQ21*(1-p_recur_Stroke-H21*rr_Stroke*rr_HF)*I21 + BC21*(1-p_recur_Stroke - H21*rr_Stroke*rr_HF*rr_DM) + BD21*(1-p_recur_Stroke-H21*rr_Stroke*rr_HF*rr_DM) + BE21*(1-p_recur_Stroke-H21*rr_Stroke*rr_HF*rr_DM)</f>
        <v>3.3169140512587139E-4</v>
      </c>
      <c r="BF22">
        <f>AD21*H21 + AE21*H21*rr_Other + AF21*H21*rr_Stroke + AG21*H21*rr_Stroke + AH21*H21*rr_MI + AI21*H21*rr_MI + AJ21*H21*rr_Stroke*rr_MI + AK21*H21*rr_Stroke*rr_MI + AL21*H21*rr_Stroke*rr_MI + AM21*H21*rr_HF + AN21*H21*rr_HF + AO21*H21*rr_Stroke*rr_HF + AP21*H21*rr_Stroke*rr_HF + AR21*H21*rr_DM + AS21*H21*rr_DM*rr_Other + AT21*H21*rr_DM*rr_Stroke + AU21*H21*rr_DM*rr_Stroke + AV21*H21*rr_DM*rr_MI + AW21*H21*rr_DM*rr_MI + AX21*H21*rr_DM*rr_Stroke*rr_MI + AY21*H21*rr_DM*rr_Stroke*rr_MI + AZ21*H21*rr_DM*rr_Stroke*rr_MI + BA21*H21*rr_DM*rr_HF + BB21*H21*rr_DM*rr_HF + BC21*H21*rr_DM*rr_Stroke*rr_HF + BD21*H21*rr_DM*rr_Stroke*rr_HF + AQ21*H21*rr_Stroke*rr_HF + BE21*H21*rr_DM*rr_Stroke*rr_HF
+ AD21*T21*p_MI*p_MI_mort + AD21*T21*p_Stroke*p_Stroke_mort + AE21*T21*p_MI*p_MI_mort + AE21*T21*p_Stroke*p_Stroke_mort + AF21*T21*p_MI*p_MI_mort + AF21*p_recur_Stroke*p_Stroke_mort + AG21*T21*p_MI*p_MI_mort + AG21*p_recur_Stroke*p_Stroke_mort + AH21*(PREV_FEMALE*p_recur_MI_F + (1-PREV_FEMALE)*p_recur_MI_M)*p_MI_mort + AH21*T21*p_Stroke*p_Stroke_mort + AI21*(PREV_FEMALE*p_recur_MI_F + (1-PREV_FEMALE)*p_recur_MI_M)*p_MI_mort + AI21*T21*p_Stroke*p_Stroke_mort + AJ21*(PREV_FEMALE*p_recur_MI_F + (1-PREV_FEMALE)*p_recur_MI_M)*p_MI_mort + AJ21*p_recur_Stroke*p_Stroke_mort + AK21*(PREV_FEMALE*p_recur_MI_F + (1-PREV_FEMALE)*p_recur_MI_M)*p_MI_mort + AK21*p_recur_Stroke*p_Stroke_mort + AL21*(PREV_FEMALE*p_recur_MI_F + (1-PREV_FEMALE)*p_recur_MI_M)*p_MI_mort + AL21*p_recur_Stroke*p_Stroke_mort + AM21*T21*p_Stroke*p_Stroke_mort + AN21*T21*p_Stroke*p_Stroke_mort + AO21*p_recur_Stroke*p_Stroke_mort + AP21*p_recur_Stroke*p_Stroke_mort + AQ21*p_recur_Stroke*p_Stroke_mort
+ AR21*AC21*p_MI*p_MI_mort + AR21*AC21*p_Stroke*p_Stroke_mort + AS21*AC21*p_MI*p_MI_mort + AS21*AC21*p_Stroke*p_Stroke_mort + AT21*AC21*p_MI*p_MI_mort + AT21*p_recur_Stroke*p_Stroke_mort + AU21*AC21*p_MI*p_MI_mort + AU21*p_recur_Stroke*p_Stroke_mort + AV21*(PREV_FEMALE*p_recur_MI_F + (1-PREV_FEMALE)*p_recur_MI_M)*p_MI_mort + AV21*AC21*p_Stroke*p_Stroke_mort + AW21*(PREV_FEMALE*p_recur_MI_F + (1-PREV_FEMALE)*p_recur_MI_M)*p_MI_mort + AW21*AC21*p_Stroke*p_Stroke_mort + AX21*(PREV_FEMALE*p_recur_MI_F + (1-PREV_FEMALE)*p_recur_MI_M)*p_MI_mort + AX21*p_recur_Stroke*p_Stroke_mort + AY21*(PREV_FEMALE*p_recur_MI_F + (1-PREV_FEMALE)*p_recur_MI_M)*p_MI_mort + AY21*p_recur_Stroke*p_Stroke_mort + AZ21*(PREV_FEMALE*p_recur_MI_F + (1-PREV_FEMALE)*p_recur_MI_M)*p_MI_mort + AZ21*p_recur_Stroke*p_Stroke_mort + BA21*AC21*p_Stroke*p_Stroke_mort + BB21*AC21*p_Stroke*p_Stroke_mort + BC21*p_recur_Stroke*p_Stroke_mort + BD21*p_recur_Stroke*p_Stroke_mort + BE21*p_recur_Stroke*p_Stroke_mort
+BF21</f>
        <v>0.1191547573618626</v>
      </c>
      <c r="BG22">
        <f t="shared" si="17"/>
        <v>0.94699999999999984</v>
      </c>
      <c r="BH22">
        <f>(0.9442 - 0.0007*$B22 - dis_BMI*($C22-21.75))*AD22</f>
        <v>0.23389813587565736</v>
      </c>
      <c r="BI22">
        <f>0.959*(0.9442 - 0.0007*$B22 - dis_BMI*($C22-21.75))*AE22</f>
        <v>2.4902436209020551E-2</v>
      </c>
      <c r="BJ22">
        <f>(0.943*(0.9442 - 0.0007*$B22 - dis_BMI*($C22-21.75)) - 0.19*0.5)*AF22</f>
        <v>1.5259111195073812E-3</v>
      </c>
      <c r="BK22">
        <f>(0.943*(0.9442 - 0.0007*$B22 - dis_BMI*($C22-21.75)))*AG22</f>
        <v>7.1214079613055306E-3</v>
      </c>
      <c r="BL22">
        <f>(0.955*(0.9442 - 0.0007*$B22 - dis_BMI*($C22-21.75)) - 0.15*0.5)*AH22</f>
        <v>8.7318865001454003E-4</v>
      </c>
      <c r="BM22">
        <f>(0.955*(0.9442 - 0.0007*$B22 - dis_BMI*($C22-21.75)))*AI22</f>
        <v>5.078151639240973E-3</v>
      </c>
      <c r="BN22">
        <f>(0.955*0.943*(0.9442 - 0.0007*$B22 - dis_BMI*($C22-21.75)) - 0.19*0.5)*AJ22</f>
        <v>3.1982157399482486E-5</v>
      </c>
      <c r="BO22">
        <f>(0.955*0.943*(0.9442 - 0.0007*$B22 - dis_BMI*($C22-21.75)) - 0.15*0.5)*AK22</f>
        <v>2.6958329247639059E-5</v>
      </c>
      <c r="BP22">
        <f>(0.955*0.943*(0.9442 - 0.0007*$B22 - dis_BMI*($C22-21.75)))*AL22</f>
        <v>1.2467793279432668E-4</v>
      </c>
      <c r="BQ22">
        <f>(0.93*(0.9442 - 0.0007*$B22 - dis_BMI*($C22-21.75)))*AM22</f>
        <v>3.7938730923903457E-4</v>
      </c>
      <c r="BR22">
        <f>(0.93*(0.9442 - 0.0007*$B22 - dis_BMI*($C22-21.75)))*AN22</f>
        <v>3.0992500440435149E-3</v>
      </c>
      <c r="BS22">
        <f>(0.93*0.943*(0.9442 - 0.0007*$B22 - dis_BMI*($C22-21.75)))*AO22</f>
        <v>1.1526464934834824E-5</v>
      </c>
      <c r="BT22">
        <f>(0.93*0.943*(0.9442 - 0.0007*$B22 - dis_BMI*($C22-21.75))-0.19*0.5)*AP22</f>
        <v>1.6892483609851204E-5</v>
      </c>
      <c r="BU22">
        <f>(0.93*0.943*(0.9442 - 0.0007*$B22 - dis_BMI*($C22-21.75)))*AQ22</f>
        <v>7.2894105729016468E-5</v>
      </c>
      <c r="BV22">
        <f>0.962*(0.9442 - 0.0007*$B22 - dis_BMI*($C22-21.75))*AR22</f>
        <v>0.31076876669094178</v>
      </c>
      <c r="BW22">
        <f>0.962*0.959*(0.9442 - 0.0007*$B22 - dis_BMI*($C22-21.75))*AS22</f>
        <v>5.2289947249170556E-2</v>
      </c>
      <c r="BX22">
        <f>0.962*(0.943*(0.9442 - 0.0007*$B22 - dis_BMI*($C22-21.75)) - 0.19*0.5)*AT22</f>
        <v>3.5722247322695637E-3</v>
      </c>
      <c r="BY22">
        <f>0.962*(0.943*(0.9442 - 0.0007*$B22 - dis_BMI*($C22-21.75)))*AU22</f>
        <v>1.5383760699105771E-2</v>
      </c>
      <c r="BZ22">
        <f>0.962*(0.955*(0.9442 - 0.0007*$B22 - dis_BMI*($C22-21.75)) - 0.15*0.5)*AV22</f>
        <v>2.1165363017125226E-3</v>
      </c>
      <c r="CA22">
        <f>0.962*(0.955*(0.9442 - 0.0007*$B22 - dis_BMI*($C22-21.75)))*AW22</f>
        <v>1.1191826097621527E-2</v>
      </c>
      <c r="CB22">
        <f>0.962*(0.955*0.943*(0.9442 - 0.0007*$B22 - dis_BMI*($C22-21.75)) - 0.19*0.5)*AX22</f>
        <v>1.1892450286378558E-4</v>
      </c>
      <c r="CC22">
        <f>0.962*(0.955*0.943*(0.9442 - 0.0007*$B22 - dis_BMI*($C22-21.75)) - 0.15*0.5)*AY22</f>
        <v>1.0167108006356564E-4</v>
      </c>
      <c r="CD22">
        <f>0.962*(0.955*0.943*(0.9442 - 0.0007*$B22 - dis_BMI*($C22-21.75)))*AZ22</f>
        <v>4.2902590386347732E-4</v>
      </c>
      <c r="CE22">
        <f>0.962*(0.93*(0.9442 - 0.0007*$B22 - dis_BMI*($C22-21.75)))*BA22</f>
        <v>8.8333224438540993E-4</v>
      </c>
      <c r="CF22">
        <f>0.962*(0.93*(0.9442 - 0.0007*$B22 - dis_BMI*($C22-21.75)))*BB22</f>
        <v>6.4841598080116608E-3</v>
      </c>
      <c r="CG22">
        <f>0.962*(0.93*0.943*(0.9442 - 0.0007*$B22 - dis_BMI*($C22-21.75)))*BC22</f>
        <v>4.1936017438097901E-5</v>
      </c>
      <c r="CH22">
        <f>0.962*(0.93*0.943*(0.9442 - 0.0007*$B22 - dis_BMI*($C22-21.75))-0.19*0.5)*BD22</f>
        <v>5.974716689724461E-5</v>
      </c>
      <c r="CI22">
        <f>0.962*(0.93*0.943*(0.9442 - 0.0007*$B22 - dis_BMI*($C22-21.75)))*BE22</f>
        <v>2.3829268933591206E-4</v>
      </c>
      <c r="CJ22">
        <f t="shared" si="18"/>
        <v>0</v>
      </c>
      <c r="CK22">
        <f t="shared" si="19"/>
        <v>0.68084295146542484</v>
      </c>
      <c r="CL22">
        <f>CK22/(1+r_)^A22</f>
        <v>0.38827522167412143</v>
      </c>
      <c r="CM22">
        <f>AD22*c_BN_2</f>
        <v>575.44523821040968</v>
      </c>
      <c r="CN22">
        <f>AE22*(c_Other+c_BN_2)</f>
        <v>499.31110817577462</v>
      </c>
      <c r="CO22">
        <f>AF22*(c_Stroke1+c_Stroke2+c_BN_2)</f>
        <v>55.844039543260429</v>
      </c>
      <c r="CP22">
        <f>AG22*(c_Stroke2 + c_BN_2)</f>
        <v>76.22426876624391</v>
      </c>
      <c r="CQ22">
        <f>AH22*(c_MI1+c_MI2 + c_BN_2)</f>
        <v>36.958503810706532</v>
      </c>
      <c r="CR22">
        <f>AI22*(c_MI2+c_BN_2)</f>
        <v>32.546171864911834</v>
      </c>
      <c r="CS22">
        <f>AJ22*(c_Stroke1+c_Stroke2+c_MI2+c_BN_2)</f>
        <v>1.3817819123920581</v>
      </c>
      <c r="CT22">
        <f>AK22*(c_Stroke2+c_MI1+c_MI2+c_BN_2)</f>
        <v>1.4707514823214307</v>
      </c>
      <c r="CU22">
        <f>AL22*(c_Stroke2+c_MI2+c_BN_2)</f>
        <v>1.9041396876833674</v>
      </c>
      <c r="CV22">
        <f>AM22*(c_HF1+c_BN_2)</f>
        <v>13.952723810288548</v>
      </c>
      <c r="CW22">
        <f>AN22*(c_HF2+c_BN_2)</f>
        <v>69.269195961942927</v>
      </c>
      <c r="CX22">
        <f>AO22*(c_Stroke2+c_HF1+c_BN_2)</f>
        <v>0.54985677168276625</v>
      </c>
      <c r="CY22">
        <f>AP22*(c_Stroke1+c_Stroke2+c_HF2+c_BN_2)</f>
        <v>1.0759645282004482</v>
      </c>
      <c r="CZ22">
        <f>AQ22*(c_Stroke2+c_HF2+c_BN_2)</f>
        <v>2.3621438937312575</v>
      </c>
      <c r="DA22">
        <f>AR22*(c_DM+c_BN_2)</f>
        <v>5128.9940658176765</v>
      </c>
      <c r="DB22">
        <f>AS22*(c_Other+c_DM+c_BN_2)</f>
        <v>1850.32028835549</v>
      </c>
      <c r="DC22">
        <f>AT22*(c_Stroke1+c_Stroke2+c_DM+c_BN_2)</f>
        <v>195.81903348103654</v>
      </c>
      <c r="DD22">
        <f>AU22*(c_Stroke2+c_DM+c_BN_2)</f>
        <v>398.68788307308313</v>
      </c>
      <c r="DE22">
        <f>AV22*(c_MI1+c_MI2+c_DM+c_BN_2)</f>
        <v>127.17312443614179</v>
      </c>
      <c r="DF22">
        <f>AW22*(c_MI2+c_DM+c_BN_2)</f>
        <v>238.00755287598909</v>
      </c>
      <c r="DG22">
        <f>AX22*(c_Stroke1+c_Stroke2+c_MI2+c_DM+c_BN_2)</f>
        <v>7.4432334388011139</v>
      </c>
      <c r="DH22">
        <f>AY22*(c_Stroke2+c_MI1+c_MI2+c_DM+c_BN_2)</f>
        <v>7.5111561711531598</v>
      </c>
      <c r="DI22">
        <f>AZ22*(c_Stroke2+c_MI2+c_DM+c_BN_2)</f>
        <v>13.455307828385228</v>
      </c>
      <c r="DJ22">
        <f>BA22*(c_HF1+c_DM+c_BN_2)</f>
        <v>47.016482492900309</v>
      </c>
      <c r="DK22">
        <f>BB22*(c_HF2+c_DM+c_BN_2)</f>
        <v>247.88761903833299</v>
      </c>
      <c r="DL22">
        <f>BC22*(c_Stroke2+c_HF1+c_DM+c_BN_2)</f>
        <v>2.7464412377667125</v>
      </c>
      <c r="DM22">
        <f>BD22*(c_Stroke1+c_Stroke2+c_HF2+c_DM+c_BN_2)</f>
        <v>5.0445604368817927</v>
      </c>
      <c r="DN22">
        <f>BE22*(c_Stroke2+c_HF2+c_DM+c_BN_2)</f>
        <v>11.816506307609169</v>
      </c>
      <c r="DO22">
        <f t="shared" si="5"/>
        <v>0</v>
      </c>
      <c r="DP22">
        <f t="shared" si="38"/>
        <v>9650.2191434107954</v>
      </c>
      <c r="DQ22">
        <f>DP22/(1+r_)^A22</f>
        <v>5503.3851331601209</v>
      </c>
    </row>
    <row r="23" spans="1:121" x14ac:dyDescent="0.3">
      <c r="A23">
        <v>20</v>
      </c>
      <c r="B23">
        <v>65</v>
      </c>
      <c r="C23">
        <f t="shared" si="39"/>
        <v>36.251999999999995</v>
      </c>
      <c r="D23">
        <f t="shared" si="1"/>
        <v>125</v>
      </c>
      <c r="E23">
        <f t="shared" si="40"/>
        <v>5.7</v>
      </c>
      <c r="F23">
        <v>9.7199999999999995E-3</v>
      </c>
      <c r="G23">
        <v>1.6250000000000001E-2</v>
      </c>
      <c r="H23">
        <f t="shared" si="3"/>
        <v>1.1025999999999999E-2</v>
      </c>
      <c r="I23">
        <f t="shared" si="20"/>
        <v>4.7655426853004217E-2</v>
      </c>
      <c r="J23">
        <f t="shared" si="21"/>
        <v>0.20176052608406603</v>
      </c>
      <c r="K23">
        <f t="shared" si="22"/>
        <v>0.27064596495346016</v>
      </c>
      <c r="L23">
        <f t="shared" si="23"/>
        <v>0.10118570671142846</v>
      </c>
      <c r="M23">
        <f t="shared" si="24"/>
        <v>0.1387778477670002</v>
      </c>
      <c r="N23">
        <f t="shared" si="25"/>
        <v>0.43425942812117191</v>
      </c>
      <c r="O23">
        <f t="shared" si="26"/>
        <v>0.55285227970483897</v>
      </c>
      <c r="P23">
        <f t="shared" si="27"/>
        <v>0.24436004060452954</v>
      </c>
      <c r="Q23">
        <f t="shared" si="28"/>
        <v>0.3269298594423542</v>
      </c>
      <c r="R23">
        <f>IF(C23&lt;25, HT_f_low, IF(C23&lt;30, HT_f_mod, HT_f_high))</f>
        <v>0.42</v>
      </c>
      <c r="S23">
        <f>IF(C23&lt;25, HT_m_low, IF(C23&lt;30, HT_m_mod, HT_m_high))</f>
        <v>0.43099999999999999</v>
      </c>
      <c r="T23">
        <f>PREV_FEMALE*PREV_SMOKE*(1-$R23)*(1-EXP(-J23/10))+PREV_FEMALE*PREV_SMOKE*$R23*(1-EXP(-K23/10))+PREV_FEMALE*(1-PREV_SMOKE)*(1-$R23)*(1-EXP(-L23/10))+PREV_FEMALE*(1-PREV_SMOKE)*$R23*(1-EXP(-M23/10))+(1-PREV_FEMALE)*PREV_SMOKE*(1-$S23)*(1-EXP(-N23/10))+(1-PREV_FEMALE)*PREV_SMOKE*$S23*(1-EXP(-O23/10))+(1-PREV_FEMALE)*(1-PREV_SMOKE)*(1-$S23)*(1-EXP(-P23/10))+(1-PREV_FEMALE)*(1-PREV_SMOKE)*$S23*(1-EXP(-Q23/10))</f>
        <v>1.6433033782623088E-2</v>
      </c>
      <c r="U23">
        <f t="shared" si="29"/>
        <v>0.38763315084154082</v>
      </c>
      <c r="V23">
        <f t="shared" si="30"/>
        <v>0.49683354405540425</v>
      </c>
      <c r="W23">
        <f t="shared" si="31"/>
        <v>0.20718552364801324</v>
      </c>
      <c r="X23">
        <f t="shared" si="32"/>
        <v>0.27757851375080633</v>
      </c>
      <c r="Y23">
        <f t="shared" si="33"/>
        <v>0.62064956662606197</v>
      </c>
      <c r="Z23">
        <f t="shared" si="34"/>
        <v>0.74579211966902836</v>
      </c>
      <c r="AA23">
        <f t="shared" si="35"/>
        <v>0.37922497079495787</v>
      </c>
      <c r="AB23">
        <f t="shared" si="36"/>
        <v>0.49017823329085186</v>
      </c>
      <c r="AC23">
        <f>PREV_FEMALE*PREV_SMOKE*(1-$R23)*(1-EXP(-U23/10))+PREV_FEMALE*PREV_SMOKE*$R23*(1-EXP(-V23/10))+PREV_FEMALE*(1-PREV_SMOKE)*(1-$R23)*(1-EXP(-W23/10))+PREV_FEMALE*(1-PREV_SMOKE)*$R23*(1-EXP(-X23/10))+(1-PREV_FEMALE)*PREV_SMOKE*(1-$S23)*(1-EXP(-Y23/10))+(1-PREV_FEMALE)*PREV_SMOKE*$S23*(1-EXP(-Z23/10))+(1-PREV_FEMALE)*(1-PREV_SMOKE)*(1-$S23)*(1-EXP(-AA23/10))+(1-PREV_FEMALE)*(1-PREV_SMOKE)*$S23*(1-EXP(-AB23/10))</f>
        <v>2.9558582001437905E-2</v>
      </c>
      <c r="AD23">
        <f t="shared" si="37"/>
        <v>0.25477866222600526</v>
      </c>
      <c r="AE23">
        <f t="shared" si="6"/>
        <v>3.0545144561830429E-2</v>
      </c>
      <c r="AF23">
        <f t="shared" si="7"/>
        <v>2.1311787496646317E-3</v>
      </c>
      <c r="AG23">
        <f t="shared" si="8"/>
        <v>8.866389666998287E-3</v>
      </c>
      <c r="AH23">
        <f>AD22*T22*p_MI*p_MI_rec_mid*(1-I22)+AE22*T22*p_MI*p_MI_rec_mid*(1-I22) + AH22*(PREV_FEMALE*p_recur_MI_F + (1-PREV_FEMALE)*p_recur_MI_M)*p_MI_rec_mid*(1-I22) + AI22*(PREV_FEMALE*p_recur_MI_F + (1-PREV_FEMALE)*p_recur_MI_M)*p_MI_rec_mid*(1-I22)</f>
        <v>1.1591490329998805E-3</v>
      </c>
      <c r="AI23">
        <f>AH22*(1-(PREV_FEMALE*p_recur_MI_F + (1-PREV_FEMALE)*p_recur_MI_M) - T22*p_Stroke - p_toHF_mid - H22*rr_MI)*(1-I22) + AI22*(1-(PREV_FEMALE*p_recur_MI_F + (1-PREV_FEMALE)*p_recur_MI_M) - T22*p_Stroke - p_toHF_mid - H22*rr_MI)*(1-I22)</f>
        <v>6.1900647926467029E-3</v>
      </c>
      <c r="AJ23">
        <f t="shared" si="11"/>
        <v>4.9855695463160398E-5</v>
      </c>
      <c r="AK23">
        <f>AF22*T22*p_MI*p_MI_rec_mid*(1-I22) + AG22*T22*p_MI*p_MI_rec_mid*(1-I22) + AJ22*(PREV_FEMALE*p_recur_MI_F + (1-PREV_FEMALE)*p_recur_MI_M)*p_MI_rec_mid*(1-I22) + AK22*(PREV_FEMALE*p_recur_MI_F + (1-PREV_FEMALE)*p_recur_MI_M)*p_MI_rec_mid*(1-I22) + AL22*(PREV_FEMALE*p_recur_MI_F + (1-PREV_FEMALE)*p_recur_MI_M)*p_MI_rec_mid*(1-I22)</f>
        <v>4.0851444835651799E-5</v>
      </c>
      <c r="AL23">
        <f>AJ22*(1-p_recur_Stroke-(PREV_FEMALE*p_recur_MI_F + (1-PREV_FEMALE)*p_recur_MI_M) - p_toHF_mid - H22*rr_MI*rr_Stroke)*(1-I22) + AK22*(1-p_recur_Stroke-(PREV_FEMALE*p_recur_MI_F + (1-PREV_FEMALE)*p_recur_MI_M) - p_toHF_mid - H22*rr_MI*rr_Stroke)*(1-I22) + AL22*(1-p_recur_Stroke-(PREV_FEMALE*p_recur_MI_F + (1-PREV_FEMALE)*p_recur_MI_M) - p_toHF_mid - H22*rr_MI*rr_Stroke)*(1-I22)</f>
        <v>1.71877770604231E-4</v>
      </c>
      <c r="AM23">
        <f>AD22*T22*p_MI*p_MI_HF_mid*(1-I22) + AE22*T22*p_MI*p_MI_HF_mid*(1-I22) + AH22*p_toHF_mid*(1-I22) + AH22*(PREV_FEMALE*p_recur_MI_F + (1-PREV_FEMALE)*p_recur_MI_M)*p_MI_HF_mid*(1-I22) + AI22*p_toHF_mid*(1-I22) + AI22*(PREV_FEMALE*p_recur_MI_F + (1-PREV_FEMALE)*p_recur_MI_M)*p_MI_HF_mid*(1-I22)</f>
        <v>4.7222348528509414E-4</v>
      </c>
      <c r="AN23">
        <f t="shared" si="15"/>
        <v>4.090272830373263E-3</v>
      </c>
      <c r="AO23">
        <f>AF22*T22*p_MI*p_MI_HF_mid*(1-I22) + AG22*T22*p_MI*p_MI_HF_mid*(1-I22) + AJ22*(PREV_FEMALE*p_recur_MI_F + (1-PREV_FEMALE)*p_recur_MI_M)*p_MI_HF_mid*(1-I22) + AJ22*p_toHF_mid*(1-I22) + AK22*(PREV_FEMALE*p_recur_MI_F + (1-PREV_FEMALE)*p_recur_MI_M)*p_MI_HF_mid*(1-I22) + AK22*p_toHF_mid*(1-I22) + AL22*(PREV_FEMALE*p_recur_MI_F + (1-PREV_FEMALE)*p_recur_MI_M)*p_MI_HF_mid*(1-I22) + AL22*p_toHF_mid*(1-I22)</f>
        <v>1.6270084770216114E-5</v>
      </c>
      <c r="AP23">
        <f>AM22*T22*p_Stroke*p_Stroke_rec*(1-I22) + AN22*T22*p_Stroke*p_Stroke_rec*(1-I22) + AO22*(p_recur_Stroke*p_Stroke_rec)*(1-I22) + AP22*(p_recur_Stroke*p_Stroke_rec)*(1-I22) + AQ22*(p_recur_Stroke*p_Stroke_rec)*(1-I22)</f>
        <v>2.8603369619436441E-5</v>
      </c>
      <c r="AQ23">
        <f>AO22*(1-p_recur_Stroke-H22*rr_Stroke*rr_HF)*(1-I22) + AP22*(1-p_recur_Stroke-H22*rr_Stroke*rr_HF)*(1-I22) + AQ22*(1-p_recur_Stroke-H22*rr_Stroke*rr_HF)*(1-I22)</f>
        <v>1.0875772259971917E-4</v>
      </c>
      <c r="AR23">
        <f>AR22*(1-AC22-H22*rr_DM) + AD22*(1-T22-H22)*I22</f>
        <v>0.37682458006736075</v>
      </c>
      <c r="AS23">
        <f>AR22*AC22*p_Other + AD22*T22*p_Other*I22 + AE22*(1-T22*p_Stroke-T22*p_MI-H22*rr_Other)*I22 + AS22*(1-AC22*p_Stroke-AC22*p_MI-H22*rr_Other*rr_DM)</f>
        <v>7.1706054293033256E-2</v>
      </c>
      <c r="AT23">
        <f>AR22*AC22*p_Stroke*p_Stroke_rec + AD22*T22*p_Stroke*p_Stroke_rec*I22 + AE22*T22*p_Stroke*p_Stroke_rec*I22 + AF22*p_recur_Stroke*p_Stroke_rec*I22 + AG22*p_recur_Stroke*p_Stroke_rec*I22 + AS22*AC22*p_Stroke*p_Stroke_rec + AT22*p_recur_Stroke*p_Stroke_rec + AU22*p_recur_Stroke*p_Stroke_rec</f>
        <v>5.5784255913427921E-3</v>
      </c>
      <c r="AU23">
        <f>AF22*(1-p_recur_Stroke-T22*p_MI-H22*rr_Stroke)*I22 + AG22*(1-p_recur_Stroke-T22*p_MI-H22*rr_Stroke)*I22 + AT22*(1-p_recur_Stroke-AC22*p_MI-H22*rr_Stroke*rr_DM) + AU22*(1-p_recur_Stroke-AC22*p_MI-H22*rr_Stroke*rr_DM)</f>
        <v>2.1500792057289581E-2</v>
      </c>
      <c r="AV23">
        <f>AR22*AC22*p_MI*p_MI_rec_mid + AD22*T22*p_MI*p_MI_rec_mid*I22 + AE22*T22*p_MI*p_MI_rec_mid*I22 +AH22*(PREV_FEMALE*p_recur_MI_F + (1-PREV_FEMALE)*p_recur_MI_M)*p_MI_rec_mid*I22 + AI22*(PREV_FEMALE*p_recur_MI_F + (1-PREV_FEMALE)*p_recur_MI_M)*p_MI_rec_mid*I22 + AS22*AC22*p_MI*p_MI_rec_mid + AV22*(PREV_FEMALE*p_recur_MI_F + (1-PREV_FEMALE)*p_recur_MI_M)*p_MI_rec_mid + AW22*(PREV_FEMALE*p_recur_MI_F + (1-PREV_FEMALE)*p_recur_MI_M)*p_MI_rec_mid</f>
        <v>3.1407773380523838E-3</v>
      </c>
      <c r="AW23">
        <f>AH22*(1-(PREV_FEMALE*p_recur_MI_F + (1-PREV_FEMALE)*p_recur_MI_M) - T22*p_Stroke - p_toHF_mid - H22*rr_MI)*I22 + AI22*(1-(PREV_FEMALE*p_recur_MI_F + (1-PREV_FEMALE)*p_recur_MI_M) - T22*p_Stroke - p_toHF_mid - H22*rr_MI)*I22 + AV22*(1-(PREV_FEMALE*p_recur_MI_F + (1-PREV_FEMALE)*p_recur_MI_M) - AC22*p_Stroke - p_toHF_mid - H22*rr_MI*rr_DM) + AW22*(1-(PREV_FEMALE*p_recur_MI_F + (1-PREV_FEMALE)*p_recur_MI_M) - AC22*p_Stroke - p_toHF_mid - H22*rr_MI*rr_DM)</f>
        <v>1.5344868565385987E-2</v>
      </c>
      <c r="AX23">
        <f>AH22*T22*p_Stroke*p_Stroke_rec*I22 + AI22*T22*p_Stroke*p_Stroke_rec*I22 + AJ22*p_recur_Stroke*p_Stroke_rec*I22 + AK22*p_recur_Stroke*p_Stroke_rec*I22 + AL22*p_recur_Stroke*p_Stroke_rec*I22 + AV22*AC22*p_Stroke*p_Stroke_rec + AW22*AC22*p_Stroke*p_Stroke_rec + AX22*p_recur_Stroke*p_Stroke_rec + AY22*p_recur_Stroke*p_Stroke_rec + AZ22*p_recur_Stroke*p_Stroke_rec</f>
        <v>2.0831589582155212E-4</v>
      </c>
      <c r="AY23">
        <f>AF22*T22*p_MI*p_MI_rec_mid*I22 + AG22*T22*p_MI*p_MI_rec_mid*I22 + AJ22*(PREV_FEMALE*p_recur_MI_F+(1-PREV_FEMALE)*p_recur_MI_M)*p_MI_rec_mid*I22 + AK22*(PREV_FEMALE*p_recur_MI_F+(1-PREV_FEMALE)*p_recur_MI_M)*p_MI_rec_mid*I22 + AL22*(PREV_FEMALE*p_recur_MI_F+(1-PREV_FEMALE)*p_recur_MI_M)*p_MI_rec_mid*I22 + AT22*AC22*p_MI*p_MI_rec_mid + AU22*AC22*p_MI*p_MI_rec_mid + AX22*(PREV_FEMALE*p_recur_MI_F+(1-PREV_FEMALE)*p_recur_MI_M)*p_MI_rec_mid + AY22*(PREV_FEMALE*p_recur_MI_F+(1-PREV_FEMALE)*p_recur_MI_M)*p_MI_rec_mid + AZ22*(PREV_FEMALE*p_recur_MI_F+(1-PREV_FEMALE)*p_recur_MI_M)*p_MI_rec_mid</f>
        <v>1.727862994528034E-4</v>
      </c>
      <c r="AZ23">
        <f>AJ22*(1-p_recur_Stroke-(PREV_FEMALE*p_recur_MI_F + (1-PREV_FEMALE)*p_recur_MI_M) - p_toHF_mid - H22*rr_MI*rr_Stroke)*I22 + AK22*(1-p_recur_Stroke-(PREV_FEMALE*p_recur_MI_F + (1-PREV_FEMALE)*p_recur_MI_M) - p_toHF_mid - H22*rr_MI*rr_Stroke)*I22 + AL22*(1-p_recur_Stroke-(PREV_FEMALE*p_recur_MI_F + (1-PREV_FEMALE)*p_recur_MI_M) - p_toHF_mid - H22*rr_MI*rr_Stroke)*I22 + AX22*(1-p_recur_Stroke-(PREV_FEMALE*p_recur_MI_F + (1-PREV_FEMALE)*p_recur_MI_M) - p_toHF_mid - H22*rr_MI*rr_Stroke*rr_DM) + AY22*(1-p_recur_Stroke-(PREV_FEMALE*p_recur_MI_F + (1-PREV_FEMALE)*p_recur_MI_M) - p_toHF_mid - H22*rr_MI*rr_Stroke*rr_DM) + AZ22*(1-p_recur_Stroke-(PREV_FEMALE*p_recur_MI_F + (1-PREV_FEMALE)*p_recur_MI_M) - p_toHF_mid - H22*rr_MI*rr_Stroke*rr_DM)</f>
        <v>6.6684979153988719E-4</v>
      </c>
      <c r="BA23">
        <f>AR22*AC22*p_MI*p_MI_HF_mid + AD22*T22*p_MI*p_MI_HF_mid*I22 + AE22*T22*p_MI*p_MI_HF_mid*I22 + AH22*p_toHF_mid*I22 + AH22*(PREV_FEMALE*p_recur_MI_F + (1-PREV_FEMALE)*p_recur_MI_M)*p_MI_HF_mid*I22 + AI22*p_toHF_mid*I22 + AI22*(PREV_FEMALE*p_recur_MI_F + (1-PREV_FEMALE)*p_recur_MI_M)*p_MI_HF_mid*I22 + AS22*AC22*p_MI*p_MI_HF_mid + AV22*(PREV_FEMALE*p_recur_MI_F + (1-PREV_FEMALE)*p_recur_MI_M)*p_MI_HF_mid + AV22*p_toHF_mid + AW22*(PREV_FEMALE*p_recur_MI_F + (1-PREV_FEMALE)*p_recur_MI_M)*p_MI_HF_mid + AW22*p_toHF_mid</f>
        <v>1.2322272586512916E-3</v>
      </c>
      <c r="BB23">
        <f>AM22*(1-T22*p_Stroke - H22*rr_HF)*I22 + AN22*(1-T22*p_Stroke - H22*rr_HF)*I22 + BA22*(1-AC22*p_Stroke - H22*rr_HF*rr_DM) + BB22*(1-AC22*p_Stroke - H22*rr_HF*rr_DM)</f>
        <v>9.6050630480467858E-3</v>
      </c>
      <c r="BC23">
        <f>AF22*T22*p_MI*p_MI_HF_mid*I22 + AG22*T22*p_MI*p_MI_HF_mid*I22 + AJ22*(PREV_FEMALE*p_recur_MI_F + (1-PREV_FEMALE)*p_recur_MI_M)*p_MI_HF_mid*I22 + AJ22*p_toHF_mid*I22 + AK22*(PREV_FEMALE*p_recur_MI_F + (1-PREV_FEMALE)*p_recur_MI_M)*p_MI_HF_mid*I22 + AK22*p_toHF_mid*I22 + AL22*(PREV_FEMALE*p_recur_MI_F + (1-PREV_FEMALE)*p_recur_MI_M)*p_MI_HF_mid*I22 + AL22*p_toHF_mid*I22 + AT22*AC22*p_MI*p_MI_HF_mid + AU22*AC22*p_MI*p_MI_HF_mid + AX22*(PREV_FEMALE*p_recur_MI_F + (1-PREV_FEMALE)*p_recur_MI_M)*p_MI_HF_mid + AX22*p_toHF_mid + AY22*(PREV_FEMALE*p_recur_MI_F + (1-PREV_FEMALE)*p_recur_MI_M)*p_MI_HF_mid + AY22*p_toHF_mid + AZ22*(PREV_FEMALE*p_recur_MI_F + (1-PREV_FEMALE)*p_recur_MI_M)*p_MI_HF_mid + AZ22*p_toHF_mid</f>
        <v>6.6540923242030972E-5</v>
      </c>
      <c r="BD23">
        <f>AM22*T22*p_Stroke*p_Stroke_rec*I22 + AN22*T22*p_Stroke*p_Stroke_rec*I22 + AO22*(p_recur_Stroke*p_Stroke_rec)*I22 + AP22*(p_recur_Stroke*p_Stroke_rec)*I22 + AQ22*(p_recur_Stroke*p_Stroke_rec)*I22 + BA22*AC22*p_Stroke*p_Stroke_rec + BB22*AC22*p_Stroke*p_Stroke_rec + BC22*(p_recur_Stroke*p_Stroke_rec) + BD22*(p_recur_Stroke*p_Stroke_rec) + BE22*(p_recur_Stroke*p_Stroke_rec)</f>
        <v>1.1344237447204635E-4</v>
      </c>
      <c r="BE23">
        <f>AO22*(1-p_recur_Stroke - H22*rr_Stroke*rr_HF)*I22 + AP22*(1-p_recur_Stroke-H22*rr_Stroke*rr_HF)*I22 + AQ22*(1-p_recur_Stroke-H22*rr_Stroke*rr_HF)*I22 + BC22*(1-p_recur_Stroke - H22*rr_Stroke*rr_HF*rr_DM) + BD22*(1-p_recur_Stroke-H22*rr_Stroke*rr_HF*rr_DM) + BE22*(1-p_recur_Stroke-H22*rr_Stroke*rr_HF*rr_DM)</f>
        <v>4.0007466214342157E-4</v>
      </c>
      <c r="BF23">
        <f>AD22*H22 + AE22*H22*rr_Other + AF22*H22*rr_Stroke + AG22*H22*rr_Stroke + AH22*H22*rr_MI + AI22*H22*rr_MI + AJ22*H22*rr_Stroke*rr_MI + AK22*H22*rr_Stroke*rr_MI + AL22*H22*rr_Stroke*rr_MI + AM22*H22*rr_HF + AN22*H22*rr_HF + AO22*H22*rr_Stroke*rr_HF + AP22*H22*rr_Stroke*rr_HF + AR22*H22*rr_DM + AS22*H22*rr_DM*rr_Other + AT22*H22*rr_DM*rr_Stroke + AU22*H22*rr_DM*rr_Stroke + AV22*H22*rr_DM*rr_MI + AW22*H22*rr_DM*rr_MI + AX22*H22*rr_DM*rr_Stroke*rr_MI + AY22*H22*rr_DM*rr_Stroke*rr_MI + AZ22*H22*rr_DM*rr_Stroke*rr_MI + BA22*H22*rr_DM*rr_HF + BB22*H22*rr_DM*rr_HF + BC22*H22*rr_DM*rr_Stroke*rr_HF + BD22*H22*rr_DM*rr_Stroke*rr_HF + AQ22*H22*rr_Stroke*rr_HF + BE22*H22*rr_DM*rr_Stroke*rr_HF
+ AD22*T22*p_MI*p_MI_mort + AD22*T22*p_Stroke*p_Stroke_mort + AE22*T22*p_MI*p_MI_mort + AE22*T22*p_Stroke*p_Stroke_mort + AF22*T22*p_MI*p_MI_mort + AF22*p_recur_Stroke*p_Stroke_mort + AG22*T22*p_MI*p_MI_mort + AG22*p_recur_Stroke*p_Stroke_mort + AH22*(PREV_FEMALE*p_recur_MI_F + (1-PREV_FEMALE)*p_recur_MI_M)*p_MI_mort + AH22*T22*p_Stroke*p_Stroke_mort + AI22*(PREV_FEMALE*p_recur_MI_F + (1-PREV_FEMALE)*p_recur_MI_M)*p_MI_mort + AI22*T22*p_Stroke*p_Stroke_mort + AJ22*(PREV_FEMALE*p_recur_MI_F + (1-PREV_FEMALE)*p_recur_MI_M)*p_MI_mort + AJ22*p_recur_Stroke*p_Stroke_mort + AK22*(PREV_FEMALE*p_recur_MI_F + (1-PREV_FEMALE)*p_recur_MI_M)*p_MI_mort + AK22*p_recur_Stroke*p_Stroke_mort + AL22*(PREV_FEMALE*p_recur_MI_F + (1-PREV_FEMALE)*p_recur_MI_M)*p_MI_mort + AL22*p_recur_Stroke*p_Stroke_mort + AM22*T22*p_Stroke*p_Stroke_mort + AN22*T22*p_Stroke*p_Stroke_mort + AO22*p_recur_Stroke*p_Stroke_mort + AP22*p_recur_Stroke*p_Stroke_mort + AQ22*p_recur_Stroke*p_Stroke_mort
+ AR22*AC22*p_MI*p_MI_mort + AR22*AC22*p_Stroke*p_Stroke_mort + AS22*AC22*p_MI*p_MI_mort + AS22*AC22*p_Stroke*p_Stroke_mort + AT22*AC22*p_MI*p_MI_mort + AT22*p_recur_Stroke*p_Stroke_mort + AU22*AC22*p_MI*p_MI_mort + AU22*p_recur_Stroke*p_Stroke_mort + AV22*(PREV_FEMALE*p_recur_MI_F + (1-PREV_FEMALE)*p_recur_MI_M)*p_MI_mort + AV22*AC22*p_Stroke*p_Stroke_mort + AW22*(PREV_FEMALE*p_recur_MI_F + (1-PREV_FEMALE)*p_recur_MI_M)*p_MI_mort + AW22*AC22*p_Stroke*p_Stroke_mort + AX22*(PREV_FEMALE*p_recur_MI_F + (1-PREV_FEMALE)*p_recur_MI_M)*p_MI_mort + AX22*p_recur_Stroke*p_Stroke_mort + AY22*(PREV_FEMALE*p_recur_MI_F + (1-PREV_FEMALE)*p_recur_MI_M)*p_MI_mort + AY22*p_recur_Stroke*p_Stroke_mort + AZ22*(PREV_FEMALE*p_recur_MI_F + (1-PREV_FEMALE)*p_recur_MI_M)*p_MI_mort + AZ22*p_recur_Stroke*p_Stroke_mort + BA22*AC22*p_Stroke*p_Stroke_mort + BB22*AC22*p_Stroke*p_Stroke_mort + BC22*p_recur_Stroke*p_Stroke_mort + BD22*p_recur_Stroke*p_Stroke_mort + BE22*p_recur_Stroke*p_Stroke_mort
+BF22</f>
        <v>0.13178990040046962</v>
      </c>
      <c r="BG23">
        <f t="shared" si="17"/>
        <v>0.94700000000000029</v>
      </c>
      <c r="BH23">
        <f>(0.9442 - 0.0007*$B23 - dis_BMI*($C23-21.75))*AD23</f>
        <v>0.21677674321582588</v>
      </c>
      <c r="BI23">
        <f>0.959*(0.9442 - 0.0007*$B23 - dis_BMI*($C23-21.75))*AE23</f>
        <v>2.4923580131727661E-2</v>
      </c>
      <c r="BJ23">
        <f>(0.943*(0.9442 - 0.0007*$B23 - dis_BMI*($C23-21.75)) - 0.19*0.5)*AF23</f>
        <v>1.507479327872037E-3</v>
      </c>
      <c r="BK23">
        <f>(0.943*(0.9442 - 0.0007*$B23 - dis_BMI*($C23-21.75)))*AG23</f>
        <v>7.1139063095840499E-3</v>
      </c>
      <c r="BL23">
        <f>(0.955*(0.9442 - 0.0007*$B23 - dis_BMI*($C23-21.75)) - 0.15*0.5)*AH23</f>
        <v>8.5493668317384479E-4</v>
      </c>
      <c r="BM23">
        <f>(0.955*(0.9442 - 0.0007*$B23 - dis_BMI*($C23-21.75)))*AI23</f>
        <v>5.0297708645480046E-3</v>
      </c>
      <c r="BN23">
        <f>(0.955*0.943*(0.9442 - 0.0007*$B23 - dis_BMI*($C23-21.75)) - 0.19*0.5)*AJ23</f>
        <v>3.3465126379547776E-5</v>
      </c>
      <c r="BO23">
        <f>(0.955*0.943*(0.9442 - 0.0007*$B23 - dis_BMI*($C23-21.75)) - 0.15*0.5)*AK23</f>
        <v>2.8238144007270358E-5</v>
      </c>
      <c r="BP23">
        <f>(0.955*0.943*(0.9442 - 0.0007*$B23 - dis_BMI*($C23-21.75)))*AL23</f>
        <v>1.3169958625549138E-4</v>
      </c>
      <c r="BQ23">
        <f>(0.93*(0.9442 - 0.0007*$B23 - dis_BMI*($C23-21.75)))*AM23</f>
        <v>3.7366305927523212E-4</v>
      </c>
      <c r="BR23">
        <f>(0.93*(0.9442 - 0.0007*$B23 - dis_BMI*($C23-21.75)))*AN23</f>
        <v>3.236568926987842E-3</v>
      </c>
      <c r="BS23">
        <f>(0.93*0.943*(0.9442 - 0.0007*$B23 - dis_BMI*($C23-21.75)))*AO23</f>
        <v>1.2140430619202452E-5</v>
      </c>
      <c r="BT23">
        <f>(0.93*0.943*(0.9442 - 0.0007*$B23 - dis_BMI*($C23-21.75))-0.19*0.5)*AP23</f>
        <v>1.8625975218938629E-5</v>
      </c>
      <c r="BU23">
        <f>(0.93*0.943*(0.9442 - 0.0007*$B23 - dis_BMI*($C23-21.75)))*AQ23</f>
        <v>8.1152962886917943E-5</v>
      </c>
      <c r="BV23">
        <f>0.962*(0.9442 - 0.0007*$B23 - dis_BMI*($C23-21.75))*AR23</f>
        <v>0.30843519604557823</v>
      </c>
      <c r="BW23">
        <f>0.962*0.959*(0.9442 - 0.0007*$B23 - dis_BMI*($C23-21.75))*AS23</f>
        <v>5.6285838366171702E-2</v>
      </c>
      <c r="BX23">
        <f>0.962*(0.943*(0.9442 - 0.0007*$B23 - dis_BMI*($C23-21.75)) - 0.19*0.5)*AT23</f>
        <v>3.7959300853463453E-3</v>
      </c>
      <c r="BY23">
        <f>0.962*(0.943*(0.9442 - 0.0007*$B23 - dis_BMI*($C23-21.75)))*AU23</f>
        <v>1.6595519736127332E-2</v>
      </c>
      <c r="BZ23">
        <f>0.962*(0.955*(0.9442 - 0.0007*$B23 - dis_BMI*($C23-21.75)) - 0.15*0.5)*AV23</f>
        <v>2.2284705310218977E-3</v>
      </c>
      <c r="CA23">
        <f>0.962*(0.955*(0.9442 - 0.0007*$B23 - dis_BMI*($C23-21.75)))*AW23</f>
        <v>1.1994751387923929E-2</v>
      </c>
      <c r="CB23">
        <f>0.962*(0.955*0.943*(0.9442 - 0.0007*$B23 - dis_BMI*($C23-21.75)) - 0.19*0.5)*AX23</f>
        <v>1.3451638057746234E-4</v>
      </c>
      <c r="CC23">
        <f>0.962*(0.955*0.943*(0.9442 - 0.0007*$B23 - dis_BMI*($C23-21.75)) - 0.15*0.5)*AY23</f>
        <v>1.1489816768710404E-4</v>
      </c>
      <c r="CD23">
        <f>0.962*(0.955*0.943*(0.9442 - 0.0007*$B23 - dis_BMI*($C23-21.75)))*AZ23</f>
        <v>4.9155010191847485E-4</v>
      </c>
      <c r="CE23">
        <f>0.962*(0.93*(0.9442 - 0.0007*$B23 - dis_BMI*($C23-21.75)))*BA23</f>
        <v>9.3799055811326229E-4</v>
      </c>
      <c r="CF23">
        <f>0.962*(0.93*(0.9442 - 0.0007*$B23 - dis_BMI*($C23-21.75)))*BB23</f>
        <v>7.3115234108776248E-3</v>
      </c>
      <c r="CG23">
        <f>0.962*(0.93*0.943*(0.9442 - 0.0007*$B23 - dis_BMI*($C23-21.75)))*BC23</f>
        <v>4.7764822702447615E-5</v>
      </c>
      <c r="CH23">
        <f>0.962*(0.93*0.943*(0.9442 - 0.0007*$B23 - dis_BMI*($C23-21.75))-0.19*0.5)*BD23</f>
        <v>7.1064417871812005E-5</v>
      </c>
      <c r="CI23">
        <f>0.962*(0.93*0.943*(0.9442 - 0.0007*$B23 - dis_BMI*($C23-21.75)))*BE23</f>
        <v>2.8718410226312484E-4</v>
      </c>
      <c r="CJ23">
        <f t="shared" si="18"/>
        <v>0</v>
      </c>
      <c r="CK23">
        <f t="shared" si="19"/>
        <v>0.66885416885854276</v>
      </c>
      <c r="CL23">
        <f>CK23/(1+r_)^A23</f>
        <v>0.37032833638342788</v>
      </c>
      <c r="CM23">
        <f>AD23*c_BN_2</f>
        <v>533.76129736348105</v>
      </c>
      <c r="CN23">
        <f>AE23*(c_Other+c_BN_2)</f>
        <v>500.14619705541145</v>
      </c>
      <c r="CO23">
        <f>AF23*(c_Stroke1+c_Stroke2+c_BN_2)</f>
        <v>55.220972582560272</v>
      </c>
      <c r="CP23">
        <f>AG23*(c_Stroke2 + c_BN_2)</f>
        <v>76.206619187850279</v>
      </c>
      <c r="CQ23">
        <f>AH23*(c_MI1+c_MI2 + c_BN_2)</f>
        <v>36.218770685114265</v>
      </c>
      <c r="CR23">
        <f>AI23*(c_MI2+c_BN_2)</f>
        <v>32.262617699274614</v>
      </c>
      <c r="CS23">
        <f>AJ23*(c_Stroke1+c_Stroke2+c_MI2+c_BN_2)</f>
        <v>1.44721112790462</v>
      </c>
      <c r="CT23">
        <f>AK23*(c_Stroke2+c_MI1+c_MI2+c_BN_2)</f>
        <v>1.5419786367665129</v>
      </c>
      <c r="CU23">
        <f>AL23*(c_Stroke2+c_MI2+c_BN_2)</f>
        <v>2.0130324493167535</v>
      </c>
      <c r="CV23">
        <f>AM23*(c_HF1+c_BN_2)</f>
        <v>13.753509008928367</v>
      </c>
      <c r="CW23">
        <f>AN23*(c_HF2+c_BN_2)</f>
        <v>72.39782909760676</v>
      </c>
      <c r="CX23">
        <f>AO23*(c_Stroke2+c_HF1+c_BN_2)</f>
        <v>0.57962176993894909</v>
      </c>
      <c r="CY23">
        <f>AP23*(c_Stroke1+c_Stroke2+c_HF2+c_BN_2)</f>
        <v>1.1874974931205233</v>
      </c>
      <c r="CZ23">
        <f>AQ23*(c_Stroke2+c_HF2+c_BN_2)</f>
        <v>2.6319368869132038</v>
      </c>
      <c r="DA23">
        <f>AR23*(c_DM+c_BN_2)</f>
        <v>5094.6683225107172</v>
      </c>
      <c r="DB23">
        <f>AS23*(c_Other+c_DM+c_BN_2)</f>
        <v>1993.3566032920314</v>
      </c>
      <c r="DC23">
        <f>AT23*(c_Stroke1+c_Stroke2+c_DM+c_BN_2)</f>
        <v>208.27609787837449</v>
      </c>
      <c r="DD23">
        <f>AU23*(c_Stroke2+c_DM+c_BN_2)</f>
        <v>430.44585698693743</v>
      </c>
      <c r="DE23">
        <f>AV23*(c_MI1+c_MI2+c_DM+c_BN_2)</f>
        <v>134.02010979203328</v>
      </c>
      <c r="DF23">
        <f>AW23*(c_MI2+c_DM+c_BN_2)</f>
        <v>255.29257832232668</v>
      </c>
      <c r="DG23">
        <f>AX23*(c_Stroke1+c_Stroke2+c_MI2+c_DM+c_BN_2)</f>
        <v>8.4270029336692485</v>
      </c>
      <c r="DH23">
        <f>AY23*(c_Stroke2+c_MI1+c_MI2+c_DM+c_BN_2)</f>
        <v>8.4960751303937965</v>
      </c>
      <c r="DI23">
        <f>AZ23*(c_Stroke2+c_MI2+c_DM+c_BN_2)</f>
        <v>15.42890362685837</v>
      </c>
      <c r="DJ23">
        <f>BA23*(c_HF1+c_DM+c_BN_2)</f>
        <v>49.966815338309871</v>
      </c>
      <c r="DK23">
        <f>BB23*(c_HF2+c_DM+c_BN_2)</f>
        <v>279.74746127436265</v>
      </c>
      <c r="DL23">
        <f>BC23*(c_Stroke2+c_HF1+c_DM+c_BN_2)</f>
        <v>3.1307504385375573</v>
      </c>
      <c r="DM23">
        <f>BD23*(c_Stroke1+c_Stroke2+c_HF2+c_DM+c_BN_2)</f>
        <v>6.0057527469246059</v>
      </c>
      <c r="DN23">
        <f>BE23*(c_Stroke2+c_HF2+c_DM+c_BN_2)</f>
        <v>14.252659838859394</v>
      </c>
      <c r="DO23">
        <f t="shared" si="5"/>
        <v>0</v>
      </c>
      <c r="DP23">
        <f t="shared" si="38"/>
        <v>9830.8840811545233</v>
      </c>
      <c r="DQ23">
        <f>DP23/(1+r_)^A23</f>
        <v>5443.122157951665</v>
      </c>
    </row>
    <row r="24" spans="1:121" x14ac:dyDescent="0.3">
      <c r="A24">
        <v>21</v>
      </c>
      <c r="B24">
        <v>66</v>
      </c>
      <c r="C24">
        <f t="shared" si="39"/>
        <v>36.251999999999995</v>
      </c>
      <c r="D24">
        <f t="shared" si="1"/>
        <v>125</v>
      </c>
      <c r="E24">
        <f t="shared" si="40"/>
        <v>5.7</v>
      </c>
      <c r="F24">
        <v>1.042E-2</v>
      </c>
      <c r="G24">
        <v>1.7409999999999998E-2</v>
      </c>
      <c r="H24">
        <f t="shared" si="3"/>
        <v>1.1818E-2</v>
      </c>
      <c r="I24">
        <f t="shared" si="20"/>
        <v>4.7655426853004217E-2</v>
      </c>
      <c r="J24">
        <f t="shared" si="21"/>
        <v>0.20935450600325534</v>
      </c>
      <c r="K24">
        <f t="shared" si="22"/>
        <v>0.28034492937187128</v>
      </c>
      <c r="L24">
        <f t="shared" si="23"/>
        <v>0.10524382957010825</v>
      </c>
      <c r="M24">
        <f t="shared" si="24"/>
        <v>0.1442185840446174</v>
      </c>
      <c r="N24">
        <f t="shared" si="25"/>
        <v>0.44972988481703091</v>
      </c>
      <c r="O24">
        <f t="shared" si="26"/>
        <v>0.57003148097202128</v>
      </c>
      <c r="P24">
        <f t="shared" si="27"/>
        <v>0.2545957376271667</v>
      </c>
      <c r="Q24">
        <f t="shared" si="28"/>
        <v>0.33977627202330152</v>
      </c>
      <c r="R24">
        <f>IF(C24&lt;25, HT_f_low, IF(C24&lt;30, HT_f_mod, HT_f_high))</f>
        <v>0.42</v>
      </c>
      <c r="S24">
        <f>IF(C24&lt;25, HT_m_low, IF(C24&lt;30, HT_m_mod, HT_m_high))</f>
        <v>0.43099999999999999</v>
      </c>
      <c r="T24">
        <f>PREV_FEMALE*PREV_SMOKE*(1-$R24)*(1-EXP(-J24/10))+PREV_FEMALE*PREV_SMOKE*$R24*(1-EXP(-K24/10))+PREV_FEMALE*(1-PREV_SMOKE)*(1-$R24)*(1-EXP(-L24/10))+PREV_FEMALE*(1-PREV_SMOKE)*$R24*(1-EXP(-M24/10))+(1-PREV_FEMALE)*PREV_SMOKE*(1-$S24)*(1-EXP(-N24/10))+(1-PREV_FEMALE)*PREV_SMOKE*$S24*(1-EXP(-O24/10))+(1-PREV_FEMALE)*(1-PREV_SMOKE)*(1-$S24)*(1-EXP(-P24/10))+(1-PREV_FEMALE)*(1-PREV_SMOKE)*$S24*(1-EXP(-Q24/10))</f>
        <v>1.7068272833904025E-2</v>
      </c>
      <c r="U24">
        <f t="shared" si="29"/>
        <v>0.40024076323409741</v>
      </c>
      <c r="V24">
        <f t="shared" si="30"/>
        <v>0.51128167481478681</v>
      </c>
      <c r="W24">
        <f t="shared" si="31"/>
        <v>0.21495501726727706</v>
      </c>
      <c r="X24">
        <f t="shared" si="32"/>
        <v>0.28747400753182162</v>
      </c>
      <c r="Y24">
        <f t="shared" si="33"/>
        <v>0.63813189484947896</v>
      </c>
      <c r="Z24">
        <f t="shared" si="34"/>
        <v>0.76218651720467234</v>
      </c>
      <c r="AA24">
        <f t="shared" si="35"/>
        <v>0.39346582735228963</v>
      </c>
      <c r="AB24">
        <f t="shared" si="36"/>
        <v>0.50662526256743767</v>
      </c>
      <c r="AC24">
        <f>PREV_FEMALE*PREV_SMOKE*(1-$R24)*(1-EXP(-U24/10))+PREV_FEMALE*PREV_SMOKE*$R24*(1-EXP(-V24/10))+PREV_FEMALE*(1-PREV_SMOKE)*(1-$R24)*(1-EXP(-W24/10))+PREV_FEMALE*(1-PREV_SMOKE)*$R24*(1-EXP(-X24/10))+(1-PREV_FEMALE)*PREV_SMOKE*(1-$S24)*(1-EXP(-Y24/10))+(1-PREV_FEMALE)*PREV_SMOKE*$S24*(1-EXP(-Z24/10))+(1-PREV_FEMALE)*(1-PREV_SMOKE)*(1-$S24)*(1-EXP(-AA24/10))+(1-PREV_FEMALE)*(1-PREV_SMOKE)*$S24*(1-EXP(-AB24/10))</f>
        <v>3.0572440541574961E-2</v>
      </c>
      <c r="AD24">
        <f t="shared" si="37"/>
        <v>0.23597449664887388</v>
      </c>
      <c r="AE24">
        <f t="shared" si="6"/>
        <v>3.0457976881158075E-2</v>
      </c>
      <c r="AF24">
        <f t="shared" si="7"/>
        <v>2.1011273939965588E-3</v>
      </c>
      <c r="AG24">
        <f t="shared" si="8"/>
        <v>8.8173391740491089E-3</v>
      </c>
      <c r="AH24">
        <f>AD23*T23*p_MI*p_MI_rec_mid*(1-I23)+AE23*T23*p_MI*p_MI_rec_mid*(1-I23) + AH23*(PREV_FEMALE*p_recur_MI_F + (1-PREV_FEMALE)*p_recur_MI_M)*p_MI_rec_mid*(1-I23) + AI23*(PREV_FEMALE*p_recur_MI_F + (1-PREV_FEMALE)*p_recur_MI_M)*p_MI_rec_mid*(1-I23)</f>
        <v>1.1335468616297704E-3</v>
      </c>
      <c r="AI24">
        <f>AH23*(1-(PREV_FEMALE*p_recur_MI_F + (1-PREV_FEMALE)*p_recur_MI_M) - T23*p_Stroke - p_toHF_mid - H23*rr_MI)*(1-I23) + AI23*(1-(PREV_FEMALE*p_recur_MI_F + (1-PREV_FEMALE)*p_recur_MI_M) - T23*p_Stroke - p_toHF_mid - H23*rr_MI)*(1-I23)</f>
        <v>6.11500749300625E-3</v>
      </c>
      <c r="AJ24">
        <f t="shared" si="11"/>
        <v>5.1944949602238798E-5</v>
      </c>
      <c r="AK24">
        <f>AF23*T23*p_MI*p_MI_rec_mid*(1-I23) + AG23*T23*p_MI*p_MI_rec_mid*(1-I23) + AJ23*(PREV_FEMALE*p_recur_MI_F + (1-PREV_FEMALE)*p_recur_MI_M)*p_MI_rec_mid*(1-I23) + AK23*(PREV_FEMALE*p_recur_MI_F + (1-PREV_FEMALE)*p_recur_MI_M)*p_MI_rec_mid*(1-I23) + AL23*(PREV_FEMALE*p_recur_MI_F + (1-PREV_FEMALE)*p_recur_MI_M)*p_MI_rec_mid*(1-I23)</f>
        <v>4.2589274460194807E-5</v>
      </c>
      <c r="AL24">
        <f>AJ23*(1-p_recur_Stroke-(PREV_FEMALE*p_recur_MI_F + (1-PREV_FEMALE)*p_recur_MI_M) - p_toHF_mid - H23*rr_MI*rr_Stroke)*(1-I23) + AK23*(1-p_recur_Stroke-(PREV_FEMALE*p_recur_MI_F + (1-PREV_FEMALE)*p_recur_MI_M) - p_toHF_mid - H23*rr_MI*rr_Stroke)*(1-I23) + AL23*(1-p_recur_Stroke-(PREV_FEMALE*p_recur_MI_F + (1-PREV_FEMALE)*p_recur_MI_M) - p_toHF_mid - H23*rr_MI*rr_Stroke)*(1-I23)</f>
        <v>1.8014437815047288E-4</v>
      </c>
      <c r="AM24">
        <f>AD23*T23*p_MI*p_MI_HF_mid*(1-I23) + AE23*T23*p_MI*p_MI_HF_mid*(1-I23) + AH23*p_toHF_mid*(1-I23) + AH23*(PREV_FEMALE*p_recur_MI_F + (1-PREV_FEMALE)*p_recur_MI_M)*p_MI_HF_mid*(1-I23) + AI23*p_toHF_mid*(1-I23) + AI23*(PREV_FEMALE*p_recur_MI_F + (1-PREV_FEMALE)*p_recur_MI_M)*p_MI_HF_mid*(1-I23)</f>
        <v>4.6433148141431521E-4</v>
      </c>
      <c r="AN24">
        <f t="shared" si="15"/>
        <v>4.2414521124628382E-3</v>
      </c>
      <c r="AO24">
        <f>AF23*T23*p_MI*p_MI_HF_mid*(1-I23) + AG23*T23*p_MI*p_MI_HF_mid*(1-I23) + AJ23*(PREV_FEMALE*p_recur_MI_F + (1-PREV_FEMALE)*p_recur_MI_M)*p_MI_HF_mid*(1-I23) + AJ23*p_toHF_mid*(1-I23) + AK23*(PREV_FEMALE*p_recur_MI_F + (1-PREV_FEMALE)*p_recur_MI_M)*p_MI_HF_mid*(1-I23) + AK23*p_toHF_mid*(1-I23) + AL23*(PREV_FEMALE*p_recur_MI_F + (1-PREV_FEMALE)*p_recur_MI_M)*p_MI_HF_mid*(1-I23) + AL23*p_toHF_mid*(1-I23)</f>
        <v>1.7046056671298722E-5</v>
      </c>
      <c r="AP24">
        <f>AM23*T23*p_Stroke*p_Stroke_rec*(1-I23) + AN23*T23*p_Stroke*p_Stroke_rec*(1-I23) + AO23*(p_recur_Stroke*p_Stroke_rec)*(1-I23) + AP23*(p_recur_Stroke*p_Stroke_rec)*(1-I23) + AQ23*(p_recur_Stroke*p_Stroke_rec)*(1-I23)</f>
        <v>3.1261406556405774E-5</v>
      </c>
      <c r="AQ24">
        <f>AO23*(1-p_recur_Stroke-H23*rr_Stroke*rr_HF)*(1-I23) + AP23*(1-p_recur_Stroke-H23*rr_Stroke*rr_HF)*(1-I23) + AQ23*(1-p_recur_Stroke-H23*rr_Stroke*rr_HF)*(1-I23)</f>
        <v>1.1956281578932669E-4</v>
      </c>
      <c r="AR24">
        <f>AR23*(1-AC23-H23*rr_DM) + AD23*(1-T23-H23)*I23</f>
        <v>0.37271627150846215</v>
      </c>
      <c r="AS24">
        <f>AR23*AC23*p_Other + AD23*T23*p_Other*I23 + AE23*(1-T23*p_Stroke-T23*p_MI-H23*rr_Other)*I23 + AS23*(1-AC23*p_Stroke-AC23*p_MI-H23*rr_Other*rr_DM)</f>
        <v>7.667497811855109E-2</v>
      </c>
      <c r="AT24">
        <f>AR23*AC23*p_Stroke*p_Stroke_rec + AD23*T23*p_Stroke*p_Stroke_rec*I23 + AE23*T23*p_Stroke*p_Stroke_rec*I23 + AF23*p_recur_Stroke*p_Stroke_rec*I23 + AG23*p_recur_Stroke*p_Stroke_rec*I23 + AS23*AC23*p_Stroke*p_Stroke_rec + AT23*p_recur_Stroke*p_Stroke_rec + AU23*p_recur_Stroke*p_Stroke_rec</f>
        <v>5.9000641633632266E-3</v>
      </c>
      <c r="AU24">
        <f>AF23*(1-p_recur_Stroke-T23*p_MI-H23*rr_Stroke)*I23 + AG23*(1-p_recur_Stroke-T23*p_MI-H23*rr_Stroke)*I23 + AT23*(1-p_recur_Stroke-AC23*p_MI-H23*rr_Stroke*rr_DM) + AU23*(1-p_recur_Stroke-AC23*p_MI-H23*rr_Stroke*rr_DM)</f>
        <v>2.3020116683258124E-2</v>
      </c>
      <c r="AV24">
        <f>AR23*AC23*p_MI*p_MI_rec_mid + AD23*T23*p_MI*p_MI_rec_mid*I23 + AE23*T23*p_MI*p_MI_rec_mid*I23 +AH23*(PREV_FEMALE*p_recur_MI_F + (1-PREV_FEMALE)*p_recur_MI_M)*p_MI_rec_mid*I23 + AI23*(PREV_FEMALE*p_recur_MI_F + (1-PREV_FEMALE)*p_recur_MI_M)*p_MI_rec_mid*I23 + AS23*AC23*p_MI*p_MI_rec_mid + AV23*(PREV_FEMALE*p_recur_MI_F + (1-PREV_FEMALE)*p_recur_MI_M)*p_MI_rec_mid + AW23*(PREV_FEMALE*p_recur_MI_F + (1-PREV_FEMALE)*p_recur_MI_M)*p_MI_rec_mid</f>
        <v>3.2939109142107069E-3</v>
      </c>
      <c r="AW24">
        <f>AH23*(1-(PREV_FEMALE*p_recur_MI_F + (1-PREV_FEMALE)*p_recur_MI_M) - T23*p_Stroke - p_toHF_mid - H23*rr_MI)*I23 + AI23*(1-(PREV_FEMALE*p_recur_MI_F + (1-PREV_FEMALE)*p_recur_MI_M) - T23*p_Stroke - p_toHF_mid - H23*rr_MI)*I23 + AV23*(1-(PREV_FEMALE*p_recur_MI_F + (1-PREV_FEMALE)*p_recur_MI_M) - AC23*p_Stroke - p_toHF_mid - H23*rr_MI*rr_DM) + AW23*(1-(PREV_FEMALE*p_recur_MI_F + (1-PREV_FEMALE)*p_recur_MI_M) - AC23*p_Stroke - p_toHF_mid - H23*rr_MI*rr_DM)</f>
        <v>1.6352780080349839E-2</v>
      </c>
      <c r="AX24">
        <f>AH23*T23*p_Stroke*p_Stroke_rec*I23 + AI23*T23*p_Stroke*p_Stroke_rec*I23 + AJ23*p_recur_Stroke*p_Stroke_rec*I23 + AK23*p_recur_Stroke*p_Stroke_rec*I23 + AL23*p_recur_Stroke*p_Stroke_rec*I23 + AV23*AC23*p_Stroke*p_Stroke_rec + AW23*AC23*p_Stroke*p_Stroke_rec + AX23*p_recur_Stroke*p_Stroke_rec + AY23*p_recur_Stroke*p_Stroke_rec + AZ23*p_recur_Stroke*p_Stroke_rec</f>
        <v>2.3391347634609254E-4</v>
      </c>
      <c r="AY24">
        <f>AF23*T23*p_MI*p_MI_rec_mid*I23 + AG23*T23*p_MI*p_MI_rec_mid*I23 + AJ23*(PREV_FEMALE*p_recur_MI_F+(1-PREV_FEMALE)*p_recur_MI_M)*p_MI_rec_mid*I23 + AK23*(PREV_FEMALE*p_recur_MI_F+(1-PREV_FEMALE)*p_recur_MI_M)*p_MI_rec_mid*I23 + AL23*(PREV_FEMALE*p_recur_MI_F+(1-PREV_FEMALE)*p_recur_MI_M)*p_MI_rec_mid*I23 + AT23*AC23*p_MI*p_MI_rec_mid + AU23*AC23*p_MI*p_MI_rec_mid + AX23*(PREV_FEMALE*p_recur_MI_F+(1-PREV_FEMALE)*p_recur_MI_M)*p_MI_rec_mid + AY23*(PREV_FEMALE*p_recur_MI_F+(1-PREV_FEMALE)*p_recur_MI_M)*p_MI_rec_mid + AZ23*(PREV_FEMALE*p_recur_MI_F+(1-PREV_FEMALE)*p_recur_MI_M)*p_MI_rec_mid</f>
        <v>1.9376042515850347E-4</v>
      </c>
      <c r="AZ24">
        <f>AJ23*(1-p_recur_Stroke-(PREV_FEMALE*p_recur_MI_F + (1-PREV_FEMALE)*p_recur_MI_M) - p_toHF_mid - H23*rr_MI*rr_Stroke)*I23 + AK23*(1-p_recur_Stroke-(PREV_FEMALE*p_recur_MI_F + (1-PREV_FEMALE)*p_recur_MI_M) - p_toHF_mid - H23*rr_MI*rr_Stroke)*I23 + AL23*(1-p_recur_Stroke-(PREV_FEMALE*p_recur_MI_F + (1-PREV_FEMALE)*p_recur_MI_M) - p_toHF_mid - H23*rr_MI*rr_Stroke)*I23 + AX23*(1-p_recur_Stroke-(PREV_FEMALE*p_recur_MI_F + (1-PREV_FEMALE)*p_recur_MI_M) - p_toHF_mid - H23*rr_MI*rr_Stroke*rr_DM) + AY23*(1-p_recur_Stroke-(PREV_FEMALE*p_recur_MI_F + (1-PREV_FEMALE)*p_recur_MI_M) - p_toHF_mid - H23*rr_MI*rr_Stroke*rr_DM) + AZ23*(1-p_recur_Stroke-(PREV_FEMALE*p_recur_MI_F + (1-PREV_FEMALE)*p_recur_MI_M) - p_toHF_mid - H23*rr_MI*rr_Stroke*rr_DM)</f>
        <v>7.5535832780887491E-4</v>
      </c>
      <c r="BA24">
        <f>AR23*AC23*p_MI*p_MI_HF_mid + AD23*T23*p_MI*p_MI_HF_mid*I23 + AE23*T23*p_MI*p_MI_HF_mid*I23 + AH23*p_toHF_mid*I23 + AH23*(PREV_FEMALE*p_recur_MI_F + (1-PREV_FEMALE)*p_recur_MI_M)*p_MI_HF_mid*I23 + AI23*p_toHF_mid*I23 + AI23*(PREV_FEMALE*p_recur_MI_F + (1-PREV_FEMALE)*p_recur_MI_M)*p_MI_HF_mid*I23 + AS23*AC23*p_MI*p_MI_HF_mid + AV23*(PREV_FEMALE*p_recur_MI_F + (1-PREV_FEMALE)*p_recur_MI_M)*p_MI_HF_mid + AV23*p_toHF_mid + AW23*(PREV_FEMALE*p_recur_MI_F + (1-PREV_FEMALE)*p_recur_MI_M)*p_MI_HF_mid + AW23*p_toHF_mid</f>
        <v>1.3027105068643715E-3</v>
      </c>
      <c r="BB24">
        <f>AM23*(1-T23*p_Stroke - H23*rr_HF)*I23 + AN23*(1-T23*p_Stroke - H23*rr_HF)*I23 + BA23*(1-AC23*p_Stroke - H23*rr_HF*rr_DM) + BB23*(1-AC23*p_Stroke - H23*rr_HF*rr_DM)</f>
        <v>1.0725759322166226E-2</v>
      </c>
      <c r="BC24">
        <f>AF23*T23*p_MI*p_MI_HF_mid*I23 + AG23*T23*p_MI*p_MI_HF_mid*I23 + AJ23*(PREV_FEMALE*p_recur_MI_F + (1-PREV_FEMALE)*p_recur_MI_M)*p_MI_HF_mid*I23 + AJ23*p_toHF_mid*I23 + AK23*(PREV_FEMALE*p_recur_MI_F + (1-PREV_FEMALE)*p_recur_MI_M)*p_MI_HF_mid*I23 + AK23*p_toHF_mid*I23 + AL23*(PREV_FEMALE*p_recur_MI_F + (1-PREV_FEMALE)*p_recur_MI_M)*p_MI_HF_mid*I23 + AL23*p_toHF_mid*I23 + AT23*AC23*p_MI*p_MI_HF_mid + AU23*AC23*p_MI*p_MI_HF_mid + AX23*(PREV_FEMALE*p_recur_MI_F + (1-PREV_FEMALE)*p_recur_MI_M)*p_MI_HF_mid + AX23*p_toHF_mid + AY23*(PREV_FEMALE*p_recur_MI_F + (1-PREV_FEMALE)*p_recur_MI_M)*p_MI_HF_mid + AY23*p_toHF_mid + AZ23*(PREV_FEMALE*p_recur_MI_F + (1-PREV_FEMALE)*p_recur_MI_M)*p_MI_HF_mid + AZ23*p_toHF_mid</f>
        <v>7.5156898727271731E-5</v>
      </c>
      <c r="BD24">
        <f>AM23*T23*p_Stroke*p_Stroke_rec*I23 + AN23*T23*p_Stroke*p_Stroke_rec*I23 + AO23*(p_recur_Stroke*p_Stroke_rec)*I23 + AP23*(p_recur_Stroke*p_Stroke_rec)*I23 + AQ23*(p_recur_Stroke*p_Stroke_rec)*I23 + BA23*AC23*p_Stroke*p_Stroke_rec + BB23*AC23*p_Stroke*p_Stroke_rec + BC23*(p_recur_Stroke*p_Stroke_rec) + BD23*(p_recur_Stroke*p_Stroke_rec) + BE23*(p_recur_Stroke*p_Stroke_rec)</f>
        <v>1.333855950573247E-4</v>
      </c>
      <c r="BE24">
        <f>AO23*(1-p_recur_Stroke - H23*rr_Stroke*rr_HF)*I23 + AP23*(1-p_recur_Stroke-H23*rr_Stroke*rr_HF)*I23 + AQ23*(1-p_recur_Stroke-H23*rr_Stroke*rr_HF)*I23 + BC23*(1-p_recur_Stroke - H23*rr_Stroke*rr_HF*rr_DM) + BD23*(1-p_recur_Stroke-H23*rr_Stroke*rr_HF*rr_DM) + BE23*(1-p_recur_Stroke-H23*rr_Stroke*rr_HF*rr_DM)</f>
        <v>4.7453500987319368E-4</v>
      </c>
      <c r="BF24">
        <f>AD23*H23 + AE23*H23*rr_Other + AF23*H23*rr_Stroke + AG23*H23*rr_Stroke + AH23*H23*rr_MI + AI23*H23*rr_MI + AJ23*H23*rr_Stroke*rr_MI + AK23*H23*rr_Stroke*rr_MI + AL23*H23*rr_Stroke*rr_MI + AM23*H23*rr_HF + AN23*H23*rr_HF + AO23*H23*rr_Stroke*rr_HF + AP23*H23*rr_Stroke*rr_HF + AR23*H23*rr_DM + AS23*H23*rr_DM*rr_Other + AT23*H23*rr_DM*rr_Stroke + AU23*H23*rr_DM*rr_Stroke + AV23*H23*rr_DM*rr_MI + AW23*H23*rr_DM*rr_MI + AX23*H23*rr_DM*rr_Stroke*rr_MI + AY23*H23*rr_DM*rr_Stroke*rr_MI + AZ23*H23*rr_DM*rr_Stroke*rr_MI + BA23*H23*rr_DM*rr_HF + BB23*H23*rr_DM*rr_HF + BC23*H23*rr_DM*rr_Stroke*rr_HF + BD23*H23*rr_DM*rr_Stroke*rr_HF + AQ23*H23*rr_Stroke*rr_HF + BE23*H23*rr_DM*rr_Stroke*rr_HF
+ AD23*T23*p_MI*p_MI_mort + AD23*T23*p_Stroke*p_Stroke_mort + AE23*T23*p_MI*p_MI_mort + AE23*T23*p_Stroke*p_Stroke_mort + AF23*T23*p_MI*p_MI_mort + AF23*p_recur_Stroke*p_Stroke_mort + AG23*T23*p_MI*p_MI_mort + AG23*p_recur_Stroke*p_Stroke_mort + AH23*(PREV_FEMALE*p_recur_MI_F + (1-PREV_FEMALE)*p_recur_MI_M)*p_MI_mort + AH23*T23*p_Stroke*p_Stroke_mort + AI23*(PREV_FEMALE*p_recur_MI_F + (1-PREV_FEMALE)*p_recur_MI_M)*p_MI_mort + AI23*T23*p_Stroke*p_Stroke_mort + AJ23*(PREV_FEMALE*p_recur_MI_F + (1-PREV_FEMALE)*p_recur_MI_M)*p_MI_mort + AJ23*p_recur_Stroke*p_Stroke_mort + AK23*(PREV_FEMALE*p_recur_MI_F + (1-PREV_FEMALE)*p_recur_MI_M)*p_MI_mort + AK23*p_recur_Stroke*p_Stroke_mort + AL23*(PREV_FEMALE*p_recur_MI_F + (1-PREV_FEMALE)*p_recur_MI_M)*p_MI_mort + AL23*p_recur_Stroke*p_Stroke_mort + AM23*T23*p_Stroke*p_Stroke_mort + AN23*T23*p_Stroke*p_Stroke_mort + AO23*p_recur_Stroke*p_Stroke_mort + AP23*p_recur_Stroke*p_Stroke_mort + AQ23*p_recur_Stroke*p_Stroke_mort
+ AR23*AC23*p_MI*p_MI_mort + AR23*AC23*p_Stroke*p_Stroke_mort + AS23*AC23*p_MI*p_MI_mort + AS23*AC23*p_Stroke*p_Stroke_mort + AT23*AC23*p_MI*p_MI_mort + AT23*p_recur_Stroke*p_Stroke_mort + AU23*AC23*p_MI*p_MI_mort + AU23*p_recur_Stroke*p_Stroke_mort + AV23*(PREV_FEMALE*p_recur_MI_F + (1-PREV_FEMALE)*p_recur_MI_M)*p_MI_mort + AV23*AC23*p_Stroke*p_Stroke_mort + AW23*(PREV_FEMALE*p_recur_MI_F + (1-PREV_FEMALE)*p_recur_MI_M)*p_MI_mort + AW23*AC23*p_Stroke*p_Stroke_mort + AX23*(PREV_FEMALE*p_recur_MI_F + (1-PREV_FEMALE)*p_recur_MI_M)*p_MI_mort + AX23*p_recur_Stroke*p_Stroke_mort + AY23*(PREV_FEMALE*p_recur_MI_F + (1-PREV_FEMALE)*p_recur_MI_M)*p_MI_mort + AY23*p_recur_Stroke*p_Stroke_mort + AZ23*(PREV_FEMALE*p_recur_MI_F + (1-PREV_FEMALE)*p_recur_MI_M)*p_MI_mort + AZ23*p_recur_Stroke*p_Stroke_mort + BA23*AC23*p_Stroke*p_Stroke_mort + BB23*AC23*p_Stroke*p_Stroke_mort + BC23*p_recur_Stroke*p_Stroke_mort + BD23*p_recur_Stroke*p_Stroke_mort + BE23*p_recur_Stroke*p_Stroke_mort
+BF23</f>
        <v>0.14539947204198245</v>
      </c>
      <c r="BG24">
        <f t="shared" si="17"/>
        <v>0.94700000000000006</v>
      </c>
      <c r="BH24">
        <f>(0.9442 - 0.0007*$B24 - dis_BMI*($C24-21.75))*AD24</f>
        <v>0.20061216089436223</v>
      </c>
      <c r="BI24">
        <f>0.959*(0.9442 - 0.0007*$B24 - dis_BMI*($C24-21.75))*AE24</f>
        <v>2.4832008453931489E-2</v>
      </c>
      <c r="BJ24">
        <f>(0.943*(0.9442 - 0.0007*$B24 - dis_BMI*($C24-21.75)) - 0.19*0.5)*AF24</f>
        <v>1.4848356877014746E-3</v>
      </c>
      <c r="BK24">
        <f>(0.943*(0.9442 - 0.0007*$B24 - dis_BMI*($C24-21.75)))*AG24</f>
        <v>7.06873055022968E-3</v>
      </c>
      <c r="BL24">
        <f>(0.955*(0.9442 - 0.0007*$B24 - dis_BMI*($C24-21.75)) - 0.15*0.5)*AH24</f>
        <v>8.3529588614779295E-4</v>
      </c>
      <c r="BM24">
        <f>(0.955*(0.9442 - 0.0007*$B24 - dis_BMI*($C24-21.75)))*AI24</f>
        <v>4.9646947643789676E-3</v>
      </c>
      <c r="BN24">
        <f>(0.955*0.943*(0.9442 - 0.0007*$B24 - dis_BMI*($C24-21.75)) - 0.19*0.5)*AJ24</f>
        <v>3.4834771019373895E-5</v>
      </c>
      <c r="BO24">
        <f>(0.955*0.943*(0.9442 - 0.0007*$B24 - dis_BMI*($C24-21.75)) - 0.15*0.5)*AK24</f>
        <v>2.9412552898981362E-5</v>
      </c>
      <c r="BP24">
        <f>(0.955*0.943*(0.9442 - 0.0007*$B24 - dis_BMI*($C24-21.75)))*AL24</f>
        <v>1.3792022765164025E-4</v>
      </c>
      <c r="BQ24">
        <f>(0.93*(0.9442 - 0.0007*$B24 - dis_BMI*($C24-21.75)))*AM24</f>
        <v>3.6711596023304054E-4</v>
      </c>
      <c r="BR24">
        <f>(0.93*(0.9442 - 0.0007*$B24 - dis_BMI*($C24-21.75)))*AN24</f>
        <v>3.3534335434384959E-3</v>
      </c>
      <c r="BS24">
        <f>(0.93*0.943*(0.9442 - 0.0007*$B24 - dis_BMI*($C24-21.75)))*AO24</f>
        <v>1.2708981772463768E-5</v>
      </c>
      <c r="BT24">
        <f>(0.93*0.943*(0.9442 - 0.0007*$B24 - dis_BMI*($C24-21.75))-0.19*0.5)*AP24</f>
        <v>2.0337647618588617E-5</v>
      </c>
      <c r="BU24">
        <f>(0.93*0.943*(0.9442 - 0.0007*$B24 - dis_BMI*($C24-21.75)))*AQ24</f>
        <v>8.9142121009693037E-5</v>
      </c>
      <c r="BV24">
        <f>0.962*(0.9442 - 0.0007*$B24 - dis_BMI*($C24-21.75))*AR24</f>
        <v>0.30482151172029709</v>
      </c>
      <c r="BW24">
        <f>0.962*0.959*(0.9442 - 0.0007*$B24 - dis_BMI*($C24-21.75))*AS24</f>
        <v>6.0136690995844115E-2</v>
      </c>
      <c r="BX24">
        <f>0.962*(0.943*(0.9442 - 0.0007*$B24 - dis_BMI*($C24-21.75)) - 0.19*0.5)*AT24</f>
        <v>4.0110476271213828E-3</v>
      </c>
      <c r="BY24">
        <f>0.962*(0.943*(0.9442 - 0.0007*$B24 - dis_BMI*($C24-21.75)))*AU24</f>
        <v>1.7753601727254192E-2</v>
      </c>
      <c r="BZ24">
        <f>0.962*(0.955*(0.9442 - 0.0007*$B24 - dis_BMI*($C24-21.75)) - 0.15*0.5)*AV24</f>
        <v>2.3350048388867239E-3</v>
      </c>
      <c r="CA24">
        <f>0.962*(0.955*(0.9442 - 0.0007*$B24 - dis_BMI*($C24-21.75)))*AW24</f>
        <v>1.2772097564010534E-2</v>
      </c>
      <c r="CB24">
        <f>0.962*(0.955*0.943*(0.9442 - 0.0007*$B24 - dis_BMI*($C24-21.75)) - 0.19*0.5)*AX24</f>
        <v>1.50903720114944E-4</v>
      </c>
      <c r="CC24">
        <f>0.962*(0.955*0.943*(0.9442 - 0.0007*$B24 - dis_BMI*($C24-21.75)) - 0.15*0.5)*AY24</f>
        <v>1.2872788399222212E-4</v>
      </c>
      <c r="CD24">
        <f>0.962*(0.955*0.943*(0.9442 - 0.0007*$B24 - dis_BMI*($C24-21.75)))*AZ24</f>
        <v>5.563336710408506E-4</v>
      </c>
      <c r="CE24">
        <f>0.962*(0.93*(0.9442 - 0.0007*$B24 - dis_BMI*($C24-21.75)))*BA24</f>
        <v>9.9082766502021588E-4</v>
      </c>
      <c r="CF24">
        <f>0.962*(0.93*(0.9442 - 0.0007*$B24 - dis_BMI*($C24-21.75)))*BB24</f>
        <v>8.1578977130774138E-3</v>
      </c>
      <c r="CG24">
        <f>0.962*(0.93*0.943*(0.9442 - 0.0007*$B24 - dis_BMI*($C24-21.75)))*BC24</f>
        <v>5.3905211204592416E-5</v>
      </c>
      <c r="CH24">
        <f>0.962*(0.93*0.943*(0.9442 - 0.0007*$B24 - dis_BMI*($C24-21.75))-0.19*0.5)*BD24</f>
        <v>8.347880170508058E-5</v>
      </c>
      <c r="CI24">
        <f>0.962*(0.93*0.943*(0.9442 - 0.0007*$B24 - dis_BMI*($C24-21.75)))*BE24</f>
        <v>3.4035345210307123E-4</v>
      </c>
      <c r="CJ24">
        <f t="shared" si="18"/>
        <v>0</v>
      </c>
      <c r="CK24">
        <f t="shared" si="19"/>
        <v>0.6561350146340662</v>
      </c>
      <c r="CL24">
        <f>CK24/(1+r_)^A24</f>
        <v>0.35270490201512483</v>
      </c>
      <c r="CM24">
        <f>AD24*c_BN_2</f>
        <v>494.36657047939076</v>
      </c>
      <c r="CN24">
        <f>AE24*(c_Other+c_BN_2)</f>
        <v>498.71891345208229</v>
      </c>
      <c r="CO24">
        <f>AF24*(c_Stroke1+c_Stroke2+c_BN_2)</f>
        <v>54.442311905844839</v>
      </c>
      <c r="CP24">
        <f>AG24*(c_Stroke2 + c_BN_2)</f>
        <v>75.785030200952093</v>
      </c>
      <c r="CQ24">
        <f>AH24*(c_MI1+c_MI2 + c_BN_2)</f>
        <v>35.418805238483806</v>
      </c>
      <c r="CR24">
        <f>AI24*(c_MI2+c_BN_2)</f>
        <v>31.871419053548575</v>
      </c>
      <c r="CS24">
        <f>AJ24*(c_Stroke1+c_Stroke2+c_MI2+c_BN_2)</f>
        <v>1.5078579970537878</v>
      </c>
      <c r="CT24">
        <f>AK24*(c_Stroke2+c_MI1+c_MI2+c_BN_2)</f>
        <v>1.6075747537745131</v>
      </c>
      <c r="CU24">
        <f>AL24*(c_Stroke2+c_MI2+c_BN_2)</f>
        <v>2.1098509568983381</v>
      </c>
      <c r="CV24">
        <f>AM24*(c_HF1+c_BN_2)</f>
        <v>13.523654396191931</v>
      </c>
      <c r="CW24">
        <f>AN24*(c_HF2+c_BN_2)</f>
        <v>75.073702390592231</v>
      </c>
      <c r="CX24">
        <f>AO24*(c_Stroke2+c_HF1+c_BN_2)</f>
        <v>0.60726576891501693</v>
      </c>
      <c r="CY24">
        <f>AP24*(c_Stroke1+c_Stroke2+c_HF2+c_BN_2)</f>
        <v>1.2978485545957421</v>
      </c>
      <c r="CZ24">
        <f>AQ24*(c_Stroke2+c_HF2+c_BN_2)</f>
        <v>2.8934201421017058</v>
      </c>
      <c r="DA24">
        <f>AR24*(c_DM+c_BN_2)</f>
        <v>5039.1239907944082</v>
      </c>
      <c r="DB24">
        <f>AS24*(c_Other+c_DM+c_BN_2)</f>
        <v>2131.4877167176019</v>
      </c>
      <c r="DC24">
        <f>AT24*(c_Stroke1+c_Stroke2+c_DM+c_BN_2)</f>
        <v>220.28479560332943</v>
      </c>
      <c r="DD24">
        <f>AU24*(c_Stroke2+c_DM+c_BN_2)</f>
        <v>460.86273599882765</v>
      </c>
      <c r="DE24">
        <f>AV24*(c_MI1+c_MI2+c_DM+c_BN_2)</f>
        <v>140.55447262028508</v>
      </c>
      <c r="DF24">
        <f>AW24*(c_MI2+c_DM+c_BN_2)</f>
        <v>272.06120219678024</v>
      </c>
      <c r="DG24">
        <f>AX24*(c_Stroke1+c_Stroke2+c_MI2+c_DM+c_BN_2)</f>
        <v>9.4625018586284817</v>
      </c>
      <c r="DH24">
        <f>AY24*(c_Stroke2+c_MI1+c_MI2+c_DM+c_BN_2)</f>
        <v>9.527393865468774</v>
      </c>
      <c r="DI24">
        <f>AZ24*(c_Stroke2+c_MI2+c_DM+c_BN_2)</f>
        <v>17.47672563051394</v>
      </c>
      <c r="DJ24">
        <f>BA24*(c_HF1+c_DM+c_BN_2)</f>
        <v>52.824911053350263</v>
      </c>
      <c r="DK24">
        <f>BB24*(c_HF2+c_DM+c_BN_2)</f>
        <v>312.3877402580913</v>
      </c>
      <c r="DL24">
        <f>BC24*(c_Stroke2+c_HF1+c_DM+c_BN_2)</f>
        <v>3.536132085118135</v>
      </c>
      <c r="DM24">
        <f>BD24*(c_Stroke1+c_Stroke2+c_HF2+c_DM+c_BN_2)</f>
        <v>7.0615667879298272</v>
      </c>
      <c r="DN24">
        <f>BE24*(c_Stroke2+c_HF2+c_DM+c_BN_2)</f>
        <v>16.905309726732526</v>
      </c>
      <c r="DO24">
        <f t="shared" si="5"/>
        <v>0</v>
      </c>
      <c r="DP24">
        <f t="shared" si="38"/>
        <v>9982.7814204874921</v>
      </c>
      <c r="DQ24">
        <f>DP24/(1+r_)^A24</f>
        <v>5366.2369241414999</v>
      </c>
    </row>
    <row r="25" spans="1:121" x14ac:dyDescent="0.3">
      <c r="A25">
        <v>22</v>
      </c>
      <c r="B25">
        <v>67</v>
      </c>
      <c r="C25">
        <f t="shared" si="39"/>
        <v>36.251999999999995</v>
      </c>
      <c r="D25">
        <f t="shared" si="1"/>
        <v>125</v>
      </c>
      <c r="E25">
        <f t="shared" si="40"/>
        <v>5.7</v>
      </c>
      <c r="F25">
        <v>1.125E-2</v>
      </c>
      <c r="G25">
        <v>1.8259999999999998E-2</v>
      </c>
      <c r="H25">
        <f t="shared" si="3"/>
        <v>1.2651999999999998E-2</v>
      </c>
      <c r="I25">
        <f t="shared" si="20"/>
        <v>4.7655426853004217E-2</v>
      </c>
      <c r="J25">
        <f t="shared" si="21"/>
        <v>0.21707399178301146</v>
      </c>
      <c r="K25">
        <f t="shared" si="22"/>
        <v>0.29016602218670762</v>
      </c>
      <c r="L25">
        <f t="shared" si="23"/>
        <v>0.10939011370917084</v>
      </c>
      <c r="M25">
        <f t="shared" si="24"/>
        <v>0.14976732044519658</v>
      </c>
      <c r="N25">
        <f t="shared" si="25"/>
        <v>0.46525985987032303</v>
      </c>
      <c r="O25">
        <f t="shared" si="26"/>
        <v>0.58707729128158137</v>
      </c>
      <c r="P25">
        <f t="shared" si="27"/>
        <v>0.2650189653638676</v>
      </c>
      <c r="Q25">
        <f t="shared" si="28"/>
        <v>0.3527833861284686</v>
      </c>
      <c r="R25">
        <f>IF(C25&lt;25, HT_f_low, IF(C25&lt;30, HT_f_mod, HT_f_high))</f>
        <v>0.42</v>
      </c>
      <c r="S25">
        <f>IF(C25&lt;25, HT_m_low, IF(C25&lt;30, HT_m_mod, HT_m_high))</f>
        <v>0.43099999999999999</v>
      </c>
      <c r="T25">
        <f>PREV_FEMALE*PREV_SMOKE*(1-$R25)*(1-EXP(-J25/10))+PREV_FEMALE*PREV_SMOKE*$R25*(1-EXP(-K25/10))+PREV_FEMALE*(1-PREV_SMOKE)*(1-$R25)*(1-EXP(-L25/10))+PREV_FEMALE*(1-PREV_SMOKE)*$R25*(1-EXP(-M25/10))+(1-PREV_FEMALE)*PREV_SMOKE*(1-$S25)*(1-EXP(-N25/10))+(1-PREV_FEMALE)*PREV_SMOKE*$S25*(1-EXP(-O25/10))+(1-PREV_FEMALE)*(1-PREV_SMOKE)*(1-$S25)*(1-EXP(-P25/10))+(1-PREV_FEMALE)*(1-PREV_SMOKE)*$S25*(1-EXP(-Q25/10))</f>
        <v>1.7713817073458031E-2</v>
      </c>
      <c r="U25">
        <f t="shared" si="29"/>
        <v>0.41291157009874269</v>
      </c>
      <c r="V25">
        <f t="shared" si="30"/>
        <v>0.52568017847234294</v>
      </c>
      <c r="W25">
        <f t="shared" si="31"/>
        <v>0.22285060308684423</v>
      </c>
      <c r="X25">
        <f t="shared" si="32"/>
        <v>0.29748999249037633</v>
      </c>
      <c r="Y25">
        <f t="shared" si="33"/>
        <v>0.65533799009236859</v>
      </c>
      <c r="Z25">
        <f t="shared" si="34"/>
        <v>0.77800559854414475</v>
      </c>
      <c r="AA25">
        <f t="shared" si="35"/>
        <v>0.40782726164382122</v>
      </c>
      <c r="AB25">
        <f t="shared" si="36"/>
        <v>0.52305080048207109</v>
      </c>
      <c r="AC25">
        <f>PREV_FEMALE*PREV_SMOKE*(1-$R25)*(1-EXP(-U25/10))+PREV_FEMALE*PREV_SMOKE*$R25*(1-EXP(-V25/10))+PREV_FEMALE*(1-PREV_SMOKE)*(1-$R25)*(1-EXP(-W25/10))+PREV_FEMALE*(1-PREV_SMOKE)*$R25*(1-EXP(-X25/10))+(1-PREV_FEMALE)*PREV_SMOKE*(1-$S25)*(1-EXP(-Y25/10))+(1-PREV_FEMALE)*PREV_SMOKE*$S25*(1-EXP(-Z25/10))+(1-PREV_FEMALE)*(1-PREV_SMOKE)*(1-$S25)*(1-EXP(-AA25/10))+(1-PREV_FEMALE)*(1-PREV_SMOKE)*$S25*(1-EXP(-AB25/10))</f>
        <v>3.1593808349955239E-2</v>
      </c>
      <c r="AD25">
        <f t="shared" si="37"/>
        <v>0.21823744717326168</v>
      </c>
      <c r="AE25">
        <f t="shared" si="6"/>
        <v>3.024203571687404E-2</v>
      </c>
      <c r="AF25">
        <f t="shared" si="7"/>
        <v>2.0643579308653485E-3</v>
      </c>
      <c r="AG25">
        <f t="shared" si="8"/>
        <v>8.7266892422081209E-3</v>
      </c>
      <c r="AH25">
        <f>AD24*T24*p_MI*p_MI_rec_mid*(1-I24)+AE24*T24*p_MI*p_MI_rec_mid*(1-I24) + AH24*(PREV_FEMALE*p_recur_MI_F + (1-PREV_FEMALE)*p_recur_MI_M)*p_MI_rec_mid*(1-I24) + AI24*(PREV_FEMALE*p_recur_MI_F + (1-PREV_FEMALE)*p_recur_MI_M)*p_MI_rec_mid*(1-I24)</f>
        <v>1.1058418183634644E-3</v>
      </c>
      <c r="AI25">
        <f>AH24*(1-(PREV_FEMALE*p_recur_MI_F + (1-PREV_FEMALE)*p_recur_MI_M) - T24*p_Stroke - p_toHF_mid - H24*rr_MI)*(1-I24) + AI24*(1-(PREV_FEMALE*p_recur_MI_F + (1-PREV_FEMALE)*p_recur_MI_M) - T24*p_Stroke - p_toHF_mid - H24*rr_MI)*(1-I24)</f>
        <v>6.0216056204710662E-3</v>
      </c>
      <c r="AJ25">
        <f t="shared" si="11"/>
        <v>5.3811024321952686E-5</v>
      </c>
      <c r="AK25">
        <f>AF24*T24*p_MI*p_MI_rec_mid*(1-I24) + AG24*T24*p_MI*p_MI_rec_mid*(1-I24) + AJ24*(PREV_FEMALE*p_recur_MI_F + (1-PREV_FEMALE)*p_recur_MI_M)*p_MI_rec_mid*(1-I24) + AK24*(PREV_FEMALE*p_recur_MI_F + (1-PREV_FEMALE)*p_recur_MI_M)*p_MI_rec_mid*(1-I24) + AL24*(PREV_FEMALE*p_recur_MI_F + (1-PREV_FEMALE)*p_recur_MI_M)*p_MI_rec_mid*(1-I24)</f>
        <v>4.4125545879765146E-5</v>
      </c>
      <c r="AL25">
        <f>AJ24*(1-p_recur_Stroke-(PREV_FEMALE*p_recur_MI_F + (1-PREV_FEMALE)*p_recur_MI_M) - p_toHF_mid - H24*rr_MI*rr_Stroke)*(1-I24) + AK24*(1-p_recur_Stroke-(PREV_FEMALE*p_recur_MI_F + (1-PREV_FEMALE)*p_recur_MI_M) - p_toHF_mid - H24*rr_MI*rr_Stroke)*(1-I24) + AL24*(1-p_recur_Stroke-(PREV_FEMALE*p_recur_MI_F + (1-PREV_FEMALE)*p_recur_MI_M) - p_toHF_mid - H24*rr_MI*rr_Stroke)*(1-I24)</f>
        <v>1.8741658373594241E-4</v>
      </c>
      <c r="AM25">
        <f>AD24*T24*p_MI*p_MI_HF_mid*(1-I24) + AE24*T24*p_MI*p_MI_HF_mid*(1-I24) + AH24*p_toHF_mid*(1-I24) + AH24*(PREV_FEMALE*p_recur_MI_F + (1-PREV_FEMALE)*p_recur_MI_M)*p_MI_HF_mid*(1-I24) + AI24*p_toHF_mid*(1-I24) + AI24*(PREV_FEMALE*p_recur_MI_F + (1-PREV_FEMALE)*p_recur_MI_M)*p_MI_HF_mid*(1-I24)</f>
        <v>4.5531393995166636E-4</v>
      </c>
      <c r="AN25">
        <f t="shared" si="15"/>
        <v>4.3675422245762268E-3</v>
      </c>
      <c r="AO25">
        <f>AF24*T24*p_MI*p_MI_HF_mid*(1-I24) + AG24*T24*p_MI*p_MI_HF_mid*(1-I24) + AJ24*(PREV_FEMALE*p_recur_MI_F + (1-PREV_FEMALE)*p_recur_MI_M)*p_MI_HF_mid*(1-I24) + AJ24*p_toHF_mid*(1-I24) + AK24*(PREV_FEMALE*p_recur_MI_F + (1-PREV_FEMALE)*p_recur_MI_M)*p_MI_HF_mid*(1-I24) + AK24*p_toHF_mid*(1-I24) + AL24*(PREV_FEMALE*p_recur_MI_F + (1-PREV_FEMALE)*p_recur_MI_M)*p_MI_HF_mid*(1-I24) + AL24*p_toHF_mid*(1-I24)</f>
        <v>1.7738340541183494E-5</v>
      </c>
      <c r="AP25">
        <f>AM24*T24*p_Stroke*p_Stroke_rec*(1-I24) + AN24*T24*p_Stroke*p_Stroke_rec*(1-I24) + AO24*(p_recur_Stroke*p_Stroke_rec)*(1-I24) + AP24*(p_recur_Stroke*p_Stroke_rec)*(1-I24) + AQ24*(p_recur_Stroke*p_Stroke_rec)*(1-I24)</f>
        <v>3.3835379689719597E-5</v>
      </c>
      <c r="AQ25">
        <f>AO24*(1-p_recur_Stroke-H24*rr_Stroke*rr_HF)*(1-I24) + AP24*(1-p_recur_Stroke-H24*rr_Stroke*rr_HF)*(1-I24) + AQ24*(1-p_recur_Stroke-H24*rr_Stroke*rr_HF)*(1-I24)</f>
        <v>1.2992304870527302E-4</v>
      </c>
      <c r="AR25">
        <f>AR24*(1-AC24-H24*rr_DM) + AD24*(1-T24-H24)*I24</f>
        <v>0.36717657621127181</v>
      </c>
      <c r="AS25">
        <f>AR24*AC24*p_Other + AD24*T24*p_Other*I24 + AE24*(1-T24*p_Stroke-T24*p_MI-H24*rr_Other)*I24 + AS24*(1-AC24*p_Stroke-AC24*p_MI-H24*rr_Other*rr_DM)</f>
        <v>8.1420668096729557E-2</v>
      </c>
      <c r="AT25">
        <f>AR24*AC24*p_Stroke*p_Stroke_rec + AD24*T24*p_Stroke*p_Stroke_rec*I24 + AE24*T24*p_Stroke*p_Stroke_rec*I24 + AF24*p_recur_Stroke*p_Stroke_rec*I24 + AG24*p_recur_Stroke*p_Stroke_rec*I24 + AS24*AC24*p_Stroke*p_Stroke_rec + AT24*p_recur_Stroke*p_Stroke_rec + AU24*p_recur_Stroke*p_Stroke_rec</f>
        <v>6.2032583666896991E-3</v>
      </c>
      <c r="AU25">
        <f>AF24*(1-p_recur_Stroke-T24*p_MI-H24*rr_Stroke)*I24 + AG24*(1-p_recur_Stroke-T24*p_MI-H24*rr_Stroke)*I24 + AT24*(1-p_recur_Stroke-AC24*p_MI-H24*rr_Stroke*rr_DM) + AU24*(1-p_recur_Stroke-AC24*p_MI-H24*rr_Stroke*rr_DM)</f>
        <v>2.4461695898680341E-2</v>
      </c>
      <c r="AV25">
        <f>AR24*AC24*p_MI*p_MI_rec_mid + AD24*T24*p_MI*p_MI_rec_mid*I24 + AE24*T24*p_MI*p_MI_rec_mid*I24 +AH24*(PREV_FEMALE*p_recur_MI_F + (1-PREV_FEMALE)*p_recur_MI_M)*p_MI_rec_mid*I24 + AI24*(PREV_FEMALE*p_recur_MI_F + (1-PREV_FEMALE)*p_recur_MI_M)*p_MI_rec_mid*I24 + AS24*AC24*p_MI*p_MI_rec_mid + AV24*(PREV_FEMALE*p_recur_MI_F + (1-PREV_FEMALE)*p_recur_MI_M)*p_MI_rec_mid + AW24*(PREV_FEMALE*p_recur_MI_F + (1-PREV_FEMALE)*p_recur_MI_M)*p_MI_rec_mid</f>
        <v>3.4374218600096438E-3</v>
      </c>
      <c r="AW25">
        <f>AH24*(1-(PREV_FEMALE*p_recur_MI_F + (1-PREV_FEMALE)*p_recur_MI_M) - T24*p_Stroke - p_toHF_mid - H24*rr_MI)*I24 + AI24*(1-(PREV_FEMALE*p_recur_MI_F + (1-PREV_FEMALE)*p_recur_MI_M) - T24*p_Stroke - p_toHF_mid - H24*rr_MI)*I24 + AV24*(1-(PREV_FEMALE*p_recur_MI_F + (1-PREV_FEMALE)*p_recur_MI_M) - AC24*p_Stroke - p_toHF_mid - H24*rr_MI*rr_DM) + AW24*(1-(PREV_FEMALE*p_recur_MI_F + (1-PREV_FEMALE)*p_recur_MI_M) - AC24*p_Stroke - p_toHF_mid - H24*rr_MI*rr_DM)</f>
        <v>1.732311729163899E-2</v>
      </c>
      <c r="AX25">
        <f>AH24*T24*p_Stroke*p_Stroke_rec*I24 + AI24*T24*p_Stroke*p_Stroke_rec*I24 + AJ24*p_recur_Stroke*p_Stroke_rec*I24 + AK24*p_recur_Stroke*p_Stroke_rec*I24 + AL24*p_recur_Stroke*p_Stroke_rec*I24 + AV24*AC24*p_Stroke*p_Stroke_rec + AW24*AC24*p_Stroke*p_Stroke_rec + AX24*p_recur_Stroke*p_Stroke_rec + AY24*p_recur_Stroke*p_Stroke_rec + AZ24*p_recur_Stroke*p_Stroke_rec</f>
        <v>2.6039643471729724E-4</v>
      </c>
      <c r="AY25">
        <f>AF24*T24*p_MI*p_MI_rec_mid*I24 + AG24*T24*p_MI*p_MI_rec_mid*I24 + AJ24*(PREV_FEMALE*p_recur_MI_F+(1-PREV_FEMALE)*p_recur_MI_M)*p_MI_rec_mid*I24 + AK24*(PREV_FEMALE*p_recur_MI_F+(1-PREV_FEMALE)*p_recur_MI_M)*p_MI_rec_mid*I24 + AL24*(PREV_FEMALE*p_recur_MI_F+(1-PREV_FEMALE)*p_recur_MI_M)*p_MI_rec_mid*I24 + AT24*AC24*p_MI*p_MI_rec_mid + AU24*AC24*p_MI*p_MI_rec_mid + AX24*(PREV_FEMALE*p_recur_MI_F+(1-PREV_FEMALE)*p_recur_MI_M)*p_MI_rec_mid + AY24*(PREV_FEMALE*p_recur_MI_F+(1-PREV_FEMALE)*p_recur_MI_M)*p_MI_rec_mid + AZ24*(PREV_FEMALE*p_recur_MI_F+(1-PREV_FEMALE)*p_recur_MI_M)*p_MI_rec_mid</f>
        <v>2.1530887294758473E-4</v>
      </c>
      <c r="AZ25">
        <f>AJ24*(1-p_recur_Stroke-(PREV_FEMALE*p_recur_MI_F + (1-PREV_FEMALE)*p_recur_MI_M) - p_toHF_mid - H24*rr_MI*rr_Stroke)*I24 + AK24*(1-p_recur_Stroke-(PREV_FEMALE*p_recur_MI_F + (1-PREV_FEMALE)*p_recur_MI_M) - p_toHF_mid - H24*rr_MI*rr_Stroke)*I24 + AL24*(1-p_recur_Stroke-(PREV_FEMALE*p_recur_MI_F + (1-PREV_FEMALE)*p_recur_MI_M) - p_toHF_mid - H24*rr_MI*rr_Stroke)*I24 + AX24*(1-p_recur_Stroke-(PREV_FEMALE*p_recur_MI_F + (1-PREV_FEMALE)*p_recur_MI_M) - p_toHF_mid - H24*rr_MI*rr_Stroke*rr_DM) + AY24*(1-p_recur_Stroke-(PREV_FEMALE*p_recur_MI_F + (1-PREV_FEMALE)*p_recur_MI_M) - p_toHF_mid - H24*rr_MI*rr_Stroke*rr_DM) + AZ24*(1-p_recur_Stroke-(PREV_FEMALE*p_recur_MI_F + (1-PREV_FEMALE)*p_recur_MI_M) - p_toHF_mid - H24*rr_MI*rr_Stroke*rr_DM)</f>
        <v>8.4659671199049154E-4</v>
      </c>
      <c r="BA25">
        <f>AR24*AC24*p_MI*p_MI_HF_mid + AD24*T24*p_MI*p_MI_HF_mid*I24 + AE24*T24*p_MI*p_MI_HF_mid*I24 + AH24*p_toHF_mid*I24 + AH24*(PREV_FEMALE*p_recur_MI_F + (1-PREV_FEMALE)*p_recur_MI_M)*p_MI_HF_mid*I24 + AI24*p_toHF_mid*I24 + AI24*(PREV_FEMALE*p_recur_MI_F + (1-PREV_FEMALE)*p_recur_MI_M)*p_MI_HF_mid*I24 + AS24*AC24*p_MI*p_MI_HF_mid + AV24*(PREV_FEMALE*p_recur_MI_F + (1-PREV_FEMALE)*p_recur_MI_M)*p_MI_HF_mid + AV24*p_toHF_mid + AW24*(PREV_FEMALE*p_recur_MI_F + (1-PREV_FEMALE)*p_recur_MI_M)*p_MI_HF_mid + AW24*p_toHF_mid</f>
        <v>1.3698712058573892E-3</v>
      </c>
      <c r="BB25">
        <f>AM24*(1-T24*p_Stroke - H24*rr_HF)*I24 + AN24*(1-T24*p_Stroke - H24*rr_HF)*I24 + BA24*(1-AC24*p_Stroke - H24*rr_HF*rr_DM) + BB24*(1-AC24*p_Stroke - H24*rr_HF*rr_DM)</f>
        <v>1.1864916903376736E-2</v>
      </c>
      <c r="BC25">
        <f>AF24*T24*p_MI*p_MI_HF_mid*I24 + AG24*T24*p_MI*p_MI_HF_mid*I24 + AJ24*(PREV_FEMALE*p_recur_MI_F + (1-PREV_FEMALE)*p_recur_MI_M)*p_MI_HF_mid*I24 + AJ24*p_toHF_mid*I24 + AK24*(PREV_FEMALE*p_recur_MI_F + (1-PREV_FEMALE)*p_recur_MI_M)*p_MI_HF_mid*I24 + AK24*p_toHF_mid*I24 + AL24*(PREV_FEMALE*p_recur_MI_F + (1-PREV_FEMALE)*p_recur_MI_M)*p_MI_HF_mid*I24 + AL24*p_toHF_mid*I24 + AT24*AC24*p_MI*p_MI_HF_mid + AU24*AC24*p_MI*p_MI_HF_mid + AX24*(PREV_FEMALE*p_recur_MI_F + (1-PREV_FEMALE)*p_recur_MI_M)*p_MI_HF_mid + AX24*p_toHF_mid + AY24*(PREV_FEMALE*p_recur_MI_F + (1-PREV_FEMALE)*p_recur_MI_M)*p_MI_HF_mid + AY24*p_toHF_mid + AZ24*(PREV_FEMALE*p_recur_MI_F + (1-PREV_FEMALE)*p_recur_MI_M)*p_MI_HF_mid + AZ24*p_toHF_mid</f>
        <v>8.4064562056509286E-5</v>
      </c>
      <c r="BD25">
        <f>AM24*T24*p_Stroke*p_Stroke_rec*I24 + AN24*T24*p_Stroke*p_Stroke_rec*I24 + AO24*(p_recur_Stroke*p_Stroke_rec)*I24 + AP24*(p_recur_Stroke*p_Stroke_rec)*I24 + AQ24*(p_recur_Stroke*p_Stroke_rec)*I24 + BA24*AC24*p_Stroke*p_Stroke_rec + BB24*AC24*p_Stroke*p_Stroke_rec + BC24*(p_recur_Stroke*p_Stroke_rec) + BD24*(p_recur_Stroke*p_Stroke_rec) + BE24*(p_recur_Stroke*p_Stroke_rec)</f>
        <v>1.549185985163434E-4</v>
      </c>
      <c r="BE25">
        <f>AO24*(1-p_recur_Stroke - H24*rr_Stroke*rr_HF)*I24 + AP24*(1-p_recur_Stroke-H24*rr_Stroke*rr_HF)*I24 + AQ24*(1-p_recur_Stroke-H24*rr_Stroke*rr_HF)*I24 + BC24*(1-p_recur_Stroke - H24*rr_Stroke*rr_HF*rr_DM) + BD24*(1-p_recur_Stroke-H24*rr_Stroke*rr_HF*rr_DM) + BE24*(1-p_recur_Stroke-H24*rr_Stroke*rr_HF*rr_DM)</f>
        <v>5.5472517258028779E-4</v>
      </c>
      <c r="BF25">
        <f>AD24*H24 + AE24*H24*rr_Other + AF24*H24*rr_Stroke + AG24*H24*rr_Stroke + AH24*H24*rr_MI + AI24*H24*rr_MI + AJ24*H24*rr_Stroke*rr_MI + AK24*H24*rr_Stroke*rr_MI + AL24*H24*rr_Stroke*rr_MI + AM24*H24*rr_HF + AN24*H24*rr_HF + AO24*H24*rr_Stroke*rr_HF + AP24*H24*rr_Stroke*rr_HF + AR24*H24*rr_DM + AS24*H24*rr_DM*rr_Other + AT24*H24*rr_DM*rr_Stroke + AU24*H24*rr_DM*rr_Stroke + AV24*H24*rr_DM*rr_MI + AW24*H24*rr_DM*rr_MI + AX24*H24*rr_DM*rr_Stroke*rr_MI + AY24*H24*rr_DM*rr_Stroke*rr_MI + AZ24*H24*rr_DM*rr_Stroke*rr_MI + BA24*H24*rr_DM*rr_HF + BB24*H24*rr_DM*rr_HF + BC24*H24*rr_DM*rr_Stroke*rr_HF + BD24*H24*rr_DM*rr_Stroke*rr_HF + AQ24*H24*rr_Stroke*rr_HF + BE24*H24*rr_DM*rr_Stroke*rr_HF
+ AD24*T24*p_MI*p_MI_mort + AD24*T24*p_Stroke*p_Stroke_mort + AE24*T24*p_MI*p_MI_mort + AE24*T24*p_Stroke*p_Stroke_mort + AF24*T24*p_MI*p_MI_mort + AF24*p_recur_Stroke*p_Stroke_mort + AG24*T24*p_MI*p_MI_mort + AG24*p_recur_Stroke*p_Stroke_mort + AH24*(PREV_FEMALE*p_recur_MI_F + (1-PREV_FEMALE)*p_recur_MI_M)*p_MI_mort + AH24*T24*p_Stroke*p_Stroke_mort + AI24*(PREV_FEMALE*p_recur_MI_F + (1-PREV_FEMALE)*p_recur_MI_M)*p_MI_mort + AI24*T24*p_Stroke*p_Stroke_mort + AJ24*(PREV_FEMALE*p_recur_MI_F + (1-PREV_FEMALE)*p_recur_MI_M)*p_MI_mort + AJ24*p_recur_Stroke*p_Stroke_mort + AK24*(PREV_FEMALE*p_recur_MI_F + (1-PREV_FEMALE)*p_recur_MI_M)*p_MI_mort + AK24*p_recur_Stroke*p_Stroke_mort + AL24*(PREV_FEMALE*p_recur_MI_F + (1-PREV_FEMALE)*p_recur_MI_M)*p_MI_mort + AL24*p_recur_Stroke*p_Stroke_mort + AM24*T24*p_Stroke*p_Stroke_mort + AN24*T24*p_Stroke*p_Stroke_mort + AO24*p_recur_Stroke*p_Stroke_mort + AP24*p_recur_Stroke*p_Stroke_mort + AQ24*p_recur_Stroke*p_Stroke_mort
+ AR24*AC24*p_MI*p_MI_mort + AR24*AC24*p_Stroke*p_Stroke_mort + AS24*AC24*p_MI*p_MI_mort + AS24*AC24*p_Stroke*p_Stroke_mort + AT24*AC24*p_MI*p_MI_mort + AT24*p_recur_Stroke*p_Stroke_mort + AU24*AC24*p_MI*p_MI_mort + AU24*p_recur_Stroke*p_Stroke_mort + AV24*(PREV_FEMALE*p_recur_MI_F + (1-PREV_FEMALE)*p_recur_MI_M)*p_MI_mort + AV24*AC24*p_Stroke*p_Stroke_mort + AW24*(PREV_FEMALE*p_recur_MI_F + (1-PREV_FEMALE)*p_recur_MI_M)*p_MI_mort + AW24*AC24*p_Stroke*p_Stroke_mort + AX24*(PREV_FEMALE*p_recur_MI_F + (1-PREV_FEMALE)*p_recur_MI_M)*p_MI_mort + AX24*p_recur_Stroke*p_Stroke_mort + AY24*(PREV_FEMALE*p_recur_MI_F + (1-PREV_FEMALE)*p_recur_MI_M)*p_MI_mort + AY24*p_recur_Stroke*p_Stroke_mort + AZ24*(PREV_FEMALE*p_recur_MI_F + (1-PREV_FEMALE)*p_recur_MI_M)*p_MI_mort + AZ24*p_recur_Stroke*p_Stroke_mort + BA24*AC24*p_Stroke*p_Stroke_mort + BB24*AC24*p_Stroke*p_Stroke_mort + BC24*p_recur_Stroke*p_Stroke_mort + BD24*p_recur_Stroke*p_Stroke_mort + BE24*p_recur_Stroke*p_Stroke_mort
+BF24</f>
        <v>0.15993878022349209</v>
      </c>
      <c r="BG25">
        <f t="shared" si="17"/>
        <v>0.94700000000000029</v>
      </c>
      <c r="BH25">
        <f>(0.9442 - 0.0007*$B25 - dis_BMI*($C25-21.75))*AD25</f>
        <v>0.18538035913417578</v>
      </c>
      <c r="BI25">
        <f>0.959*(0.9442 - 0.0007*$B25 - dis_BMI*($C25-21.75))*AE25</f>
        <v>2.4635652838930142E-2</v>
      </c>
      <c r="BJ25">
        <f>(0.943*(0.9442 - 0.0007*$B25 - dis_BMI*($C25-21.75)) - 0.19*0.5)*AF25</f>
        <v>1.4574885686611783E-3</v>
      </c>
      <c r="BK25">
        <f>(0.943*(0.9442 - 0.0007*$B25 - dis_BMI*($C25-21.75)))*AG25</f>
        <v>6.9902973515479413E-3</v>
      </c>
      <c r="BL25">
        <f>(0.955*(0.9442 - 0.0007*$B25 - dis_BMI*($C25-21.75)) - 0.15*0.5)*AH25</f>
        <v>8.1414114614320582E-4</v>
      </c>
      <c r="BM25">
        <f>(0.955*(0.9442 - 0.0007*$B25 - dis_BMI*($C25-21.75)))*AI25</f>
        <v>4.8848375598850094E-3</v>
      </c>
      <c r="BN25">
        <f>(0.955*0.943*(0.9442 - 0.0007*$B25 - dis_BMI*($C25-21.75)) - 0.19*0.5)*AJ25</f>
        <v>3.6052256023177959E-5</v>
      </c>
      <c r="BO25">
        <f>(0.955*0.943*(0.9442 - 0.0007*$B25 - dis_BMI*($C25-21.75)) - 0.15*0.5)*AK25</f>
        <v>3.0445699822936154E-5</v>
      </c>
      <c r="BP25">
        <f>(0.955*0.943*(0.9442 - 0.0007*$B25 - dis_BMI*($C25-21.75)))*AL25</f>
        <v>1.4336974997029858E-4</v>
      </c>
      <c r="BQ25">
        <f>(0.93*(0.9442 - 0.0007*$B25 - dis_BMI*($C25-21.75)))*AM25</f>
        <v>3.596899817345436E-4</v>
      </c>
      <c r="BR25">
        <f>(0.93*(0.9442 - 0.0007*$B25 - dis_BMI*($C25-21.75)))*AN25</f>
        <v>3.4502813227054625E-3</v>
      </c>
      <c r="BS25">
        <f>(0.93*0.943*(0.9442 - 0.0007*$B25 - dis_BMI*($C25-21.75)))*AO25</f>
        <v>1.3214236517639479E-5</v>
      </c>
      <c r="BT25">
        <f>(0.93*0.943*(0.9442 - 0.0007*$B25 - dis_BMI*($C25-21.75))-0.19*0.5)*AP25</f>
        <v>2.1991418965440418E-5</v>
      </c>
      <c r="BU25">
        <f>(0.93*0.943*(0.9442 - 0.0007*$B25 - dis_BMI*($C25-21.75)))*AQ25</f>
        <v>9.6786612631449969E-5</v>
      </c>
      <c r="BV25">
        <f>0.962*(0.9442 - 0.0007*$B25 - dis_BMI*($C25-21.75))*AR25</f>
        <v>0.30004368196396586</v>
      </c>
      <c r="BW25">
        <f>0.962*0.959*(0.9442 - 0.0007*$B25 - dis_BMI*($C25-21.75))*AS25</f>
        <v>6.3806186240584789E-2</v>
      </c>
      <c r="BX25">
        <f>0.962*(0.943*(0.9442 - 0.0007*$B25 - dis_BMI*($C25-21.75)) - 0.19*0.5)*AT25</f>
        <v>4.2132293328879548E-3</v>
      </c>
      <c r="BY25">
        <f>0.962*(0.943*(0.9442 - 0.0007*$B25 - dis_BMI*($C25-21.75)))*AU25</f>
        <v>1.8849844588622794E-2</v>
      </c>
      <c r="BZ25">
        <f>0.962*(0.955*(0.9442 - 0.0007*$B25 - dis_BMI*($C25-21.75)) - 0.15*0.5)*AV25</f>
        <v>2.4345270348886654E-3</v>
      </c>
      <c r="CA25">
        <f>0.962*(0.955*(0.9442 - 0.0007*$B25 - dis_BMI*($C25-21.75)))*AW25</f>
        <v>1.3518824678874381E-2</v>
      </c>
      <c r="CB25">
        <f>0.962*(0.955*0.943*(0.9442 - 0.0007*$B25 - dis_BMI*($C25-21.75)) - 0.19*0.5)*AX25</f>
        <v>1.6783065638191694E-4</v>
      </c>
      <c r="CC25">
        <f>0.962*(0.955*0.943*(0.9442 - 0.0007*$B25 - dis_BMI*($C25-21.75)) - 0.15*0.5)*AY25</f>
        <v>1.4291337308757406E-4</v>
      </c>
      <c r="CD25">
        <f>0.962*(0.955*0.943*(0.9442 - 0.0007*$B25 - dis_BMI*($C25-21.75)))*AZ25</f>
        <v>6.2301881166057255E-4</v>
      </c>
      <c r="CE25">
        <f>0.962*(0.93*(0.9442 - 0.0007*$B25 - dis_BMI*($C25-21.75)))*BA25</f>
        <v>1.0410514753871262E-3</v>
      </c>
      <c r="CF25">
        <f>0.962*(0.93*(0.9442 - 0.0007*$B25 - dis_BMI*($C25-21.75)))*BB25</f>
        <v>9.0168982272132749E-3</v>
      </c>
      <c r="CG25">
        <f>0.962*(0.93*0.943*(0.9442 - 0.0007*$B25 - dis_BMI*($C25-21.75)))*BC25</f>
        <v>6.0244459794099165E-5</v>
      </c>
      <c r="CH25">
        <f>0.962*(0.93*0.943*(0.9442 - 0.0007*$B25 - dis_BMI*($C25-21.75))-0.19*0.5)*BD25</f>
        <v>9.6863649911932699E-5</v>
      </c>
      <c r="CI25">
        <f>0.962*(0.93*0.943*(0.9442 - 0.0007*$B25 - dis_BMI*($C25-21.75)))*BE25</f>
        <v>3.9754109863586879E-4</v>
      </c>
      <c r="CJ25">
        <f t="shared" si="18"/>
        <v>0</v>
      </c>
      <c r="CK25">
        <f t="shared" si="19"/>
        <v>0.64272726346961107</v>
      </c>
      <c r="CL25">
        <f>CK25/(1+r_)^A25</f>
        <v>0.3354345389175758</v>
      </c>
      <c r="CM25">
        <f>AD25*c_BN_2</f>
        <v>457.20745182798322</v>
      </c>
      <c r="CN25">
        <f>AE25*(c_Other+c_BN_2)</f>
        <v>495.18309282809554</v>
      </c>
      <c r="CO25">
        <f>AF25*(c_Stroke1+c_Stroke2+c_BN_2)</f>
        <v>53.489578346652046</v>
      </c>
      <c r="CP25">
        <f>AG25*(c_Stroke2 + c_BN_2)</f>
        <v>75.005894036778798</v>
      </c>
      <c r="CQ25">
        <f>AH25*(c_MI1+c_MI2 + c_BN_2)</f>
        <v>34.55313345658481</v>
      </c>
      <c r="CR25">
        <f>AI25*(c_MI2+c_BN_2)</f>
        <v>31.384608493895197</v>
      </c>
      <c r="CS25">
        <f>AJ25*(c_Stroke1+c_Stroke2+c_MI2+c_BN_2)</f>
        <v>1.5620264140176425</v>
      </c>
      <c r="CT25">
        <f>AK25*(c_Stroke2+c_MI1+c_MI2+c_BN_2)</f>
        <v>1.6655628547776151</v>
      </c>
      <c r="CU25">
        <f>AL25*(c_Stroke2+c_MI2+c_BN_2)</f>
        <v>2.1950230287153576</v>
      </c>
      <c r="CV25">
        <f>AM25*(c_HF1+c_BN_2)</f>
        <v>13.261018501092282</v>
      </c>
      <c r="CW25">
        <f>AN25*(c_HF2+c_BN_2)</f>
        <v>77.30549737499922</v>
      </c>
      <c r="CX25">
        <f>AO25*(c_Stroke2+c_HF1+c_BN_2)</f>
        <v>0.63192838177966193</v>
      </c>
      <c r="CY25">
        <f>AP25*(c_Stroke1+c_Stroke2+c_HF2+c_BN_2)</f>
        <v>1.4047096231983989</v>
      </c>
      <c r="CZ25">
        <f>AQ25*(c_Stroke2+c_HF2+c_BN_2)</f>
        <v>3.144137778667607</v>
      </c>
      <c r="DA25">
        <f>AR25*(c_DM+c_BN_2)</f>
        <v>4964.2273103763946</v>
      </c>
      <c r="DB25">
        <f>AS25*(c_Other+c_DM+c_BN_2)</f>
        <v>2263.4131524209847</v>
      </c>
      <c r="DC25">
        <f>AT25*(c_Stroke1+c_Stroke2+c_DM+c_BN_2)</f>
        <v>231.6048543787266</v>
      </c>
      <c r="DD25">
        <f>AU25*(c_Stroke2+c_DM+c_BN_2)</f>
        <v>489.72315189158041</v>
      </c>
      <c r="DE25">
        <f>AV25*(c_MI1+c_MI2+c_DM+c_BN_2)</f>
        <v>146.67822818847151</v>
      </c>
      <c r="DF25">
        <f>AW25*(c_MI2+c_DM+c_BN_2)</f>
        <v>288.20470238099784</v>
      </c>
      <c r="DG25">
        <f>AX25*(c_Stroke1+c_Stroke2+c_MI2+c_DM+c_BN_2)</f>
        <v>10.533816973618825</v>
      </c>
      <c r="DH25">
        <f>AY25*(c_Stroke2+c_MI1+c_MI2+c_DM+c_BN_2)</f>
        <v>10.586952591705689</v>
      </c>
      <c r="DI25">
        <f>AZ25*(c_Stroke2+c_MI2+c_DM+c_BN_2)</f>
        <v>19.587708125324003</v>
      </c>
      <c r="DJ25">
        <f>BA25*(c_HF1+c_DM+c_BN_2)</f>
        <v>55.548277397517133</v>
      </c>
      <c r="DK25">
        <f>BB25*(c_HF2+c_DM+c_BN_2)</f>
        <v>345.56570481084742</v>
      </c>
      <c r="DL25">
        <f>BC25*(c_Stroke2+c_HF1+c_DM+c_BN_2)</f>
        <v>3.9552376447587618</v>
      </c>
      <c r="DM25">
        <f>BD25*(c_Stroke1+c_Stroke2+c_HF2+c_DM+c_BN_2)</f>
        <v>8.2015455240537367</v>
      </c>
      <c r="DN25">
        <f>BE25*(c_Stroke2+c_HF2+c_DM+c_BN_2)</f>
        <v>19.762084273172754</v>
      </c>
      <c r="DO25">
        <f t="shared" si="5"/>
        <v>0</v>
      </c>
      <c r="DP25">
        <f t="shared" si="38"/>
        <v>10105.586389925391</v>
      </c>
      <c r="DQ25">
        <f>DP25/(1+r_)^A25</f>
        <v>5274.0297539231815</v>
      </c>
    </row>
    <row r="26" spans="1:121" x14ac:dyDescent="0.3">
      <c r="A26">
        <v>23</v>
      </c>
      <c r="B26">
        <v>68</v>
      </c>
      <c r="C26">
        <f t="shared" si="39"/>
        <v>36.251999999999995</v>
      </c>
      <c r="D26">
        <f t="shared" si="1"/>
        <v>125</v>
      </c>
      <c r="E26">
        <f t="shared" si="40"/>
        <v>5.7</v>
      </c>
      <c r="F26">
        <v>1.205E-2</v>
      </c>
      <c r="G26">
        <v>1.9130000000000001E-2</v>
      </c>
      <c r="H26">
        <f t="shared" si="3"/>
        <v>1.3466000000000001E-2</v>
      </c>
      <c r="I26">
        <f t="shared" si="20"/>
        <v>4.7655426853004217E-2</v>
      </c>
      <c r="J26">
        <f t="shared" si="21"/>
        <v>0.22491601261317329</v>
      </c>
      <c r="K26">
        <f t="shared" si="22"/>
        <v>0.30010337697628142</v>
      </c>
      <c r="L26">
        <f t="shared" si="23"/>
        <v>0.1136243168731883</v>
      </c>
      <c r="M26">
        <f t="shared" si="24"/>
        <v>0.15542304652602135</v>
      </c>
      <c r="N26">
        <f t="shared" si="25"/>
        <v>0.48082796861994936</v>
      </c>
      <c r="O26">
        <f t="shared" si="26"/>
        <v>0.60396095540725925</v>
      </c>
      <c r="P26">
        <f t="shared" si="27"/>
        <v>0.27562334336735439</v>
      </c>
      <c r="Q26">
        <f t="shared" si="28"/>
        <v>0.36593860147956625</v>
      </c>
      <c r="R26">
        <f>IF(C26&lt;25, HT_f_low, IF(C26&lt;30, HT_f_mod, HT_f_high))</f>
        <v>0.42</v>
      </c>
      <c r="S26">
        <f>IF(C26&lt;25, HT_m_low, IF(C26&lt;30, HT_m_mod, HT_m_high))</f>
        <v>0.43099999999999999</v>
      </c>
      <c r="T26">
        <f>PREV_FEMALE*PREV_SMOKE*(1-$R26)*(1-EXP(-J26/10))+PREV_FEMALE*PREV_SMOKE*$R26*(1-EXP(-K26/10))+PREV_FEMALE*(1-PREV_SMOKE)*(1-$R26)*(1-EXP(-L26/10))+PREV_FEMALE*(1-PREV_SMOKE)*$R26*(1-EXP(-M26/10))+(1-PREV_FEMALE)*PREV_SMOKE*(1-$S26)*(1-EXP(-N26/10))+(1-PREV_FEMALE)*PREV_SMOKE*$S26*(1-EXP(-O26/10))+(1-PREV_FEMALE)*(1-PREV_SMOKE)*(1-$S26)*(1-EXP(-P26/10))+(1-PREV_FEMALE)*(1-PREV_SMOKE)*$S26*(1-EXP(-Q26/10))</f>
        <v>1.8369353022996325E-2</v>
      </c>
      <c r="U26">
        <f t="shared" si="29"/>
        <v>0.42563390075479546</v>
      </c>
      <c r="V26">
        <f t="shared" si="30"/>
        <v>0.54001254616530103</v>
      </c>
      <c r="W26">
        <f t="shared" si="31"/>
        <v>0.23086910723683574</v>
      </c>
      <c r="X26">
        <f t="shared" si="32"/>
        <v>0.3076202786782708</v>
      </c>
      <c r="Y26">
        <f t="shared" si="33"/>
        <v>0.6722379529214223</v>
      </c>
      <c r="Z26">
        <f t="shared" si="34"/>
        <v>0.79322893814763251</v>
      </c>
      <c r="AA26">
        <f t="shared" si="35"/>
        <v>0.42229235907057439</v>
      </c>
      <c r="AB26">
        <f t="shared" si="36"/>
        <v>0.53942941082032281</v>
      </c>
      <c r="AC26">
        <f>PREV_FEMALE*PREV_SMOKE*(1-$R26)*(1-EXP(-U26/10))+PREV_FEMALE*PREV_SMOKE*$R26*(1-EXP(-V26/10))+PREV_FEMALE*(1-PREV_SMOKE)*(1-$R26)*(1-EXP(-W26/10))+PREV_FEMALE*(1-PREV_SMOKE)*$R26*(1-EXP(-X26/10))+(1-PREV_FEMALE)*PREV_SMOKE*(1-$S26)*(1-EXP(-Y26/10))+(1-PREV_FEMALE)*PREV_SMOKE*$S26*(1-EXP(-Z26/10))+(1-PREV_FEMALE)*(1-PREV_SMOKE)*(1-$S26)*(1-EXP(-AA26/10))+(1-PREV_FEMALE)*(1-PREV_SMOKE)*$S26*(1-EXP(-AB26/10))</f>
        <v>3.2621828291989119E-2</v>
      </c>
      <c r="AD26">
        <f t="shared" si="37"/>
        <v>0.20152610060473072</v>
      </c>
      <c r="AE26">
        <f t="shared" si="6"/>
        <v>2.9903798293416547E-2</v>
      </c>
      <c r="AF26">
        <f t="shared" si="7"/>
        <v>2.0215354089275529E-3</v>
      </c>
      <c r="AG26">
        <f t="shared" si="8"/>
        <v>8.5965618078406719E-3</v>
      </c>
      <c r="AH26">
        <f>AD25*T25*p_MI*p_MI_rec_mid*(1-I25)+AE25*T25*p_MI*p_MI_rec_mid*(1-I25) + AH25*(PREV_FEMALE*p_recur_MI_F + (1-PREV_FEMALE)*p_recur_MI_M)*p_MI_rec_mid*(1-I25) + AI25*(PREV_FEMALE*p_recur_MI_F + (1-PREV_FEMALE)*p_recur_MI_M)*p_MI_rec_mid*(1-I25)</f>
        <v>1.0762830730457055E-3</v>
      </c>
      <c r="AI26">
        <f>AH25*(1-(PREV_FEMALE*p_recur_MI_F + (1-PREV_FEMALE)*p_recur_MI_M) - T25*p_Stroke - p_toHF_mid - H25*rr_MI)*(1-I25) + AI25*(1-(PREV_FEMALE*p_recur_MI_F + (1-PREV_FEMALE)*p_recur_MI_M) - T25*p_Stroke - p_toHF_mid - H25*rr_MI)*(1-I25)</f>
        <v>5.9110460184527277E-3</v>
      </c>
      <c r="AJ26">
        <f t="shared" si="11"/>
        <v>5.5443975490409706E-5</v>
      </c>
      <c r="AK26">
        <f>AF25*T25*p_MI*p_MI_rec_mid*(1-I25) + AG25*T25*p_MI*p_MI_rec_mid*(1-I25) + AJ25*(PREV_FEMALE*p_recur_MI_F + (1-PREV_FEMALE)*p_recur_MI_M)*p_MI_rec_mid*(1-I25) + AK25*(PREV_FEMALE*p_recur_MI_F + (1-PREV_FEMALE)*p_recur_MI_M)*p_MI_rec_mid*(1-I25) + AL25*(PREV_FEMALE*p_recur_MI_F + (1-PREV_FEMALE)*p_recur_MI_M)*p_MI_rec_mid*(1-I25)</f>
        <v>4.5452535174184182E-5</v>
      </c>
      <c r="AL26">
        <f>AJ25*(1-p_recur_Stroke-(PREV_FEMALE*p_recur_MI_F + (1-PREV_FEMALE)*p_recur_MI_M) - p_toHF_mid - H25*rr_MI*rr_Stroke)*(1-I25) + AK25*(1-p_recur_Stroke-(PREV_FEMALE*p_recur_MI_F + (1-PREV_FEMALE)*p_recur_MI_M) - p_toHF_mid - H25*rr_MI*rr_Stroke)*(1-I25) + AL25*(1-p_recur_Stroke-(PREV_FEMALE*p_recur_MI_F + (1-PREV_FEMALE)*p_recur_MI_M) - p_toHF_mid - H25*rr_MI*rr_Stroke)*(1-I25)</f>
        <v>1.9357911981935277E-4</v>
      </c>
      <c r="AM26">
        <f>AD25*T25*p_MI*p_MI_HF_mid*(1-I25) + AE25*T25*p_MI*p_MI_HF_mid*(1-I25) + AH25*p_toHF_mid*(1-I25) + AH25*(PREV_FEMALE*p_recur_MI_F + (1-PREV_FEMALE)*p_recur_MI_M)*p_MI_HF_mid*(1-I25) + AI25*p_toHF_mid*(1-I25) + AI25*(PREV_FEMALE*p_recur_MI_F + (1-PREV_FEMALE)*p_recur_MI_M)*p_MI_HF_mid*(1-I25)</f>
        <v>4.4528821959345367E-4</v>
      </c>
      <c r="AN26">
        <f t="shared" si="15"/>
        <v>4.468546272337187E-3</v>
      </c>
      <c r="AO26">
        <f>AF25*T25*p_MI*p_MI_HF_mid*(1-I25) + AG25*T25*p_MI*p_MI_HF_mid*(1-I25) + AJ25*(PREV_FEMALE*p_recur_MI_F + (1-PREV_FEMALE)*p_recur_MI_M)*p_MI_HF_mid*(1-I25) + AJ25*p_toHF_mid*(1-I25) + AK25*(PREV_FEMALE*p_recur_MI_F + (1-PREV_FEMALE)*p_recur_MI_M)*p_MI_HF_mid*(1-I25) + AK25*p_toHF_mid*(1-I25) + AL25*(PREV_FEMALE*p_recur_MI_F + (1-PREV_FEMALE)*p_recur_MI_M)*p_MI_HF_mid*(1-I25) + AL25*p_toHF_mid*(1-I25)</f>
        <v>1.8343057988419727E-5</v>
      </c>
      <c r="AP26">
        <f>AM25*T25*p_Stroke*p_Stroke_rec*(1-I25) + AN25*T25*p_Stroke*p_Stroke_rec*(1-I25) + AO25*(p_recur_Stroke*p_Stroke_rec)*(1-I25) + AP25*(p_recur_Stroke*p_Stroke_rec)*(1-I25) + AQ25*(p_recur_Stroke*p_Stroke_rec)*(1-I25)</f>
        <v>3.6298121510245764E-5</v>
      </c>
      <c r="AQ26">
        <f>AO25*(1-p_recur_Stroke-H25*rr_Stroke*rr_HF)*(1-I25) + AP25*(1-p_recur_Stroke-H25*rr_Stroke*rr_HF)*(1-I25) + AQ25*(1-p_recur_Stroke-H25*rr_Stroke*rr_HF)*(1-I25)</f>
        <v>1.3964806595564348E-4</v>
      </c>
      <c r="AR26">
        <f>AR25*(1-AC25-H25*rr_DM) + AD25*(1-T25-H25)*I25</f>
        <v>0.36031811225239063</v>
      </c>
      <c r="AS26">
        <f>AR25*AC25*p_Other + AD25*T25*p_Other*I25 + AE25*(1-T25*p_Stroke-T25*p_MI-H25*rr_Other)*I25 + AS25*(1-AC25*p_Stroke-AC25*p_MI-H25*rr_Other*rr_DM)</f>
        <v>8.5888917478299562E-2</v>
      </c>
      <c r="AT26">
        <f>AR25*AC25*p_Stroke*p_Stroke_rec + AD25*T25*p_Stroke*p_Stroke_rec*I25 + AE25*T25*p_Stroke*p_Stroke_rec*I25 + AF25*p_recur_Stroke*p_Stroke_rec*I25 + AG25*p_recur_Stroke*p_Stroke_rec*I25 + AS25*AC25*p_Stroke*p_Stroke_rec + AT25*p_recur_Stroke*p_Stroke_rec + AU25*p_recur_Stroke*p_Stroke_rec</f>
        <v>6.4855534632034181E-3</v>
      </c>
      <c r="AU26">
        <f>AF25*(1-p_recur_Stroke-T25*p_MI-H25*rr_Stroke)*I25 + AG25*(1-p_recur_Stroke-T25*p_MI-H25*rr_Stroke)*I25 + AT25*(1-p_recur_Stroke-AC25*p_MI-H25*rr_Stroke*rr_DM) + AU25*(1-p_recur_Stroke-AC25*p_MI-H25*rr_Stroke*rr_DM)</f>
        <v>2.5805682839094551E-2</v>
      </c>
      <c r="AV26">
        <f>AR25*AC25*p_MI*p_MI_rec_mid + AD25*T25*p_MI*p_MI_rec_mid*I25 + AE25*T25*p_MI*p_MI_rec_mid*I25 +AH25*(PREV_FEMALE*p_recur_MI_F + (1-PREV_FEMALE)*p_recur_MI_M)*p_MI_rec_mid*I25 + AI25*(PREV_FEMALE*p_recur_MI_F + (1-PREV_FEMALE)*p_recur_MI_M)*p_MI_rec_mid*I25 + AS25*AC25*p_MI*p_MI_rec_mid + AV25*(PREV_FEMALE*p_recur_MI_F + (1-PREV_FEMALE)*p_recur_MI_M)*p_MI_rec_mid + AW25*(PREV_FEMALE*p_recur_MI_F + (1-PREV_FEMALE)*p_recur_MI_M)*p_MI_rec_mid</f>
        <v>3.5703652644628221E-3</v>
      </c>
      <c r="AW26">
        <f>AH25*(1-(PREV_FEMALE*p_recur_MI_F + (1-PREV_FEMALE)*p_recur_MI_M) - T25*p_Stroke - p_toHF_mid - H25*rr_MI)*I25 + AI25*(1-(PREV_FEMALE*p_recur_MI_F + (1-PREV_FEMALE)*p_recur_MI_M) - T25*p_Stroke - p_toHF_mid - H25*rr_MI)*I25 + AV25*(1-(PREV_FEMALE*p_recur_MI_F + (1-PREV_FEMALE)*p_recur_MI_M) - AC25*p_Stroke - p_toHF_mid - H25*rr_MI*rr_DM) + AW25*(1-(PREV_FEMALE*p_recur_MI_F + (1-PREV_FEMALE)*p_recur_MI_M) - AC25*p_Stroke - p_toHF_mid - H25*rr_MI*rr_DM)</f>
        <v>1.8246280369523724E-2</v>
      </c>
      <c r="AX26">
        <f>AH25*T25*p_Stroke*p_Stroke_rec*I25 + AI25*T25*p_Stroke*p_Stroke_rec*I25 + AJ25*p_recur_Stroke*p_Stroke_rec*I25 + AK25*p_recur_Stroke*p_Stroke_rec*I25 + AL25*p_recur_Stroke*p_Stroke_rec*I25 + AV25*AC25*p_Stroke*p_Stroke_rec + AW25*AC25*p_Stroke*p_Stroke_rec + AX25*p_recur_Stroke*p_Stroke_rec + AY25*p_recur_Stroke*p_Stroke_rec + AZ25*p_recur_Stroke*p_Stroke_rec</f>
        <v>2.8754595676632854E-4</v>
      </c>
      <c r="AY26">
        <f>AF25*T25*p_MI*p_MI_rec_mid*I25 + AG25*T25*p_MI*p_MI_rec_mid*I25 + AJ25*(PREV_FEMALE*p_recur_MI_F+(1-PREV_FEMALE)*p_recur_MI_M)*p_MI_rec_mid*I25 + AK25*(PREV_FEMALE*p_recur_MI_F+(1-PREV_FEMALE)*p_recur_MI_M)*p_MI_rec_mid*I25 + AL25*(PREV_FEMALE*p_recur_MI_F+(1-PREV_FEMALE)*p_recur_MI_M)*p_MI_rec_mid*I25 + AT25*AC25*p_MI*p_MI_rec_mid + AU25*AC25*p_MI*p_MI_rec_mid + AX25*(PREV_FEMALE*p_recur_MI_F+(1-PREV_FEMALE)*p_recur_MI_M)*p_MI_rec_mid + AY25*(PREV_FEMALE*p_recur_MI_F+(1-PREV_FEMALE)*p_recur_MI_M)*p_MI_rec_mid + AZ25*(PREV_FEMALE*p_recur_MI_F+(1-PREV_FEMALE)*p_recur_MI_M)*p_MI_rec_mid</f>
        <v>2.3723497069503164E-4</v>
      </c>
      <c r="AZ26">
        <f>AJ25*(1-p_recur_Stroke-(PREV_FEMALE*p_recur_MI_F + (1-PREV_FEMALE)*p_recur_MI_M) - p_toHF_mid - H25*rr_MI*rr_Stroke)*I25 + AK25*(1-p_recur_Stroke-(PREV_FEMALE*p_recur_MI_F + (1-PREV_FEMALE)*p_recur_MI_M) - p_toHF_mid - H25*rr_MI*rr_Stroke)*I25 + AL25*(1-p_recur_Stroke-(PREV_FEMALE*p_recur_MI_F + (1-PREV_FEMALE)*p_recur_MI_M) - p_toHF_mid - H25*rr_MI*rr_Stroke)*I25 + AX25*(1-p_recur_Stroke-(PREV_FEMALE*p_recur_MI_F + (1-PREV_FEMALE)*p_recur_MI_M) - p_toHF_mid - H25*rr_MI*rr_Stroke*rr_DM) + AY25*(1-p_recur_Stroke-(PREV_FEMALE*p_recur_MI_F + (1-PREV_FEMALE)*p_recur_MI_M) - p_toHF_mid - H25*rr_MI*rr_Stroke*rr_DM) + AZ25*(1-p_recur_Stroke-(PREV_FEMALE*p_recur_MI_F + (1-PREV_FEMALE)*p_recur_MI_M) - p_toHF_mid - H25*rr_MI*rr_Stroke*rr_DM)</f>
        <v>9.3919286773627838E-4</v>
      </c>
      <c r="BA26">
        <f>AR25*AC25*p_MI*p_MI_HF_mid + AD25*T25*p_MI*p_MI_HF_mid*I25 + AE25*T25*p_MI*p_MI_HF_mid*I25 + AH25*p_toHF_mid*I25 + AH25*(PREV_FEMALE*p_recur_MI_F + (1-PREV_FEMALE)*p_recur_MI_M)*p_MI_HF_mid*I25 + AI25*p_toHF_mid*I25 + AI25*(PREV_FEMALE*p_recur_MI_F + (1-PREV_FEMALE)*p_recur_MI_M)*p_MI_HF_mid*I25 + AS25*AC25*p_MI*p_MI_HF_mid + AV25*(PREV_FEMALE*p_recur_MI_F + (1-PREV_FEMALE)*p_recur_MI_M)*p_MI_HF_mid + AV25*p_toHF_mid + AW25*(PREV_FEMALE*p_recur_MI_F + (1-PREV_FEMALE)*p_recur_MI_M)*p_MI_HF_mid + AW25*p_toHF_mid</f>
        <v>1.433232540057665E-3</v>
      </c>
      <c r="BB26">
        <f>AM25*(1-T25*p_Stroke - H25*rr_HF)*I25 + AN25*(1-T25*p_Stroke - H25*rr_HF)*I25 + BA25*(1-AC25*p_Stroke - H25*rr_HF*rr_DM) + BB25*(1-AC25*p_Stroke - H25*rr_HF*rr_DM)</f>
        <v>1.3011757455577255E-2</v>
      </c>
      <c r="BC26">
        <f>AF25*T25*p_MI*p_MI_HF_mid*I25 + AG25*T25*p_MI*p_MI_HF_mid*I25 + AJ25*(PREV_FEMALE*p_recur_MI_F + (1-PREV_FEMALE)*p_recur_MI_M)*p_MI_HF_mid*I25 + AJ25*p_toHF_mid*I25 + AK25*(PREV_FEMALE*p_recur_MI_F + (1-PREV_FEMALE)*p_recur_MI_M)*p_MI_HF_mid*I25 + AK25*p_toHF_mid*I25 + AL25*(PREV_FEMALE*p_recur_MI_F + (1-PREV_FEMALE)*p_recur_MI_M)*p_MI_HF_mid*I25 + AL25*p_toHF_mid*I25 + AT25*AC25*p_MI*p_MI_HF_mid + AU25*AC25*p_MI*p_MI_HF_mid + AX25*(PREV_FEMALE*p_recur_MI_F + (1-PREV_FEMALE)*p_recur_MI_M)*p_MI_HF_mid + AX25*p_toHF_mid + AY25*(PREV_FEMALE*p_recur_MI_F + (1-PREV_FEMALE)*p_recur_MI_M)*p_MI_HF_mid + AY25*p_toHF_mid + AZ25*(PREV_FEMALE*p_recur_MI_F + (1-PREV_FEMALE)*p_recur_MI_M)*p_MI_HF_mid + AZ25*p_toHF_mid</f>
        <v>9.3182415750017776E-5</v>
      </c>
      <c r="BD26">
        <f>AM25*T25*p_Stroke*p_Stroke_rec*I25 + AN25*T25*p_Stroke*p_Stroke_rec*I25 + AO25*(p_recur_Stroke*p_Stroke_rec)*I25 + AP25*(p_recur_Stroke*p_Stroke_rec)*I25 + AQ25*(p_recur_Stroke*p_Stroke_rec)*I25 + BA25*AC25*p_Stroke*p_Stroke_rec + BB25*AC25*p_Stroke*p_Stroke_rec + BC25*(p_recur_Stroke*p_Stroke_rec) + BD25*(p_recur_Stroke*p_Stroke_rec) + BE25*(p_recur_Stroke*p_Stroke_rec)</f>
        <v>1.7791962714047325E-4</v>
      </c>
      <c r="BE26">
        <f>AO25*(1-p_recur_Stroke - H25*rr_Stroke*rr_HF)*I25 + AP25*(1-p_recur_Stroke-H25*rr_Stroke*rr_HF)*I25 + AQ25*(1-p_recur_Stroke-H25*rr_Stroke*rr_HF)*I25 + BC25*(1-p_recur_Stroke - H25*rr_Stroke*rr_HF*rr_DM) + BD25*(1-p_recur_Stroke-H25*rr_Stroke*rr_HF*rr_DM) + BE25*(1-p_recur_Stroke-H25*rr_Stroke*rr_HF*rr_DM)</f>
        <v>6.3966530613481973E-4</v>
      </c>
      <c r="BF26">
        <f>AD25*H25 + AE25*H25*rr_Other + AF25*H25*rr_Stroke + AG25*H25*rr_Stroke + AH25*H25*rr_MI + AI25*H25*rr_MI + AJ25*H25*rr_Stroke*rr_MI + AK25*H25*rr_Stroke*rr_MI + AL25*H25*rr_Stroke*rr_MI + AM25*H25*rr_HF + AN25*H25*rr_HF + AO25*H25*rr_Stroke*rr_HF + AP25*H25*rr_Stroke*rr_HF + AR25*H25*rr_DM + AS25*H25*rr_DM*rr_Other + AT25*H25*rr_DM*rr_Stroke + AU25*H25*rr_DM*rr_Stroke + AV25*H25*rr_DM*rr_MI + AW25*H25*rr_DM*rr_MI + AX25*H25*rr_DM*rr_Stroke*rr_MI + AY25*H25*rr_DM*rr_Stroke*rr_MI + AZ25*H25*rr_DM*rr_Stroke*rr_MI + BA25*H25*rr_DM*rr_HF + BB25*H25*rr_DM*rr_HF + BC25*H25*rr_DM*rr_Stroke*rr_HF + BD25*H25*rr_DM*rr_Stroke*rr_HF + AQ25*H25*rr_Stroke*rr_HF + BE25*H25*rr_DM*rr_Stroke*rr_HF
+ AD25*T25*p_MI*p_MI_mort + AD25*T25*p_Stroke*p_Stroke_mort + AE25*T25*p_MI*p_MI_mort + AE25*T25*p_Stroke*p_Stroke_mort + AF25*T25*p_MI*p_MI_mort + AF25*p_recur_Stroke*p_Stroke_mort + AG25*T25*p_MI*p_MI_mort + AG25*p_recur_Stroke*p_Stroke_mort + AH25*(PREV_FEMALE*p_recur_MI_F + (1-PREV_FEMALE)*p_recur_MI_M)*p_MI_mort + AH25*T25*p_Stroke*p_Stroke_mort + AI25*(PREV_FEMALE*p_recur_MI_F + (1-PREV_FEMALE)*p_recur_MI_M)*p_MI_mort + AI25*T25*p_Stroke*p_Stroke_mort + AJ25*(PREV_FEMALE*p_recur_MI_F + (1-PREV_FEMALE)*p_recur_MI_M)*p_MI_mort + AJ25*p_recur_Stroke*p_Stroke_mort + AK25*(PREV_FEMALE*p_recur_MI_F + (1-PREV_FEMALE)*p_recur_MI_M)*p_MI_mort + AK25*p_recur_Stroke*p_Stroke_mort + AL25*(PREV_FEMALE*p_recur_MI_F + (1-PREV_FEMALE)*p_recur_MI_M)*p_MI_mort + AL25*p_recur_Stroke*p_Stroke_mort + AM25*T25*p_Stroke*p_Stroke_mort + AN25*T25*p_Stroke*p_Stroke_mort + AO25*p_recur_Stroke*p_Stroke_mort + AP25*p_recur_Stroke*p_Stroke_mort + AQ25*p_recur_Stroke*p_Stroke_mort
+ AR25*AC25*p_MI*p_MI_mort + AR25*AC25*p_Stroke*p_Stroke_mort + AS25*AC25*p_MI*p_MI_mort + AS25*AC25*p_Stroke*p_Stroke_mort + AT25*AC25*p_MI*p_MI_mort + AT25*p_recur_Stroke*p_Stroke_mort + AU25*AC25*p_MI*p_MI_mort + AU25*p_recur_Stroke*p_Stroke_mort + AV25*(PREV_FEMALE*p_recur_MI_F + (1-PREV_FEMALE)*p_recur_MI_M)*p_MI_mort + AV25*AC25*p_Stroke*p_Stroke_mort + AW25*(PREV_FEMALE*p_recur_MI_F + (1-PREV_FEMALE)*p_recur_MI_M)*p_MI_mort + AW25*AC25*p_Stroke*p_Stroke_mort + AX25*(PREV_FEMALE*p_recur_MI_F + (1-PREV_FEMALE)*p_recur_MI_M)*p_MI_mort + AX25*p_recur_Stroke*p_Stroke_mort + AY25*(PREV_FEMALE*p_recur_MI_F + (1-PREV_FEMALE)*p_recur_MI_M)*p_MI_mort + AY25*p_recur_Stroke*p_Stroke_mort + AZ25*(PREV_FEMALE*p_recur_MI_F + (1-PREV_FEMALE)*p_recur_MI_M)*p_MI_mort + AZ25*p_recur_Stroke*p_Stroke_mort + BA25*AC25*p_Stroke*p_Stroke_mort + BB25*AC25*p_Stroke*p_Stroke_mort + BC25*p_recur_Stroke*p_Stroke_mort + BD25*p_recur_Stroke*p_Stroke_mort + BE25*p_recur_Stroke*p_Stroke_mort
+BF25</f>
        <v>0.17542743261888483</v>
      </c>
      <c r="BG26">
        <f t="shared" si="17"/>
        <v>0.94700000000000006</v>
      </c>
      <c r="BH26">
        <f>(0.9442 - 0.0007*$B26 - dis_BMI*($C26-21.75))*AD26</f>
        <v>0.17104394781600121</v>
      </c>
      <c r="BI26">
        <f>0.959*(0.9442 - 0.0007*$B26 - dis_BMI*($C26-21.75))*AE26</f>
        <v>2.4340044727573347E-2</v>
      </c>
      <c r="BJ26">
        <f>(0.943*(0.9442 - 0.0007*$B26 - dis_BMI*($C26-21.75)) - 0.19*0.5)*AF26</f>
        <v>1.425920376682411E-3</v>
      </c>
      <c r="BK26">
        <f>(0.943*(0.9442 - 0.0007*$B26 - dis_BMI*($C26-21.75)))*AG26</f>
        <v>6.8803874165623185E-3</v>
      </c>
      <c r="BL26">
        <f>(0.955*(0.9442 - 0.0007*$B26 - dis_BMI*($C26-21.75)) - 0.15*0.5)*AH26</f>
        <v>7.916599573357659E-4</v>
      </c>
      <c r="BM26">
        <f>(0.955*(0.9442 - 0.0007*$B26 - dis_BMI*($C26-21.75)))*AI26</f>
        <v>4.7911980369714198E-3</v>
      </c>
      <c r="BN26">
        <f>(0.955*0.943*(0.9442 - 0.0007*$B26 - dis_BMI*($C26-21.75)) - 0.19*0.5)*AJ26</f>
        <v>3.7111347374104373E-5</v>
      </c>
      <c r="BO26">
        <f>(0.955*0.943*(0.9442 - 0.0007*$B26 - dis_BMI*($C26-21.75)) - 0.15*0.5)*AK26</f>
        <v>3.1332641489729132E-5</v>
      </c>
      <c r="BP26">
        <f>(0.955*0.943*(0.9442 - 0.0007*$B26 - dis_BMI*($C26-21.75)))*AL26</f>
        <v>1.4796192922721972E-4</v>
      </c>
      <c r="BQ26">
        <f>(0.93*(0.9442 - 0.0007*$B26 - dis_BMI*($C26-21.75)))*AM26</f>
        <v>3.514799568542559E-4</v>
      </c>
      <c r="BR26">
        <f>(0.93*(0.9442 - 0.0007*$B26 - dis_BMI*($C26-21.75)))*AN26</f>
        <v>3.5271637153039353E-3</v>
      </c>
      <c r="BS26">
        <f>(0.93*0.943*(0.9442 - 0.0007*$B26 - dis_BMI*($C26-21.75)))*AO26</f>
        <v>1.3653462141365399E-5</v>
      </c>
      <c r="BT26">
        <f>(0.93*0.943*(0.9442 - 0.0007*$B26 - dis_BMI*($C26-21.75))-0.19*0.5)*AP26</f>
        <v>2.3569803141936187E-5</v>
      </c>
      <c r="BU26">
        <f>(0.93*0.943*(0.9442 - 0.0007*$B26 - dis_BMI*($C26-21.75)))*AQ26</f>
        <v>1.0394556800965218E-4</v>
      </c>
      <c r="BV26">
        <f>0.962*(0.9442 - 0.0007*$B26 - dis_BMI*($C26-21.75))*AR26</f>
        <v>0.29419655012703799</v>
      </c>
      <c r="BW26">
        <f>0.962*0.959*(0.9442 - 0.0007*$B26 - dis_BMI*($C26-21.75))*AS26</f>
        <v>6.7252311888837291E-2</v>
      </c>
      <c r="BX26">
        <f>0.962*(0.943*(0.9442 - 0.0007*$B26 - dis_BMI*($C26-21.75)) - 0.19*0.5)*AT26</f>
        <v>4.4008446501312085E-3</v>
      </c>
      <c r="BY26">
        <f>0.962*(0.943*(0.9442 - 0.0007*$B26 - dis_BMI*($C26-21.75)))*AU26</f>
        <v>1.986911531279921E-2</v>
      </c>
      <c r="BZ26">
        <f>0.962*(0.955*(0.9442 - 0.0007*$B26 - dis_BMI*($C26-21.75)) - 0.15*0.5)*AV26</f>
        <v>2.5263870657665118E-3</v>
      </c>
      <c r="CA26">
        <f>0.962*(0.955*(0.9442 - 0.0007*$B26 - dis_BMI*($C26-21.75)))*AW26</f>
        <v>1.4227519766178941E-2</v>
      </c>
      <c r="CB26">
        <f>0.962*(0.955*0.943*(0.9442 - 0.0007*$B26 - dis_BMI*($C26-21.75)) - 0.19*0.5)*AX26</f>
        <v>1.8515468122631785E-4</v>
      </c>
      <c r="CC26">
        <f>0.962*(0.955*0.943*(0.9442 - 0.0007*$B26 - dis_BMI*($C26-21.75)) - 0.15*0.5)*AY26</f>
        <v>1.573231663175066E-4</v>
      </c>
      <c r="CD26">
        <f>0.962*(0.955*0.943*(0.9442 - 0.0007*$B26 - dis_BMI*($C26-21.75)))*AZ26</f>
        <v>6.9059166496698323E-4</v>
      </c>
      <c r="CE26">
        <f>0.962*(0.93*(0.9442 - 0.0007*$B26 - dis_BMI*($C26-21.75)))*BA26</f>
        <v>1.0883061679759919E-3</v>
      </c>
      <c r="CF26">
        <f>0.962*(0.93*(0.9442 - 0.0007*$B26 - dis_BMI*($C26-21.75)))*BB26</f>
        <v>9.8803058815163207E-3</v>
      </c>
      <c r="CG26">
        <f>0.962*(0.93*0.943*(0.9442 - 0.0007*$B26 - dis_BMI*($C26-21.75)))*BC26</f>
        <v>6.672369504586047E-5</v>
      </c>
      <c r="CH26">
        <f>0.962*(0.93*0.943*(0.9442 - 0.0007*$B26 - dis_BMI*($C26-21.75))-0.19*0.5)*BD26</f>
        <v>1.1114008815445163E-4</v>
      </c>
      <c r="CI26">
        <f>0.962*(0.93*0.943*(0.9442 - 0.0007*$B26 - dis_BMI*($C26-21.75)))*BE26</f>
        <v>4.5803526850449308E-4</v>
      </c>
      <c r="CJ26">
        <f t="shared" si="18"/>
        <v>0</v>
      </c>
      <c r="CK26">
        <f t="shared" si="19"/>
        <v>0.62861968617912789</v>
      </c>
      <c r="CL26">
        <f>CK26/(1+r_)^A26</f>
        <v>0.31851640788742824</v>
      </c>
      <c r="CM26">
        <f>AD26*c_BN_2</f>
        <v>422.19718076691089</v>
      </c>
      <c r="CN26">
        <f>AE26*(c_Other+c_BN_2)</f>
        <v>489.64479325640252</v>
      </c>
      <c r="CO26">
        <f>AF26*(c_Stroke1+c_Stroke2+c_BN_2)</f>
        <v>52.380003980721824</v>
      </c>
      <c r="CP26">
        <f>AG26*(c_Stroke2 + c_BN_2)</f>
        <v>73.887448738390574</v>
      </c>
      <c r="CQ26">
        <f>AH26*(c_MI1+c_MI2 + c_BN_2)</f>
        <v>33.629540900386111</v>
      </c>
      <c r="CR26">
        <f>AI26*(c_MI2+c_BN_2)</f>
        <v>30.808371848175618</v>
      </c>
      <c r="CS26">
        <f>AJ26*(c_Stroke1+c_Stroke2+c_MI2+c_BN_2)</f>
        <v>1.6094277205356129</v>
      </c>
      <c r="CT26">
        <f>AK26*(c_Stroke2+c_MI1+c_MI2+c_BN_2)</f>
        <v>1.7156513926847561</v>
      </c>
      <c r="CU26">
        <f>AL26*(c_Stroke2+c_MI2+c_BN_2)</f>
        <v>2.2671986513242599</v>
      </c>
      <c r="CV26">
        <f>AM26*(c_HF1+c_BN_2)</f>
        <v>12.969019395659338</v>
      </c>
      <c r="CW26">
        <f>AN26*(c_HF2+c_BN_2)</f>
        <v>79.093269020368211</v>
      </c>
      <c r="CX26">
        <f>AO26*(c_Stroke2+c_HF1+c_BN_2)</f>
        <v>0.65347144083745279</v>
      </c>
      <c r="CY26">
        <f>AP26*(c_Stroke1+c_Stroke2+c_HF2+c_BN_2)</f>
        <v>1.5069528126193632</v>
      </c>
      <c r="CZ26">
        <f>AQ26*(c_Stroke2+c_HF2+c_BN_2)</f>
        <v>3.3794831961265723</v>
      </c>
      <c r="DA26">
        <f>AR26*(c_DM+c_BN_2)</f>
        <v>4871.5008776523209</v>
      </c>
      <c r="DB26">
        <f>AS26*(c_Other+c_DM+c_BN_2)</f>
        <v>2387.6260169792495</v>
      </c>
      <c r="DC26">
        <f>AT26*(c_Stroke1+c_Stroke2+c_DM+c_BN_2)</f>
        <v>242.14462410216282</v>
      </c>
      <c r="DD26">
        <f>AU26*(c_Stroke2+c_DM+c_BN_2)</f>
        <v>516.62977043867295</v>
      </c>
      <c r="DE26">
        <f>AV26*(c_MI1+c_MI2+c_DM+c_BN_2)</f>
        <v>152.35105619989309</v>
      </c>
      <c r="DF26">
        <f>AW26*(c_MI2+c_DM+c_BN_2)</f>
        <v>303.5633665077662</v>
      </c>
      <c r="DG26">
        <f>AX26*(c_Stroke1+c_Stroke2+c_MI2+c_DM+c_BN_2)</f>
        <v>11.632096589068288</v>
      </c>
      <c r="DH26">
        <f>AY26*(c_Stroke2+c_MI1+c_MI2+c_DM+c_BN_2)</f>
        <v>11.665080744045401</v>
      </c>
      <c r="DI26">
        <f>AZ26*(c_Stroke2+c_MI2+c_DM+c_BN_2)</f>
        <v>21.730105380814273</v>
      </c>
      <c r="DJ26">
        <f>BA26*(c_HF1+c_DM+c_BN_2)</f>
        <v>58.117579499338319</v>
      </c>
      <c r="DK26">
        <f>BB26*(c_HF2+c_DM+c_BN_2)</f>
        <v>378.96743589368754</v>
      </c>
      <c r="DL26">
        <f>BC26*(c_Stroke2+c_HF1+c_DM+c_BN_2)</f>
        <v>4.384232661038336</v>
      </c>
      <c r="DM26">
        <f>BD26*(c_Stroke1+c_Stroke2+c_HF2+c_DM+c_BN_2)</f>
        <v>9.4192429804437943</v>
      </c>
      <c r="DN26">
        <f>BE26*(c_Stroke2+c_HF2+c_DM+c_BN_2)</f>
        <v>22.788076531052955</v>
      </c>
      <c r="DO26">
        <f t="shared" si="5"/>
        <v>0</v>
      </c>
      <c r="DP26">
        <f t="shared" si="38"/>
        <v>10198.261375280697</v>
      </c>
      <c r="DQ26">
        <f>DP26/(1+r_)^A26</f>
        <v>5167.3748871839989</v>
      </c>
    </row>
    <row r="27" spans="1:121" x14ac:dyDescent="0.3">
      <c r="A27">
        <v>24</v>
      </c>
      <c r="B27">
        <v>69</v>
      </c>
      <c r="C27">
        <f t="shared" si="39"/>
        <v>36.251999999999995</v>
      </c>
      <c r="D27">
        <f t="shared" si="1"/>
        <v>125</v>
      </c>
      <c r="E27">
        <f t="shared" si="40"/>
        <v>5.7</v>
      </c>
      <c r="F27">
        <v>1.321E-2</v>
      </c>
      <c r="G27">
        <v>2.0879999999999999E-2</v>
      </c>
      <c r="H27">
        <f t="shared" si="3"/>
        <v>1.4744E-2</v>
      </c>
      <c r="I27">
        <f t="shared" si="20"/>
        <v>4.7655426853004217E-2</v>
      </c>
      <c r="J27">
        <f t="shared" si="21"/>
        <v>0.23287746098019257</v>
      </c>
      <c r="K27">
        <f t="shared" si="22"/>
        <v>0.31015096008438237</v>
      </c>
      <c r="L27">
        <f t="shared" si="23"/>
        <v>0.11794614502111256</v>
      </c>
      <c r="M27">
        <f t="shared" si="24"/>
        <v>0.16118466739969473</v>
      </c>
      <c r="N27">
        <f t="shared" si="25"/>
        <v>0.49641264964252996</v>
      </c>
      <c r="O27">
        <f t="shared" si="26"/>
        <v>0.62065443545472909</v>
      </c>
      <c r="P27">
        <f t="shared" si="27"/>
        <v>0.28640211303202967</v>
      </c>
      <c r="Q27">
        <f t="shared" si="28"/>
        <v>0.37922888990653292</v>
      </c>
      <c r="R27">
        <f>IF(C27&lt;25, HT_f_low, IF(C27&lt;30, HT_f_mod, HT_f_high))</f>
        <v>0.42</v>
      </c>
      <c r="S27">
        <f>IF(C27&lt;25, HT_m_low, IF(C27&lt;30, HT_m_mod, HT_m_high))</f>
        <v>0.43099999999999999</v>
      </c>
      <c r="T27">
        <f>PREV_FEMALE*PREV_SMOKE*(1-$R27)*(1-EXP(-J27/10))+PREV_FEMALE*PREV_SMOKE*$R27*(1-EXP(-K27/10))+PREV_FEMALE*(1-PREV_SMOKE)*(1-$R27)*(1-EXP(-L27/10))+PREV_FEMALE*(1-PREV_SMOKE)*$R27*(1-EXP(-M27/10))+(1-PREV_FEMALE)*PREV_SMOKE*(1-$S27)*(1-EXP(-N27/10))+(1-PREV_FEMALE)*PREV_SMOKE*$S27*(1-EXP(-O27/10))+(1-PREV_FEMALE)*(1-PREV_SMOKE)*(1-$S27)*(1-EXP(-P27/10))+(1-PREV_FEMALE)*(1-PREV_SMOKE)*$S27*(1-EXP(-Q27/10))</f>
        <v>1.9034555944445662E-2</v>
      </c>
      <c r="U27">
        <f t="shared" si="29"/>
        <v>0.43839600965450443</v>
      </c>
      <c r="V27">
        <f t="shared" si="30"/>
        <v>0.55426254207179915</v>
      </c>
      <c r="W27">
        <f t="shared" si="31"/>
        <v>0.23900721537565239</v>
      </c>
      <c r="X27">
        <f t="shared" si="32"/>
        <v>0.31785850847844022</v>
      </c>
      <c r="Y27">
        <f t="shared" si="33"/>
        <v>0.68880344715413089</v>
      </c>
      <c r="Z27">
        <f t="shared" si="34"/>
        <v>0.80783966067351509</v>
      </c>
      <c r="AA27">
        <f t="shared" si="35"/>
        <v>0.43684384421858813</v>
      </c>
      <c r="AB27">
        <f t="shared" si="36"/>
        <v>0.55573581091340229</v>
      </c>
      <c r="AC27">
        <f>PREV_FEMALE*PREV_SMOKE*(1-$R27)*(1-EXP(-U27/10))+PREV_FEMALE*PREV_SMOKE*$R27*(1-EXP(-V27/10))+PREV_FEMALE*(1-PREV_SMOKE)*(1-$R27)*(1-EXP(-W27/10))+PREV_FEMALE*(1-PREV_SMOKE)*$R27*(1-EXP(-X27/10))+(1-PREV_FEMALE)*PREV_SMOKE*(1-$S27)*(1-EXP(-Y27/10))+(1-PREV_FEMALE)*PREV_SMOKE*$S27*(1-EXP(-Z27/10))+(1-PREV_FEMALE)*(1-PREV_SMOKE)*(1-$S27)*(1-EXP(-AA27/10))+(1-PREV_FEMALE)*(1-PREV_SMOKE)*$S27*(1-EXP(-AB27/10))</f>
        <v>3.3655640710257839E-2</v>
      </c>
      <c r="AD27">
        <f t="shared" si="37"/>
        <v>0.18581237445870369</v>
      </c>
      <c r="AE27">
        <f t="shared" si="6"/>
        <v>2.9453688076515817E-2</v>
      </c>
      <c r="AF27">
        <f t="shared" si="7"/>
        <v>1.9730632567775803E-3</v>
      </c>
      <c r="AG27">
        <f t="shared" si="8"/>
        <v>8.431561121086787E-3</v>
      </c>
      <c r="AH27">
        <f>AD26*T26*p_MI*p_MI_rec_mid*(1-I26)+AE26*T26*p_MI*p_MI_rec_mid*(1-I26) + AH26*(PREV_FEMALE*p_recur_MI_F + (1-PREV_FEMALE)*p_recur_MI_M)*p_MI_rec_mid*(1-I26) + AI26*(PREV_FEMALE*p_recur_MI_F + (1-PREV_FEMALE)*p_recur_MI_M)*p_MI_rec_mid*(1-I26)</f>
        <v>1.0450338461391146E-3</v>
      </c>
      <c r="AI27">
        <f>AH26*(1-(PREV_FEMALE*p_recur_MI_F + (1-PREV_FEMALE)*p_recur_MI_M) - T26*p_Stroke - p_toHF_mid - H26*rr_MI)*(1-I26) + AI26*(1-(PREV_FEMALE*p_recur_MI_F + (1-PREV_FEMALE)*p_recur_MI_M) - T26*p_Stroke - p_toHF_mid - H26*rr_MI)*(1-I26)</f>
        <v>5.7852792989773819E-3</v>
      </c>
      <c r="AJ27">
        <f t="shared" si="11"/>
        <v>5.6825966458813375E-5</v>
      </c>
      <c r="AK27">
        <f>AF26*T26*p_MI*p_MI_rec_mid*(1-I26) + AG26*T26*p_MI*p_MI_rec_mid*(1-I26) + AJ26*(PREV_FEMALE*p_recur_MI_F + (1-PREV_FEMALE)*p_recur_MI_M)*p_MI_rec_mid*(1-I26) + AK26*(PREV_FEMALE*p_recur_MI_F + (1-PREV_FEMALE)*p_recur_MI_M)*p_MI_rec_mid*(1-I26) + AL26*(PREV_FEMALE*p_recur_MI_F + (1-PREV_FEMALE)*p_recur_MI_M)*p_MI_rec_mid*(1-I26)</f>
        <v>4.6555302570627133E-5</v>
      </c>
      <c r="AL27">
        <f>AJ26*(1-p_recur_Stroke-(PREV_FEMALE*p_recur_MI_F + (1-PREV_FEMALE)*p_recur_MI_M) - p_toHF_mid - H26*rr_MI*rr_Stroke)*(1-I26) + AK26*(1-p_recur_Stroke-(PREV_FEMALE*p_recur_MI_F + (1-PREV_FEMALE)*p_recur_MI_M) - p_toHF_mid - H26*rr_MI*rr_Stroke)*(1-I26) + AL26*(1-p_recur_Stroke-(PREV_FEMALE*p_recur_MI_F + (1-PREV_FEMALE)*p_recur_MI_M) - p_toHF_mid - H26*rr_MI*rr_Stroke)*(1-I26)</f>
        <v>1.986387293873864E-4</v>
      </c>
      <c r="AM27">
        <f>AD26*T26*p_MI*p_MI_HF_mid*(1-I26) + AE26*T26*p_MI*p_MI_HF_mid*(1-I26) + AH26*p_toHF_mid*(1-I26) + AH26*(PREV_FEMALE*p_recur_MI_F + (1-PREV_FEMALE)*p_recur_MI_M)*p_MI_HF_mid*(1-I26) + AI26*p_toHF_mid*(1-I26) + AI26*(PREV_FEMALE*p_recur_MI_F + (1-PREV_FEMALE)*p_recur_MI_M)*p_MI_HF_mid*(1-I26)</f>
        <v>4.3433233332673942E-4</v>
      </c>
      <c r="AN27">
        <f t="shared" si="15"/>
        <v>4.5452025040067512E-3</v>
      </c>
      <c r="AO27">
        <f>AF26*T26*p_MI*p_MI_HF_mid*(1-I26) + AG26*T26*p_MI*p_MI_HF_mid*(1-I26) + AJ26*(PREV_FEMALE*p_recur_MI_F + (1-PREV_FEMALE)*p_recur_MI_M)*p_MI_HF_mid*(1-I26) + AJ26*p_toHF_mid*(1-I26) + AK26*(PREV_FEMALE*p_recur_MI_F + (1-PREV_FEMALE)*p_recur_MI_M)*p_MI_HF_mid*(1-I26) + AK26*p_toHF_mid*(1-I26) + AL26*(PREV_FEMALE*p_recur_MI_F + (1-PREV_FEMALE)*p_recur_MI_M)*p_MI_HF_mid*(1-I26) + AL26*p_toHF_mid*(1-I26)</f>
        <v>1.8853024235498977E-5</v>
      </c>
      <c r="AP27">
        <f>AM26*T26*p_Stroke*p_Stroke_rec*(1-I26) + AN26*T26*p_Stroke*p_Stroke_rec*(1-I26) + AO26*(p_recur_Stroke*p_Stroke_rec)*(1-I26) + AP26*(p_recur_Stroke*p_Stroke_rec)*(1-I26) + AQ26*(p_recur_Stroke*p_Stroke_rec)*(1-I26)</f>
        <v>3.8616988401973458E-5</v>
      </c>
      <c r="AQ27">
        <f>AO26*(1-p_recur_Stroke-H26*rr_Stroke*rr_HF)*(1-I26) + AP26*(1-p_recur_Stroke-H26*rr_Stroke*rr_HF)*(1-I26) + AQ26*(1-p_recur_Stroke-H26*rr_Stroke*rr_HF)*(1-I26)</f>
        <v>1.4863291963985358E-4</v>
      </c>
      <c r="AR27">
        <f>AR26*(1-AC26-H26*rr_DM) + AD26*(1-T26-H26)*I26</f>
        <v>0.35228209799939775</v>
      </c>
      <c r="AS27">
        <f>AR26*AC26*p_Other + AD26*T26*p_Other*I26 + AE26*(1-T26*p_Stroke-T26*p_MI-H26*rr_Other)*I26 + AS26*(1-AC26*p_Stroke-AC26*p_MI-H26*rr_Other*rr_DM)</f>
        <v>9.0039651093684295E-2</v>
      </c>
      <c r="AT27">
        <f>AR26*AC26*p_Stroke*p_Stroke_rec + AD26*T26*p_Stroke*p_Stroke_rec*I26 + AE26*T26*p_Stroke*p_Stroke_rec*I26 + AF26*p_recur_Stroke*p_Stroke_rec*I26 + AG26*p_recur_Stroke*p_Stroke_rec*I26 + AS26*AC26*p_Stroke*p_Stroke_rec + AT26*p_recur_Stroke*p_Stroke_rec + AU26*p_recur_Stroke*p_Stroke_rec</f>
        <v>6.743753244411301E-3</v>
      </c>
      <c r="AU27">
        <f>AF26*(1-p_recur_Stroke-T26*p_MI-H26*rr_Stroke)*I26 + AG26*(1-p_recur_Stroke-T26*p_MI-H26*rr_Stroke)*I26 + AT26*(1-p_recur_Stroke-AC26*p_MI-H26*rr_Stroke*rr_DM) + AU26*(1-p_recur_Stroke-AC26*p_MI-H26*rr_Stroke*rr_DM)</f>
        <v>2.7041272152345155E-2</v>
      </c>
      <c r="AV27">
        <f>AR26*AC26*p_MI*p_MI_rec_mid + AD26*T26*p_MI*p_MI_rec_mid*I26 + AE26*T26*p_MI*p_MI_rec_mid*I26 +AH26*(PREV_FEMALE*p_recur_MI_F + (1-PREV_FEMALE)*p_recur_MI_M)*p_MI_rec_mid*I26 + AI26*(PREV_FEMALE*p_recur_MI_F + (1-PREV_FEMALE)*p_recur_MI_M)*p_MI_rec_mid*I26 + AS26*AC26*p_MI*p_MI_rec_mid + AV26*(PREV_FEMALE*p_recur_MI_F + (1-PREV_FEMALE)*p_recur_MI_M)*p_MI_rec_mid + AW26*(PREV_FEMALE*p_recur_MI_F + (1-PREV_FEMALE)*p_recur_MI_M)*p_MI_rec_mid</f>
        <v>3.6915669477593964E-3</v>
      </c>
      <c r="AW27">
        <f>AH26*(1-(PREV_FEMALE*p_recur_MI_F + (1-PREV_FEMALE)*p_recur_MI_M) - T26*p_Stroke - p_toHF_mid - H26*rr_MI)*I26 + AI26*(1-(PREV_FEMALE*p_recur_MI_F + (1-PREV_FEMALE)*p_recur_MI_M) - T26*p_Stroke - p_toHF_mid - H26*rr_MI)*I26 + AV26*(1-(PREV_FEMALE*p_recur_MI_F + (1-PREV_FEMALE)*p_recur_MI_M) - AC26*p_Stroke - p_toHF_mid - H26*rr_MI*rr_DM) + AW26*(1-(PREV_FEMALE*p_recur_MI_F + (1-PREV_FEMALE)*p_recur_MI_M) - AC26*p_Stroke - p_toHF_mid - H26*rr_MI*rr_DM)</f>
        <v>1.9115717828325166E-2</v>
      </c>
      <c r="AX27">
        <f>AH26*T26*p_Stroke*p_Stroke_rec*I26 + AI26*T26*p_Stroke*p_Stroke_rec*I26 + AJ26*p_recur_Stroke*p_Stroke_rec*I26 + AK26*p_recur_Stroke*p_Stroke_rec*I26 + AL26*p_recur_Stroke*p_Stroke_rec*I26 + AV26*AC26*p_Stroke*p_Stroke_rec + AW26*AC26*p_Stroke*p_Stroke_rec + AX26*p_recur_Stroke*p_Stroke_rec + AY26*p_recur_Stroke*p_Stroke_rec + AZ26*p_recur_Stroke*p_Stroke_rec</f>
        <v>3.1506176500373229E-4</v>
      </c>
      <c r="AY27">
        <f>AF26*T26*p_MI*p_MI_rec_mid*I26 + AG26*T26*p_MI*p_MI_rec_mid*I26 + AJ26*(PREV_FEMALE*p_recur_MI_F+(1-PREV_FEMALE)*p_recur_MI_M)*p_MI_rec_mid*I26 + AK26*(PREV_FEMALE*p_recur_MI_F+(1-PREV_FEMALE)*p_recur_MI_M)*p_MI_rec_mid*I26 + AL26*(PREV_FEMALE*p_recur_MI_F+(1-PREV_FEMALE)*p_recur_MI_M)*p_MI_rec_mid*I26 + AT26*AC26*p_MI*p_MI_rec_mid + AU26*AC26*p_MI*p_MI_rec_mid + AX26*(PREV_FEMALE*p_recur_MI_F+(1-PREV_FEMALE)*p_recur_MI_M)*p_MI_rec_mid + AY26*(PREV_FEMALE*p_recur_MI_F+(1-PREV_FEMALE)*p_recur_MI_M)*p_MI_rec_mid + AZ26*(PREV_FEMALE*p_recur_MI_F+(1-PREV_FEMALE)*p_recur_MI_M)*p_MI_rec_mid</f>
        <v>2.5927002552989566E-4</v>
      </c>
      <c r="AZ27">
        <f>AJ26*(1-p_recur_Stroke-(PREV_FEMALE*p_recur_MI_F + (1-PREV_FEMALE)*p_recur_MI_M) - p_toHF_mid - H26*rr_MI*rr_Stroke)*I26 + AK26*(1-p_recur_Stroke-(PREV_FEMALE*p_recur_MI_F + (1-PREV_FEMALE)*p_recur_MI_M) - p_toHF_mid - H26*rr_MI*rr_Stroke)*I26 + AL26*(1-p_recur_Stroke-(PREV_FEMALE*p_recur_MI_F + (1-PREV_FEMALE)*p_recur_MI_M) - p_toHF_mid - H26*rr_MI*rr_Stroke)*I26 + AX26*(1-p_recur_Stroke-(PREV_FEMALE*p_recur_MI_F + (1-PREV_FEMALE)*p_recur_MI_M) - p_toHF_mid - H26*rr_MI*rr_Stroke*rr_DM) + AY26*(1-p_recur_Stroke-(PREV_FEMALE*p_recur_MI_F + (1-PREV_FEMALE)*p_recur_MI_M) - p_toHF_mid - H26*rr_MI*rr_Stroke*rr_DM) + AZ26*(1-p_recur_Stroke-(PREV_FEMALE*p_recur_MI_F + (1-PREV_FEMALE)*p_recur_MI_M) - p_toHF_mid - H26*rr_MI*rr_Stroke*rr_DM)</f>
        <v>1.0322562726882134E-3</v>
      </c>
      <c r="BA27">
        <f>AR26*AC26*p_MI*p_MI_HF_mid + AD26*T26*p_MI*p_MI_HF_mid*I26 + AE26*T26*p_MI*p_MI_HF_mid*I26 + AH26*p_toHF_mid*I26 + AH26*(PREV_FEMALE*p_recur_MI_F + (1-PREV_FEMALE)*p_recur_MI_M)*p_MI_HF_mid*I26 + AI26*p_toHF_mid*I26 + AI26*(PREV_FEMALE*p_recur_MI_F + (1-PREV_FEMALE)*p_recur_MI_M)*p_MI_HF_mid*I26 + AS26*AC26*p_MI*p_MI_HF_mid + AV26*(PREV_FEMALE*p_recur_MI_F + (1-PREV_FEMALE)*p_recur_MI_M)*p_MI_HF_mid + AV26*p_toHF_mid + AW26*(PREV_FEMALE*p_recur_MI_F + (1-PREV_FEMALE)*p_recur_MI_M)*p_MI_HF_mid + AW26*p_toHF_mid</f>
        <v>1.4922135140352159E-3</v>
      </c>
      <c r="BB27">
        <f>AM26*(1-T26*p_Stroke - H26*rr_HF)*I26 + AN26*(1-T26*p_Stroke - H26*rr_HF)*I26 + BA26*(1-AC26*p_Stroke - H26*rr_HF*rr_DM) + BB26*(1-AC26*p_Stroke - H26*rr_HF*rr_DM)</f>
        <v>1.4156928890653772E-2</v>
      </c>
      <c r="BC27">
        <f>AF26*T26*p_MI*p_MI_HF_mid*I26 + AG26*T26*p_MI*p_MI_HF_mid*I26 + AJ26*(PREV_FEMALE*p_recur_MI_F + (1-PREV_FEMALE)*p_recur_MI_M)*p_MI_HF_mid*I26 + AJ26*p_toHF_mid*I26 + AK26*(PREV_FEMALE*p_recur_MI_F + (1-PREV_FEMALE)*p_recur_MI_M)*p_MI_HF_mid*I26 + AK26*p_toHF_mid*I26 + AL26*(PREV_FEMALE*p_recur_MI_F + (1-PREV_FEMALE)*p_recur_MI_M)*p_MI_HF_mid*I26 + AL26*p_toHF_mid*I26 + AT26*AC26*p_MI*p_MI_HF_mid + AU26*AC26*p_MI*p_MI_HF_mid + AX26*(PREV_FEMALE*p_recur_MI_F + (1-PREV_FEMALE)*p_recur_MI_M)*p_MI_HF_mid + AX26*p_toHF_mid + AY26*(PREV_FEMALE*p_recur_MI_F + (1-PREV_FEMALE)*p_recur_MI_M)*p_MI_HF_mid + AY26*p_toHF_mid + AZ26*(PREV_FEMALE*p_recur_MI_F + (1-PREV_FEMALE)*p_recur_MI_M)*p_MI_HF_mid + AZ26*p_toHF_mid</f>
        <v>1.0239621472832902E-4</v>
      </c>
      <c r="BD27">
        <f>AM26*T26*p_Stroke*p_Stroke_rec*I26 + AN26*T26*p_Stroke*p_Stroke_rec*I26 + AO26*(p_recur_Stroke*p_Stroke_rec)*I26 + AP26*(p_recur_Stroke*p_Stroke_rec)*I26 + AQ26*(p_recur_Stroke*p_Stroke_rec)*I26 + BA26*AC26*p_Stroke*p_Stroke_rec + BB26*AC26*p_Stroke*p_Stroke_rec + BC26*(p_recur_Stroke*p_Stroke_rec) + BD26*(p_recur_Stroke*p_Stroke_rec) + BE26*(p_recur_Stroke*p_Stroke_rec)</f>
        <v>2.0219168533580016E-4</v>
      </c>
      <c r="BE27">
        <f>AO26*(1-p_recur_Stroke - H26*rr_Stroke*rr_HF)*I26 + AP26*(1-p_recur_Stroke-H26*rr_Stroke*rr_HF)*I26 + AQ26*(1-p_recur_Stroke-H26*rr_Stroke*rr_HF)*I26 + BC26*(1-p_recur_Stroke - H26*rr_Stroke*rr_HF*rr_DM) + BD26*(1-p_recur_Stroke-H26*rr_Stroke*rr_HF*rr_DM) + BE26*(1-p_recur_Stroke-H26*rr_Stroke*rr_HF*rr_DM)</f>
        <v>7.2856773159936318E-4</v>
      </c>
      <c r="BF27">
        <f>AD26*H26 + AE26*H26*rr_Other + AF26*H26*rr_Stroke + AG26*H26*rr_Stroke + AH26*H26*rr_MI + AI26*H26*rr_MI + AJ26*H26*rr_Stroke*rr_MI + AK26*H26*rr_Stroke*rr_MI + AL26*H26*rr_Stroke*rr_MI + AM26*H26*rr_HF + AN26*H26*rr_HF + AO26*H26*rr_Stroke*rr_HF + AP26*H26*rr_Stroke*rr_HF + AR26*H26*rr_DM + AS26*H26*rr_DM*rr_Other + AT26*H26*rr_DM*rr_Stroke + AU26*H26*rr_DM*rr_Stroke + AV26*H26*rr_DM*rr_MI + AW26*H26*rr_DM*rr_MI + AX26*H26*rr_DM*rr_Stroke*rr_MI + AY26*H26*rr_DM*rr_Stroke*rr_MI + AZ26*H26*rr_DM*rr_Stroke*rr_MI + BA26*H26*rr_DM*rr_HF + BB26*H26*rr_DM*rr_HF + BC26*H26*rr_DM*rr_Stroke*rr_HF + BD26*H26*rr_DM*rr_Stroke*rr_HF + AQ26*H26*rr_Stroke*rr_HF + BE26*H26*rr_DM*rr_Stroke*rr_HF
+ AD26*T26*p_MI*p_MI_mort + AD26*T26*p_Stroke*p_Stroke_mort + AE26*T26*p_MI*p_MI_mort + AE26*T26*p_Stroke*p_Stroke_mort + AF26*T26*p_MI*p_MI_mort + AF26*p_recur_Stroke*p_Stroke_mort + AG26*T26*p_MI*p_MI_mort + AG26*p_recur_Stroke*p_Stroke_mort + AH26*(PREV_FEMALE*p_recur_MI_F + (1-PREV_FEMALE)*p_recur_MI_M)*p_MI_mort + AH26*T26*p_Stroke*p_Stroke_mort + AI26*(PREV_FEMALE*p_recur_MI_F + (1-PREV_FEMALE)*p_recur_MI_M)*p_MI_mort + AI26*T26*p_Stroke*p_Stroke_mort + AJ26*(PREV_FEMALE*p_recur_MI_F + (1-PREV_FEMALE)*p_recur_MI_M)*p_MI_mort + AJ26*p_recur_Stroke*p_Stroke_mort + AK26*(PREV_FEMALE*p_recur_MI_F + (1-PREV_FEMALE)*p_recur_MI_M)*p_MI_mort + AK26*p_recur_Stroke*p_Stroke_mort + AL26*(PREV_FEMALE*p_recur_MI_F + (1-PREV_FEMALE)*p_recur_MI_M)*p_MI_mort + AL26*p_recur_Stroke*p_Stroke_mort + AM26*T26*p_Stroke*p_Stroke_mort + AN26*T26*p_Stroke*p_Stroke_mort + AO26*p_recur_Stroke*p_Stroke_mort + AP26*p_recur_Stroke*p_Stroke_mort + AQ26*p_recur_Stroke*p_Stroke_mort
+ AR26*AC26*p_MI*p_MI_mort + AR26*AC26*p_Stroke*p_Stroke_mort + AS26*AC26*p_MI*p_MI_mort + AS26*AC26*p_Stroke*p_Stroke_mort + AT26*AC26*p_MI*p_MI_mort + AT26*p_recur_Stroke*p_Stroke_mort + AU26*AC26*p_MI*p_MI_mort + AU26*p_recur_Stroke*p_Stroke_mort + AV26*(PREV_FEMALE*p_recur_MI_F + (1-PREV_FEMALE)*p_recur_MI_M)*p_MI_mort + AV26*AC26*p_Stroke*p_Stroke_mort + AW26*(PREV_FEMALE*p_recur_MI_F + (1-PREV_FEMALE)*p_recur_MI_M)*p_MI_mort + AW26*AC26*p_Stroke*p_Stroke_mort + AX26*(PREV_FEMALE*p_recur_MI_F + (1-PREV_FEMALE)*p_recur_MI_M)*p_MI_mort + AX26*p_recur_Stroke*p_Stroke_mort + AY26*(PREV_FEMALE*p_recur_MI_F + (1-PREV_FEMALE)*p_recur_MI_M)*p_MI_mort + AY26*p_recur_Stroke*p_Stroke_mort + AZ26*(PREV_FEMALE*p_recur_MI_F + (1-PREV_FEMALE)*p_recur_MI_M)*p_MI_mort + AZ26*p_recur_Stroke*p_Stroke_mort + BA26*AC26*p_Stroke*p_Stroke_mort + BB26*AC26*p_Stroke*p_Stroke_mort + BC26*p_recur_Stroke*p_Stroke_mort + BD26*p_recur_Stroke*p_Stroke_mort + BE26*p_recur_Stroke*p_Stroke_mort
+BF26</f>
        <v>0.19180839680827486</v>
      </c>
      <c r="BG27">
        <f t="shared" si="17"/>
        <v>0.94700000000000029</v>
      </c>
      <c r="BH27">
        <f>(0.9442 - 0.0007*$B27 - dis_BMI*($C27-21.75))*AD27</f>
        <v>0.15757695779803224</v>
      </c>
      <c r="BI27">
        <f>0.959*(0.9442 - 0.0007*$B27 - dis_BMI*($C27-21.75))*AE27</f>
        <v>2.3953907542011068E-2</v>
      </c>
      <c r="BJ27">
        <f>(0.943*(0.9442 - 0.0007*$B27 - dis_BMI*($C27-21.75)) - 0.19*0.5)*AF27</f>
        <v>1.3904273967553765E-3</v>
      </c>
      <c r="BK27">
        <f>(0.943*(0.9442 - 0.0007*$B27 - dis_BMI*($C27-21.75)))*AG27</f>
        <v>6.7427609640894979E-3</v>
      </c>
      <c r="BL27">
        <f>(0.955*(0.9442 - 0.0007*$B27 - dis_BMI*($C27-21.75)) - 0.15*0.5)*AH27</f>
        <v>7.6797598501468793E-4</v>
      </c>
      <c r="BM27">
        <f>(0.955*(0.9442 - 0.0007*$B27 - dis_BMI*($C27-21.75)))*AI27</f>
        <v>4.6853903699549471E-3</v>
      </c>
      <c r="BN27">
        <f>(0.955*0.943*(0.9442 - 0.0007*$B27 - dis_BMI*($C27-21.75)) - 0.19*0.5)*AJ27</f>
        <v>3.8000558260508244E-5</v>
      </c>
      <c r="BO27">
        <f>(0.955*0.943*(0.9442 - 0.0007*$B27 - dis_BMI*($C27-21.75)) - 0.15*0.5)*AK27</f>
        <v>3.2063484397374216E-5</v>
      </c>
      <c r="BP27">
        <f>(0.955*0.943*(0.9442 - 0.0007*$B27 - dis_BMI*($C27-21.75)))*AL27</f>
        <v>1.5170401375606753E-4</v>
      </c>
      <c r="BQ27">
        <f>(0.93*(0.9442 - 0.0007*$B27 - dis_BMI*($C27-21.75)))*AM27</f>
        <v>3.4254938187643752E-4</v>
      </c>
      <c r="BR27">
        <f>(0.93*(0.9442 - 0.0007*$B27 - dis_BMI*($C27-21.75)))*AN27</f>
        <v>3.5847119562233509E-3</v>
      </c>
      <c r="BS27">
        <f>(0.93*0.943*(0.9442 - 0.0007*$B27 - dis_BMI*($C27-21.75)))*AO27</f>
        <v>1.4021476410053766E-5</v>
      </c>
      <c r="BT27">
        <f>(0.93*0.943*(0.9442 - 0.0007*$B27 - dis_BMI*($C27-21.75))-0.19*0.5)*AP27</f>
        <v>2.5051828251674315E-5</v>
      </c>
      <c r="BU27">
        <f>(0.93*0.943*(0.9442 - 0.0007*$B27 - dis_BMI*($C27-21.75)))*AQ27</f>
        <v>1.1054210456927608E-4</v>
      </c>
      <c r="BV27">
        <f>0.962*(0.9442 - 0.0007*$B27 - dis_BMI*($C27-21.75))*AR27</f>
        <v>0.28739798883697382</v>
      </c>
      <c r="BW27">
        <f>0.962*0.959*(0.9442 - 0.0007*$B27 - dis_BMI*($C27-21.75))*AS27</f>
        <v>7.0444251866905561E-2</v>
      </c>
      <c r="BX27">
        <f>0.962*(0.943*(0.9442 - 0.0007*$B27 - dis_BMI*($C27-21.75)) - 0.19*0.5)*AT27</f>
        <v>4.5717665993821495E-3</v>
      </c>
      <c r="BY27">
        <f>0.962*(0.943*(0.9442 - 0.0007*$B27 - dis_BMI*($C27-21.75)))*AU27</f>
        <v>2.0803287086009377E-2</v>
      </c>
      <c r="BZ27">
        <f>0.962*(0.955*(0.9442 - 0.0007*$B27 - dis_BMI*($C27-21.75)) - 0.15*0.5)*AV27</f>
        <v>2.6097752259766601E-3</v>
      </c>
      <c r="CA27">
        <f>0.962*(0.955*(0.9442 - 0.0007*$B27 - dis_BMI*($C27-21.75)))*AW27</f>
        <v>1.489316953706827E-2</v>
      </c>
      <c r="CB27">
        <f>0.962*(0.955*0.943*(0.9442 - 0.0007*$B27 - dis_BMI*($C27-21.75)) - 0.19*0.5)*AX27</f>
        <v>2.0268141136986557E-4</v>
      </c>
      <c r="CC27">
        <f>0.962*(0.955*0.943*(0.9442 - 0.0007*$B27 - dis_BMI*($C27-21.75)) - 0.15*0.5)*AY27</f>
        <v>1.7177855498323914E-4</v>
      </c>
      <c r="CD27">
        <f>0.962*(0.955*0.943*(0.9442 - 0.0007*$B27 - dis_BMI*($C27-21.75)))*AZ27</f>
        <v>7.5839549671002872E-4</v>
      </c>
      <c r="CE27">
        <f>0.962*(0.93*(0.9442 - 0.0007*$B27 - dis_BMI*($C27-21.75)))*BA27</f>
        <v>1.1321580736422239E-3</v>
      </c>
      <c r="CF27">
        <f>0.962*(0.93*(0.9442 - 0.0007*$B27 - dis_BMI*($C27-21.75)))*BB27</f>
        <v>1.0741010713802091E-2</v>
      </c>
      <c r="CG27">
        <f>0.962*(0.93*0.943*(0.9442 - 0.0007*$B27 - dis_BMI*($C27-21.75)))*BC27</f>
        <v>7.3260806324021115E-5</v>
      </c>
      <c r="CH27">
        <f>0.962*(0.93*0.943*(0.9442 - 0.0007*$B27 - dis_BMI*($C27-21.75))-0.19*0.5)*BD27</f>
        <v>1.2618257570939844E-4</v>
      </c>
      <c r="CI27">
        <f>0.962*(0.93*0.943*(0.9442 - 0.0007*$B27 - dis_BMI*($C27-21.75)))*BE27</f>
        <v>5.2126399027781103E-4</v>
      </c>
      <c r="CJ27">
        <f t="shared" si="18"/>
        <v>0</v>
      </c>
      <c r="CK27">
        <f t="shared" si="19"/>
        <v>0.6138630356347371</v>
      </c>
      <c r="CL27">
        <f>CK27/(1+r_)^A27</f>
        <v>0.30197993672050966</v>
      </c>
      <c r="CM27">
        <f>AD27*c_BN_2</f>
        <v>389.27692449098424</v>
      </c>
      <c r="CN27">
        <f>AE27*(c_Other+c_BN_2)</f>
        <v>482.27468856486996</v>
      </c>
      <c r="CO27">
        <f>AF27*(c_Stroke1+c_Stroke2+c_BN_2)</f>
        <v>51.124042046363883</v>
      </c>
      <c r="CP27">
        <f>AG27*(c_Stroke2 + c_BN_2)</f>
        <v>72.469267835740936</v>
      </c>
      <c r="CQ27">
        <f>AH27*(c_MI1+c_MI2 + c_BN_2)</f>
        <v>32.653127556462778</v>
      </c>
      <c r="CR27">
        <f>AI27*(c_MI2+c_BN_2)</f>
        <v>30.152875706270112</v>
      </c>
      <c r="CS27">
        <f>AJ27*(c_Stroke1+c_Stroke2+c_MI2+c_BN_2)</f>
        <v>1.6495441543664346</v>
      </c>
      <c r="CT27">
        <f>AK27*(c_Stroke2+c_MI1+c_MI2+c_BN_2)</f>
        <v>1.7572764508308918</v>
      </c>
      <c r="CU27">
        <f>AL27*(c_Stroke2+c_MI2+c_BN_2)</f>
        <v>2.3264567985850695</v>
      </c>
      <c r="CV27">
        <f>AM27*(c_HF1+c_BN_2)</f>
        <v>12.649929208141286</v>
      </c>
      <c r="CW27">
        <f>AN27*(c_HF2+c_BN_2)</f>
        <v>80.450084320919501</v>
      </c>
      <c r="CX27">
        <f>AO27*(c_Stroke2+c_HF1+c_BN_2)</f>
        <v>0.67163898838965108</v>
      </c>
      <c r="CY27">
        <f>AP27*(c_Stroke1+c_Stroke2+c_HF2+c_BN_2)</f>
        <v>1.6032228904963302</v>
      </c>
      <c r="CZ27">
        <f>AQ27*(c_Stroke2+c_HF2+c_BN_2)</f>
        <v>3.5969166552844567</v>
      </c>
      <c r="DA27">
        <f>AR27*(c_DM+c_BN_2)</f>
        <v>4762.853964951858</v>
      </c>
      <c r="DB27">
        <f>AS27*(c_Other+c_DM+c_BN_2)</f>
        <v>2503.0122607533299</v>
      </c>
      <c r="DC27">
        <f>AT27*(c_Stroke1+c_Stroke2+c_DM+c_BN_2)</f>
        <v>251.78477113334034</v>
      </c>
      <c r="DD27">
        <f>AU27*(c_Stroke2+c_DM+c_BN_2)</f>
        <v>541.36626848995002</v>
      </c>
      <c r="DE27">
        <f>AV27*(c_MI1+c_MI2+c_DM+c_BN_2)</f>
        <v>157.52285322784121</v>
      </c>
      <c r="DF27">
        <f>AW27*(c_MI2+c_DM+c_BN_2)</f>
        <v>318.02819750984577</v>
      </c>
      <c r="DG27">
        <f>AX27*(c_Stroke1+c_Stroke2+c_MI2+c_DM+c_BN_2)</f>
        <v>12.745193579695982</v>
      </c>
      <c r="DH27">
        <f>AY27*(c_Stroke2+c_MI1+c_MI2+c_DM+c_BN_2)</f>
        <v>12.7485664253305</v>
      </c>
      <c r="DI27">
        <f>AZ27*(c_Stroke2+c_MI2+c_DM+c_BN_2)</f>
        <v>23.883313381187193</v>
      </c>
      <c r="DJ27">
        <f>BA27*(c_HF1+c_DM+c_BN_2)</f>
        <v>60.509257994128006</v>
      </c>
      <c r="DK27">
        <f>BB27*(c_HF2+c_DM+c_BN_2)</f>
        <v>412.32055394029112</v>
      </c>
      <c r="DL27">
        <f>BC27*(c_Stroke2+c_HF1+c_DM+c_BN_2)</f>
        <v>4.8177419029678799</v>
      </c>
      <c r="DM27">
        <f>BD27*(c_Stroke1+c_Stroke2+c_HF2+c_DM+c_BN_2)</f>
        <v>10.704230013362595</v>
      </c>
      <c r="DN27">
        <f>BE27*(c_Stroke2+c_HF2+c_DM+c_BN_2)</f>
        <v>25.955225438227313</v>
      </c>
      <c r="DO27">
        <f t="shared" si="5"/>
        <v>0</v>
      </c>
      <c r="DP27">
        <f t="shared" si="38"/>
        <v>10260.908394409063</v>
      </c>
      <c r="DQ27">
        <f>DP27/(1+r_)^A27</f>
        <v>5047.6870046990871</v>
      </c>
    </row>
    <row r="28" spans="1:121" x14ac:dyDescent="0.3">
      <c r="A28">
        <v>25</v>
      </c>
      <c r="B28">
        <v>70</v>
      </c>
      <c r="C28">
        <f t="shared" si="39"/>
        <v>36.251999999999995</v>
      </c>
      <c r="D28">
        <f t="shared" si="1"/>
        <v>125</v>
      </c>
      <c r="E28">
        <f t="shared" si="40"/>
        <v>5.7</v>
      </c>
      <c r="F28">
        <v>1.455E-2</v>
      </c>
      <c r="G28">
        <v>2.213E-2</v>
      </c>
      <c r="H28">
        <f t="shared" si="3"/>
        <v>1.6066E-2</v>
      </c>
      <c r="I28">
        <f t="shared" si="20"/>
        <v>4.7655426853004217E-2</v>
      </c>
      <c r="J28">
        <f t="shared" si="21"/>
        <v>0.24095509575075569</v>
      </c>
      <c r="K28">
        <f t="shared" si="22"/>
        <v>0.32030257982114296</v>
      </c>
      <c r="L28">
        <f t="shared" si="23"/>
        <v>0.12235525221397425</v>
      </c>
      <c r="M28">
        <f t="shared" si="24"/>
        <v>0.16705100417139496</v>
      </c>
      <c r="N28">
        <f t="shared" si="25"/>
        <v>0.51199224425157219</v>
      </c>
      <c r="O28">
        <f t="shared" si="26"/>
        <v>0.63713054465824226</v>
      </c>
      <c r="P28">
        <f t="shared" si="27"/>
        <v>0.29734814667235487</v>
      </c>
      <c r="Q28">
        <f t="shared" si="28"/>
        <v>0.39264082721559501</v>
      </c>
      <c r="R28">
        <f>IF(C28&lt;25, HT_f_low, IF(C28&lt;30, HT_f_mod, HT_f_high))</f>
        <v>0.42</v>
      </c>
      <c r="S28">
        <f>IF(C28&lt;25, HT_m_low, IF(C28&lt;30, HT_m_mod, HT_m_high))</f>
        <v>0.43099999999999999</v>
      </c>
      <c r="T28">
        <f>PREV_FEMALE*PREV_SMOKE*(1-$R28)*(1-EXP(-J28/10))+PREV_FEMALE*PREV_SMOKE*$R28*(1-EXP(-K28/10))+PREV_FEMALE*(1-PREV_SMOKE)*(1-$R28)*(1-EXP(-L28/10))+PREV_FEMALE*(1-PREV_SMOKE)*$R28*(1-EXP(-M28/10))+(1-PREV_FEMALE)*PREV_SMOKE*(1-$S28)*(1-EXP(-N28/10))+(1-PREV_FEMALE)*PREV_SMOKE*$S28*(1-EXP(-O28/10))+(1-PREV_FEMALE)*(1-PREV_SMOKE)*(1-$S28)*(1-EXP(-P28/10))+(1-PREV_FEMALE)*(1-PREV_SMOKE)*$S28*(1-EXP(-Q28/10))</f>
        <v>1.9709090545156915E-2</v>
      </c>
      <c r="U28">
        <f t="shared" si="29"/>
        <v>0.45118610384715097</v>
      </c>
      <c r="V28">
        <f t="shared" si="30"/>
        <v>0.5684142510793444</v>
      </c>
      <c r="W28">
        <f t="shared" si="31"/>
        <v>0.24726147612510141</v>
      </c>
      <c r="X28">
        <f t="shared" si="32"/>
        <v>0.32819816662499868</v>
      </c>
      <c r="Y28">
        <f t="shared" si="33"/>
        <v>0.70500784250854553</v>
      </c>
      <c r="Z28">
        <f t="shared" si="34"/>
        <v>0.821824466498563</v>
      </c>
      <c r="AA28">
        <f t="shared" si="35"/>
        <v>0.45146413392450269</v>
      </c>
      <c r="AB28">
        <f t="shared" si="36"/>
        <v>0.57194497920399012</v>
      </c>
      <c r="AC28">
        <f>PREV_FEMALE*PREV_SMOKE*(1-$R28)*(1-EXP(-U28/10))+PREV_FEMALE*PREV_SMOKE*$R28*(1-EXP(-V28/10))+PREV_FEMALE*(1-PREV_SMOKE)*(1-$R28)*(1-EXP(-W28/10))+PREV_FEMALE*(1-PREV_SMOKE)*$R28*(1-EXP(-X28/10))+(1-PREV_FEMALE)*PREV_SMOKE*(1-$S28)*(1-EXP(-Y28/10))+(1-PREV_FEMALE)*PREV_SMOKE*$S28*(1-EXP(-Z28/10))+(1-PREV_FEMALE)*(1-PREV_SMOKE)*(1-$S28)*(1-EXP(-AA28/10))+(1-PREV_FEMALE)*(1-PREV_SMOKE)*$S28*(1-EXP(-AB28/10))</f>
        <v>3.4694385690498444E-2</v>
      </c>
      <c r="AD28">
        <f t="shared" si="37"/>
        <v>0.17098004078610987</v>
      </c>
      <c r="AE28">
        <f t="shared" si="6"/>
        <v>2.8876580750678199E-2</v>
      </c>
      <c r="AF28">
        <f t="shared" si="7"/>
        <v>1.919641187253817E-3</v>
      </c>
      <c r="AG28">
        <f t="shared" si="8"/>
        <v>8.220961130070318E-3</v>
      </c>
      <c r="AH28">
        <f>AD27*T27*p_MI*p_MI_rec_mid*(1-I27)+AE27*T27*p_MI*p_MI_rec_mid*(1-I27) + AH27*(PREV_FEMALE*p_recur_MI_F + (1-PREV_FEMALE)*p_recur_MI_M)*p_MI_rec_mid*(1-I27) + AI27*(PREV_FEMALE*p_recur_MI_F + (1-PREV_FEMALE)*p_recur_MI_M)*p_MI_rec_mid*(1-I27)</f>
        <v>1.0123427931674682E-3</v>
      </c>
      <c r="AI28">
        <f>AH27*(1-(PREV_FEMALE*p_recur_MI_F + (1-PREV_FEMALE)*p_recur_MI_M) - T27*p_Stroke - p_toHF_mid - H27*rr_MI)*(1-I27) + AI27*(1-(PREV_FEMALE*p_recur_MI_F + (1-PREV_FEMALE)*p_recur_MI_M) - T27*p_Stroke - p_toHF_mid - H27*rr_MI)*(1-I27)</f>
        <v>5.6411452551702245E-3</v>
      </c>
      <c r="AJ28">
        <f t="shared" si="11"/>
        <v>5.7953540768130666E-5</v>
      </c>
      <c r="AK28">
        <f>AF27*T27*p_MI*p_MI_rec_mid*(1-I27) + AG27*T27*p_MI*p_MI_rec_mid*(1-I27) + AJ27*(PREV_FEMALE*p_recur_MI_F + (1-PREV_FEMALE)*p_recur_MI_M)*p_MI_rec_mid*(1-I27) + AK27*(PREV_FEMALE*p_recur_MI_F + (1-PREV_FEMALE)*p_recur_MI_M)*p_MI_rec_mid*(1-I27) + AL27*(PREV_FEMALE*p_recur_MI_F + (1-PREV_FEMALE)*p_recur_MI_M)*p_MI_rec_mid*(1-I27)</f>
        <v>4.7432020285702171E-5</v>
      </c>
      <c r="AL28">
        <f>AJ27*(1-p_recur_Stroke-(PREV_FEMALE*p_recur_MI_F + (1-PREV_FEMALE)*p_recur_MI_M) - p_toHF_mid - H27*rr_MI*rr_Stroke)*(1-I27) + AK27*(1-p_recur_Stroke-(PREV_FEMALE*p_recur_MI_F + (1-PREV_FEMALE)*p_recur_MI_M) - p_toHF_mid - H27*rr_MI*rr_Stroke)*(1-I27) + AL27*(1-p_recur_Stroke-(PREV_FEMALE*p_recur_MI_F + (1-PREV_FEMALE)*p_recur_MI_M) - p_toHF_mid - H27*rr_MI*rr_Stroke)*(1-I27)</f>
        <v>2.0190992078108892E-4</v>
      </c>
      <c r="AM28">
        <f>AD27*T27*p_MI*p_MI_HF_mid*(1-I27) + AE27*T27*p_MI*p_MI_HF_mid*(1-I27) + AH27*p_toHF_mid*(1-I27) + AH27*(PREV_FEMALE*p_recur_MI_F + (1-PREV_FEMALE)*p_recur_MI_M)*p_MI_HF_mid*(1-I27) + AI27*p_toHF_mid*(1-I27) + AI27*(PREV_FEMALE*p_recur_MI_F + (1-PREV_FEMALE)*p_recur_MI_M)*p_MI_HF_mid*(1-I27)</f>
        <v>4.2256294884808829E-4</v>
      </c>
      <c r="AN28">
        <f t="shared" si="15"/>
        <v>4.5942182712334608E-3</v>
      </c>
      <c r="AO28">
        <f>AF27*T27*p_MI*p_MI_HF_mid*(1-I27) + AG27*T27*p_MI*p_MI_HF_mid*(1-I27) + AJ27*(PREV_FEMALE*p_recur_MI_F + (1-PREV_FEMALE)*p_recur_MI_M)*p_MI_HF_mid*(1-I27) + AJ27*p_toHF_mid*(1-I27) + AK27*(PREV_FEMALE*p_recur_MI_F + (1-PREV_FEMALE)*p_recur_MI_M)*p_MI_HF_mid*(1-I27) + AK27*p_toHF_mid*(1-I27) + AL27*(PREV_FEMALE*p_recur_MI_F + (1-PREV_FEMALE)*p_recur_MI_M)*p_MI_HF_mid*(1-I27) + AL27*p_toHF_mid*(1-I27)</f>
        <v>1.9267071846094883E-5</v>
      </c>
      <c r="AP28">
        <f>AM27*T27*p_Stroke*p_Stroke_rec*(1-I27) + AN27*T27*p_Stroke*p_Stroke_rec*(1-I27) + AO27*(p_recur_Stroke*p_Stroke_rec)*(1-I27) + AP27*(p_recur_Stroke*p_Stroke_rec)*(1-I27) + AQ27*(p_recur_Stroke*p_Stroke_rec)*(1-I27)</f>
        <v>4.0769772256974869E-5</v>
      </c>
      <c r="AQ28">
        <f>AO27*(1-p_recur_Stroke-H27*rr_Stroke*rr_HF)*(1-I27) + AP27*(1-p_recur_Stroke-H27*rr_Stroke*rr_HF)*(1-I27) + AQ27*(1-p_recur_Stroke-H27*rr_Stroke*rr_HF)*(1-I27)</f>
        <v>1.5624151443824157E-4</v>
      </c>
      <c r="AR28">
        <f>AR27*(1-AC27-H27*rr_DM) + AD27*(1-T27-H27)*I27</f>
        <v>0.3430085239264058</v>
      </c>
      <c r="AS28">
        <f>AR27*AC27*p_Other + AD27*T27*p_Other*I27 + AE27*(1-T27*p_Stroke-T27*p_MI-H27*rr_Other)*I27 + AS27*(1-AC27*p_Stroke-AC27*p_MI-H27*rr_Other*rr_DM)</f>
        <v>9.3741253254355394E-2</v>
      </c>
      <c r="AT28">
        <f>AR27*AC27*p_Stroke*p_Stroke_rec + AD27*T27*p_Stroke*p_Stroke_rec*I27 + AE27*T27*p_Stroke*p_Stroke_rec*I27 + AF27*p_recur_Stroke*p_Stroke_rec*I27 + AG27*p_recur_Stroke*p_Stroke_rec*I27 + AS27*AC27*p_Stroke*p_Stroke_rec + AT27*p_recur_Stroke*p_Stroke_rec + AU27*p_recur_Stroke*p_Stroke_rec</f>
        <v>6.9759350460821649E-3</v>
      </c>
      <c r="AU28">
        <f>AF27*(1-p_recur_Stroke-T27*p_MI-H27*rr_Stroke)*I27 + AG27*(1-p_recur_Stroke-T27*p_MI-H27*rr_Stroke)*I27 + AT27*(1-p_recur_Stroke-AC27*p_MI-H27*rr_Stroke*rr_DM) + AU27*(1-p_recur_Stroke-AC27*p_MI-H27*rr_Stroke*rr_DM)</f>
        <v>2.8099041647857655E-2</v>
      </c>
      <c r="AV28">
        <f>AR27*AC27*p_MI*p_MI_rec_mid + AD27*T27*p_MI*p_MI_rec_mid*I27 + AE27*T27*p_MI*p_MI_rec_mid*I27 +AH27*(PREV_FEMALE*p_recur_MI_F + (1-PREV_FEMALE)*p_recur_MI_M)*p_MI_rec_mid*I27 + AI27*(PREV_FEMALE*p_recur_MI_F + (1-PREV_FEMALE)*p_recur_MI_M)*p_MI_rec_mid*I27 + AS27*AC27*p_MI*p_MI_rec_mid + AV27*(PREV_FEMALE*p_recur_MI_F + (1-PREV_FEMALE)*p_recur_MI_M)*p_MI_rec_mid + AW27*(PREV_FEMALE*p_recur_MI_F + (1-PREV_FEMALE)*p_recur_MI_M)*p_MI_rec_mid</f>
        <v>3.8002836020347747E-3</v>
      </c>
      <c r="AW28">
        <f>AH27*(1-(PREV_FEMALE*p_recur_MI_F + (1-PREV_FEMALE)*p_recur_MI_M) - T27*p_Stroke - p_toHF_mid - H27*rr_MI)*I27 + AI27*(1-(PREV_FEMALE*p_recur_MI_F + (1-PREV_FEMALE)*p_recur_MI_M) - T27*p_Stroke - p_toHF_mid - H27*rr_MI)*I27 + AV27*(1-(PREV_FEMALE*p_recur_MI_F + (1-PREV_FEMALE)*p_recur_MI_M) - AC27*p_Stroke - p_toHF_mid - H27*rr_MI*rr_DM) + AW27*(1-(PREV_FEMALE*p_recur_MI_F + (1-PREV_FEMALE)*p_recur_MI_M) - AC27*p_Stroke - p_toHF_mid - H27*rr_MI*rr_DM)</f>
        <v>1.9904972410864037E-2</v>
      </c>
      <c r="AX28">
        <f>AH27*T27*p_Stroke*p_Stroke_rec*I27 + AI27*T27*p_Stroke*p_Stroke_rec*I27 + AJ27*p_recur_Stroke*p_Stroke_rec*I27 + AK27*p_recur_Stroke*p_Stroke_rec*I27 + AL27*p_recur_Stroke*p_Stroke_rec*I27 + AV27*AC27*p_Stroke*p_Stroke_rec + AW27*AC27*p_Stroke*p_Stroke_rec + AX27*p_recur_Stroke*p_Stroke_rec + AY27*p_recur_Stroke*p_Stroke_rec + AZ27*p_recur_Stroke*p_Stroke_rec</f>
        <v>3.4269016798490511E-4</v>
      </c>
      <c r="AY28">
        <f>AF27*T27*p_MI*p_MI_rec_mid*I27 + AG27*T27*p_MI*p_MI_rec_mid*I27 + AJ27*(PREV_FEMALE*p_recur_MI_F+(1-PREV_FEMALE)*p_recur_MI_M)*p_MI_rec_mid*I27 + AK27*(PREV_FEMALE*p_recur_MI_F+(1-PREV_FEMALE)*p_recur_MI_M)*p_MI_rec_mid*I27 + AL27*(PREV_FEMALE*p_recur_MI_F+(1-PREV_FEMALE)*p_recur_MI_M)*p_MI_rec_mid*I27 + AT27*AC27*p_MI*p_MI_rec_mid + AU27*AC27*p_MI*p_MI_rec_mid + AX27*(PREV_FEMALE*p_recur_MI_F+(1-PREV_FEMALE)*p_recur_MI_M)*p_MI_rec_mid + AY27*(PREV_FEMALE*p_recur_MI_F+(1-PREV_FEMALE)*p_recur_MI_M)*p_MI_rec_mid + AZ27*(PREV_FEMALE*p_recur_MI_F+(1-PREV_FEMALE)*p_recur_MI_M)*p_MI_rec_mid</f>
        <v>2.8119383002213431E-4</v>
      </c>
      <c r="AZ28">
        <f>AJ27*(1-p_recur_Stroke-(PREV_FEMALE*p_recur_MI_F + (1-PREV_FEMALE)*p_recur_MI_M) - p_toHF_mid - H27*rr_MI*rr_Stroke)*I27 + AK27*(1-p_recur_Stroke-(PREV_FEMALE*p_recur_MI_F + (1-PREV_FEMALE)*p_recur_MI_M) - p_toHF_mid - H27*rr_MI*rr_Stroke)*I27 + AL27*(1-p_recur_Stroke-(PREV_FEMALE*p_recur_MI_F + (1-PREV_FEMALE)*p_recur_MI_M) - p_toHF_mid - H27*rr_MI*rr_Stroke)*I27 + AX27*(1-p_recur_Stroke-(PREV_FEMALE*p_recur_MI_F + (1-PREV_FEMALE)*p_recur_MI_M) - p_toHF_mid - H27*rr_MI*rr_Stroke*rr_DM) + AY27*(1-p_recur_Stroke-(PREV_FEMALE*p_recur_MI_F + (1-PREV_FEMALE)*p_recur_MI_M) - p_toHF_mid - H27*rr_MI*rr_Stroke*rr_DM) + AZ27*(1-p_recur_Stroke-(PREV_FEMALE*p_recur_MI_F + (1-PREV_FEMALE)*p_recur_MI_M) - p_toHF_mid - H27*rr_MI*rr_Stroke*rr_DM)</f>
        <v>1.1203327022248151E-3</v>
      </c>
      <c r="BA28">
        <f>AR27*AC27*p_MI*p_MI_HF_mid + AD27*T27*p_MI*p_MI_HF_mid*I27 + AE27*T27*p_MI*p_MI_HF_mid*I27 + AH27*p_toHF_mid*I27 + AH27*(PREV_FEMALE*p_recur_MI_F + (1-PREV_FEMALE)*p_recur_MI_M)*p_MI_HF_mid*I27 + AI27*p_toHF_mid*I27 + AI27*(PREV_FEMALE*p_recur_MI_F + (1-PREV_FEMALE)*p_recur_MI_M)*p_MI_HF_mid*I27 + AS27*AC27*p_MI*p_MI_HF_mid + AV27*(PREV_FEMALE*p_recur_MI_F + (1-PREV_FEMALE)*p_recur_MI_M)*p_MI_HF_mid + AV27*p_toHF_mid + AW27*(PREV_FEMALE*p_recur_MI_F + (1-PREV_FEMALE)*p_recur_MI_M)*p_MI_HF_mid + AW27*p_toHF_mid</f>
        <v>1.5464155500689561E-3</v>
      </c>
      <c r="BB28">
        <f>AM27*(1-T27*p_Stroke - H27*rr_HF)*I27 + AN27*(1-T27*p_Stroke - H27*rr_HF)*I27 + BA27*(1-AC27*p_Stroke - H27*rr_HF*rr_DM) + BB27*(1-AC27*p_Stroke - H27*rr_HF*rr_DM)</f>
        <v>1.527498086031367E-2</v>
      </c>
      <c r="BC28">
        <f>AF27*T27*p_MI*p_MI_HF_mid*I27 + AG27*T27*p_MI*p_MI_HF_mid*I27 + AJ27*(PREV_FEMALE*p_recur_MI_F + (1-PREV_FEMALE)*p_recur_MI_M)*p_MI_HF_mid*I27 + AJ27*p_toHF_mid*I27 + AK27*(PREV_FEMALE*p_recur_MI_F + (1-PREV_FEMALE)*p_recur_MI_M)*p_MI_HF_mid*I27 + AK27*p_toHF_mid*I27 + AL27*(PREV_FEMALE*p_recur_MI_F + (1-PREV_FEMALE)*p_recur_MI_M)*p_MI_HF_mid*I27 + AL27*p_toHF_mid*I27 + AT27*AC27*p_MI*p_MI_HF_mid + AU27*AC27*p_MI*p_MI_HF_mid + AX27*(PREV_FEMALE*p_recur_MI_F + (1-PREV_FEMALE)*p_recur_MI_M)*p_MI_HF_mid + AX27*p_toHF_mid + AY27*(PREV_FEMALE*p_recur_MI_F + (1-PREV_FEMALE)*p_recur_MI_M)*p_MI_HF_mid + AY27*p_toHF_mid + AZ27*(PREV_FEMALE*p_recur_MI_F + (1-PREV_FEMALE)*p_recur_MI_M)*p_MI_HF_mid + AZ27*p_toHF_mid</f>
        <v>1.1161262251747323E-4</v>
      </c>
      <c r="BD28">
        <f>AM27*T27*p_Stroke*p_Stroke_rec*I27 + AN27*T27*p_Stroke*p_Stroke_rec*I27 + AO27*(p_recur_Stroke*p_Stroke_rec)*I27 + AP27*(p_recur_Stroke*p_Stroke_rec)*I27 + AQ27*(p_recur_Stroke*p_Stroke_rec)*I27 + BA27*AC27*p_Stroke*p_Stroke_rec + BB27*AC27*p_Stroke*p_Stroke_rec + BC27*(p_recur_Stroke*p_Stroke_rec) + BD27*(p_recur_Stroke*p_Stroke_rec) + BE27*(p_recur_Stroke*p_Stroke_rec)</f>
        <v>2.2754639865313337E-4</v>
      </c>
      <c r="BE28">
        <f>AO27*(1-p_recur_Stroke - H27*rr_Stroke*rr_HF)*I27 + AP27*(1-p_recur_Stroke-H27*rr_Stroke*rr_HF)*I27 + AQ27*(1-p_recur_Stroke-H27*rr_Stroke*rr_HF)*I27 + BC27*(1-p_recur_Stroke - H27*rr_Stroke*rr_HF*rr_DM) + BD27*(1-p_recur_Stroke-H27*rr_Stroke*rr_HF*rr_DM) + BE27*(1-p_recur_Stroke-H27*rr_Stroke*rr_HF*rr_DM)</f>
        <v>8.1720354912570516E-4</v>
      </c>
      <c r="BF28">
        <f>AD27*H27 + AE27*H27*rr_Other + AF27*H27*rr_Stroke + AG27*H27*rr_Stroke + AH27*H27*rr_MI + AI27*H27*rr_MI + AJ27*H27*rr_Stroke*rr_MI + AK27*H27*rr_Stroke*rr_MI + AL27*H27*rr_Stroke*rr_MI + AM27*H27*rr_HF + AN27*H27*rr_HF + AO27*H27*rr_Stroke*rr_HF + AP27*H27*rr_Stroke*rr_HF + AR27*H27*rr_DM + AS27*H27*rr_DM*rr_Other + AT27*H27*rr_DM*rr_Stroke + AU27*H27*rr_DM*rr_Stroke + AV27*H27*rr_DM*rr_MI + AW27*H27*rr_DM*rr_MI + AX27*H27*rr_DM*rr_Stroke*rr_MI + AY27*H27*rr_DM*rr_Stroke*rr_MI + AZ27*H27*rr_DM*rr_Stroke*rr_MI + BA27*H27*rr_DM*rr_HF + BB27*H27*rr_DM*rr_HF + BC27*H27*rr_DM*rr_Stroke*rr_HF + BD27*H27*rr_DM*rr_Stroke*rr_HF + AQ27*H27*rr_Stroke*rr_HF + BE27*H27*rr_DM*rr_Stroke*rr_HF
+ AD27*T27*p_MI*p_MI_mort + AD27*T27*p_Stroke*p_Stroke_mort + AE27*T27*p_MI*p_MI_mort + AE27*T27*p_Stroke*p_Stroke_mort + AF27*T27*p_MI*p_MI_mort + AF27*p_recur_Stroke*p_Stroke_mort + AG27*T27*p_MI*p_MI_mort + AG27*p_recur_Stroke*p_Stroke_mort + AH27*(PREV_FEMALE*p_recur_MI_F + (1-PREV_FEMALE)*p_recur_MI_M)*p_MI_mort + AH27*T27*p_Stroke*p_Stroke_mort + AI27*(PREV_FEMALE*p_recur_MI_F + (1-PREV_FEMALE)*p_recur_MI_M)*p_MI_mort + AI27*T27*p_Stroke*p_Stroke_mort + AJ27*(PREV_FEMALE*p_recur_MI_F + (1-PREV_FEMALE)*p_recur_MI_M)*p_MI_mort + AJ27*p_recur_Stroke*p_Stroke_mort + AK27*(PREV_FEMALE*p_recur_MI_F + (1-PREV_FEMALE)*p_recur_MI_M)*p_MI_mort + AK27*p_recur_Stroke*p_Stroke_mort + AL27*(PREV_FEMALE*p_recur_MI_F + (1-PREV_FEMALE)*p_recur_MI_M)*p_MI_mort + AL27*p_recur_Stroke*p_Stroke_mort + AM27*T27*p_Stroke*p_Stroke_mort + AN27*T27*p_Stroke*p_Stroke_mort + AO27*p_recur_Stroke*p_Stroke_mort + AP27*p_recur_Stroke*p_Stroke_mort + AQ27*p_recur_Stroke*p_Stroke_mort
+ AR27*AC27*p_MI*p_MI_mort + AR27*AC27*p_Stroke*p_Stroke_mort + AS27*AC27*p_MI*p_MI_mort + AS27*AC27*p_Stroke*p_Stroke_mort + AT27*AC27*p_MI*p_MI_mort + AT27*p_recur_Stroke*p_Stroke_mort + AU27*AC27*p_MI*p_MI_mort + AU27*p_recur_Stroke*p_Stroke_mort + AV27*(PREV_FEMALE*p_recur_MI_F + (1-PREV_FEMALE)*p_recur_MI_M)*p_MI_mort + AV27*AC27*p_Stroke*p_Stroke_mort + AW27*(PREV_FEMALE*p_recur_MI_F + (1-PREV_FEMALE)*p_recur_MI_M)*p_MI_mort + AW27*AC27*p_Stroke*p_Stroke_mort + AX27*(PREV_FEMALE*p_recur_MI_F + (1-PREV_FEMALE)*p_recur_MI_M)*p_MI_mort + AX27*p_recur_Stroke*p_Stroke_mort + AY27*(PREV_FEMALE*p_recur_MI_F + (1-PREV_FEMALE)*p_recur_MI_M)*p_MI_mort + AY27*p_recur_Stroke*p_Stroke_mort + AZ27*(PREV_FEMALE*p_recur_MI_F + (1-PREV_FEMALE)*p_recur_MI_M)*p_MI_mort + AZ27*p_recur_Stroke*p_Stroke_mort + BA27*AC27*p_Stroke*p_Stroke_mort + BB27*AC27*p_Stroke*p_Stroke_mort + BC27*p_recur_Stroke*p_Stroke_mort + BD27*p_recur_Stroke*p_Stroke_mort + BE27*p_recur_Stroke*p_Stroke_mort
+BF27</f>
        <v>0.20955694746858194</v>
      </c>
      <c r="BG28">
        <f t="shared" si="17"/>
        <v>0.94700000000000029</v>
      </c>
      <c r="BH28">
        <f>(0.9442 - 0.0007*$B28 - dis_BMI*($C28-21.75))*AD28</f>
        <v>0.144878809091841</v>
      </c>
      <c r="BI28">
        <f>0.959*(0.9442 - 0.0007*$B28 - dis_BMI*($C28-21.75))*AE28</f>
        <v>2.3465176528994394E-2</v>
      </c>
      <c r="BJ28">
        <f>(0.943*(0.9442 - 0.0007*$B28 - dis_BMI*($C28-21.75)) - 0.19*0.5)*AF28</f>
        <v>1.3515134460464751E-3</v>
      </c>
      <c r="BK28">
        <f>(0.943*(0.9442 - 0.0007*$B28 - dis_BMI*($C28-21.75)))*AG28</f>
        <v>6.5689164573739921E-3</v>
      </c>
      <c r="BL28">
        <f>(0.955*(0.9442 - 0.0007*$B28 - dis_BMI*($C28-21.75)) - 0.15*0.5)*AH28</f>
        <v>7.4327518554569822E-4</v>
      </c>
      <c r="BM28">
        <f>(0.955*(0.9442 - 0.0007*$B28 - dis_BMI*($C28-21.75)))*AI28</f>
        <v>4.5648877763913636E-3</v>
      </c>
      <c r="BN28">
        <f>(0.955*0.943*(0.9442 - 0.0007*$B28 - dis_BMI*($C28-21.75)) - 0.19*0.5)*AJ28</f>
        <v>3.8718054076789614E-5</v>
      </c>
      <c r="BO28">
        <f>(0.955*0.943*(0.9442 - 0.0007*$B28 - dis_BMI*($C28-21.75)) - 0.15*0.5)*AK28</f>
        <v>3.2637394915828432E-5</v>
      </c>
      <c r="BP28">
        <f>(0.955*0.943*(0.9442 - 0.0007*$B28 - dis_BMI*($C28-21.75)))*AL28</f>
        <v>1.5407499906844481E-4</v>
      </c>
      <c r="BQ28">
        <f>(0.93*(0.9442 - 0.0007*$B28 - dis_BMI*($C28-21.75)))*AM28</f>
        <v>3.3299201098559768E-4</v>
      </c>
      <c r="BR28">
        <f>(0.93*(0.9442 - 0.0007*$B28 - dis_BMI*($C28-21.75)))*AN28</f>
        <v>3.6203788931688475E-3</v>
      </c>
      <c r="BS28">
        <f>(0.93*0.943*(0.9442 - 0.0007*$B28 - dis_BMI*($C28-21.75)))*AO28</f>
        <v>1.4317586289420594E-5</v>
      </c>
      <c r="BT28">
        <f>(0.93*0.943*(0.9442 - 0.0007*$B28 - dis_BMI*($C28-21.75))-0.19*0.5)*AP28</f>
        <v>2.6423365931765291E-5</v>
      </c>
      <c r="BU28">
        <f>(0.93*0.943*(0.9442 - 0.0007*$B28 - dis_BMI*($C28-21.75)))*AQ28</f>
        <v>1.1610489558706246E-4</v>
      </c>
      <c r="BV28">
        <f>0.962*(0.9442 - 0.0007*$B28 - dis_BMI*($C28-21.75))*AR28</f>
        <v>0.2796014605548563</v>
      </c>
      <c r="BW28">
        <f>0.962*0.959*(0.9442 - 0.0007*$B28 - dis_BMI*($C28-21.75))*AS28</f>
        <v>7.3279734253084705E-2</v>
      </c>
      <c r="BX28">
        <f>0.962*(0.943*(0.9442 - 0.0007*$B28 - dis_BMI*($C28-21.75)) - 0.19*0.5)*AT28</f>
        <v>4.7247388799715531E-3</v>
      </c>
      <c r="BY28">
        <f>0.962*(0.943*(0.9442 - 0.0007*$B28 - dis_BMI*($C28-21.75)))*AU28</f>
        <v>2.1599202883602817E-2</v>
      </c>
      <c r="BZ28">
        <f>0.962*(0.955*(0.9442 - 0.0007*$B28 - dis_BMI*($C28-21.75)) - 0.15*0.5)*AV28</f>
        <v>2.6841891608160688E-3</v>
      </c>
      <c r="CA28">
        <f>0.962*(0.955*(0.9442 - 0.0007*$B28 - dis_BMI*($C28-21.75)))*AW28</f>
        <v>1.5495281651936119E-2</v>
      </c>
      <c r="CB28">
        <f>0.962*(0.955*0.943*(0.9442 - 0.0007*$B28 - dis_BMI*($C28-21.75)) - 0.19*0.5)*AX28</f>
        <v>2.2024713280899486E-4</v>
      </c>
      <c r="CC28">
        <f>0.962*(0.955*0.943*(0.9442 - 0.0007*$B28 - dis_BMI*($C28-21.75)) - 0.15*0.5)*AY28</f>
        <v>1.8613357664656804E-4</v>
      </c>
      <c r="CD28">
        <f>0.962*(0.955*0.943*(0.9442 - 0.0007*$B28 - dis_BMI*($C28-21.75)))*AZ28</f>
        <v>8.2242556248492864E-4</v>
      </c>
      <c r="CE28">
        <f>0.962*(0.93*(0.9442 - 0.0007*$B28 - dis_BMI*($C28-21.75)))*BA28</f>
        <v>1.1723132666540254E-3</v>
      </c>
      <c r="CF28">
        <f>0.962*(0.93*(0.9442 - 0.0007*$B28 - dis_BMI*($C28-21.75)))*BB28</f>
        <v>1.1579722351882416E-2</v>
      </c>
      <c r="CG28">
        <f>0.962*(0.93*0.943*(0.9442 - 0.0007*$B28 - dis_BMI*($C28-21.75)))*BC28</f>
        <v>7.978889987616374E-5</v>
      </c>
      <c r="CH28">
        <f>0.962*(0.93*0.943*(0.9442 - 0.0007*$B28 - dis_BMI*($C28-21.75))-0.19*0.5)*BD28</f>
        <v>1.4187141234940317E-4</v>
      </c>
      <c r="CI28">
        <f>0.962*(0.93*0.943*(0.9442 - 0.0007*$B28 - dis_BMI*($C28-21.75)))*BE28</f>
        <v>5.8419711578256957E-4</v>
      </c>
      <c r="CJ28">
        <f t="shared" si="18"/>
        <v>0</v>
      </c>
      <c r="CK28">
        <f t="shared" si="19"/>
        <v>0.59807953238896938</v>
      </c>
      <c r="CL28">
        <f>CK28/(1+r_)^A28</f>
        <v>0.28564611553038094</v>
      </c>
      <c r="CM28">
        <f>AD28*c_BN_2</f>
        <v>358.20318544690019</v>
      </c>
      <c r="CN28">
        <f>AE28*(c_Other+c_BN_2)</f>
        <v>472.82513321160485</v>
      </c>
      <c r="CO28">
        <f>AF28*(c_Stroke1+c_Stroke2+c_BN_2)</f>
        <v>49.739822802933652</v>
      </c>
      <c r="CP28">
        <f>AG28*(c_Stroke2 + c_BN_2)</f>
        <v>70.659160912954377</v>
      </c>
      <c r="CQ28">
        <f>AH28*(c_MI1+c_MI2 + c_BN_2)</f>
        <v>31.631662915310709</v>
      </c>
      <c r="CR28">
        <f>AI28*(c_MI2+c_BN_2)</f>
        <v>29.401649069947212</v>
      </c>
      <c r="CS28">
        <f>AJ28*(c_Stroke1+c_Stroke2+c_MI2+c_BN_2)</f>
        <v>1.682275381417297</v>
      </c>
      <c r="CT28">
        <f>AK28*(c_Stroke2+c_MI1+c_MI2+c_BN_2)</f>
        <v>1.7903690377041142</v>
      </c>
      <c r="CU28">
        <f>AL28*(c_Stroke2+c_MI2+c_BN_2)</f>
        <v>2.3647689921881132</v>
      </c>
      <c r="CV28">
        <f>AM28*(c_HF1+c_BN_2)</f>
        <v>12.307145885200571</v>
      </c>
      <c r="CW28">
        <f>AN28*(c_HF2+c_BN_2)</f>
        <v>81.317663400832259</v>
      </c>
      <c r="CX28">
        <f>AO28*(c_Stroke2+c_HF1+c_BN_2)</f>
        <v>0.68638943451713019</v>
      </c>
      <c r="CY28">
        <f>AP28*(c_Stroke1+c_Stroke2+c_HF2+c_BN_2)</f>
        <v>1.6925978650205686</v>
      </c>
      <c r="CZ28">
        <f>AQ28*(c_Stroke2+c_HF2+c_BN_2)</f>
        <v>3.7810446494054459</v>
      </c>
      <c r="DA28">
        <f>AR28*(c_DM+c_BN_2)</f>
        <v>4637.4752434850061</v>
      </c>
      <c r="DB28">
        <f>AS28*(c_Other+c_DM+c_BN_2)</f>
        <v>2605.9130992178257</v>
      </c>
      <c r="DC28">
        <f>AT28*(c_Stroke1+c_Stroke2+c_DM+c_BN_2)</f>
        <v>260.45351088052371</v>
      </c>
      <c r="DD28">
        <f>AU28*(c_Stroke2+c_DM+c_BN_2)</f>
        <v>562.54281379011024</v>
      </c>
      <c r="DE28">
        <f>AV28*(c_MI1+c_MI2+c_DM+c_BN_2)</f>
        <v>162.16190158242588</v>
      </c>
      <c r="DF28">
        <f>AW28*(c_MI2+c_DM+c_BN_2)</f>
        <v>331.15902599954501</v>
      </c>
      <c r="DG28">
        <f>AX28*(c_Stroke1+c_Stroke2+c_MI2+c_DM+c_BN_2)</f>
        <v>13.862845365493365</v>
      </c>
      <c r="DH28">
        <f>AY28*(c_Stroke2+c_MI1+c_MI2+c_DM+c_BN_2)</f>
        <v>13.826581816018367</v>
      </c>
      <c r="DI28">
        <f>AZ28*(c_Stroke2+c_MI2+c_DM+c_BN_2)</f>
        <v>25.921137731375548</v>
      </c>
      <c r="DJ28">
        <f>BA28*(c_HF1+c_DM+c_BN_2)</f>
        <v>62.707150555296167</v>
      </c>
      <c r="DK28">
        <f>BB28*(c_HF2+c_DM+c_BN_2)</f>
        <v>444.88381755663562</v>
      </c>
      <c r="DL28">
        <f>BC28*(c_Stroke2+c_HF1+c_DM+c_BN_2)</f>
        <v>5.2513738894471151</v>
      </c>
      <c r="DM28">
        <f>BD28*(c_Stroke1+c_Stroke2+c_HF2+c_DM+c_BN_2)</f>
        <v>12.046533891095534</v>
      </c>
      <c r="DN28">
        <f>BE28*(c_Stroke2+c_HF2+c_DM+c_BN_2)</f>
        <v>29.112876437603248</v>
      </c>
      <c r="DO28">
        <f t="shared" si="5"/>
        <v>0</v>
      </c>
      <c r="DP28">
        <f t="shared" si="38"/>
        <v>10285.400781204335</v>
      </c>
      <c r="DQ28">
        <f>DP28/(1+r_)^A28</f>
        <v>4912.3646951914152</v>
      </c>
    </row>
    <row r="29" spans="1:121" x14ac:dyDescent="0.3">
      <c r="A29">
        <v>26</v>
      </c>
      <c r="B29">
        <v>71</v>
      </c>
      <c r="C29">
        <f t="shared" si="39"/>
        <v>36.251999999999995</v>
      </c>
      <c r="D29">
        <f t="shared" si="1"/>
        <v>125</v>
      </c>
      <c r="E29">
        <f t="shared" si="40"/>
        <v>5.7</v>
      </c>
      <c r="F29">
        <v>1.703E-2</v>
      </c>
      <c r="G29">
        <v>2.5520000000000001E-2</v>
      </c>
      <c r="H29">
        <f t="shared" si="3"/>
        <v>1.8728000000000002E-2</v>
      </c>
      <c r="I29">
        <f t="shared" si="20"/>
        <v>4.7655426853004217E-2</v>
      </c>
      <c r="J29">
        <f t="shared" si="21"/>
        <v>0.24914554548155843</v>
      </c>
      <c r="K29">
        <f t="shared" si="22"/>
        <v>0.33055189604496471</v>
      </c>
      <c r="L29">
        <f t="shared" si="23"/>
        <v>0.12685124053842178</v>
      </c>
      <c r="M29">
        <f t="shared" si="24"/>
        <v>0.17302079446526286</v>
      </c>
      <c r="N29">
        <f t="shared" si="25"/>
        <v>0.5275450773628203</v>
      </c>
      <c r="O29">
        <f t="shared" si="26"/>
        <v>0.65336307606670418</v>
      </c>
      <c r="P29">
        <f t="shared" si="27"/>
        <v>0.30845395781550522</v>
      </c>
      <c r="Q29">
        <f t="shared" si="28"/>
        <v>0.40616062705139455</v>
      </c>
      <c r="R29">
        <f>IF(C29&lt;25, HT_f_low, IF(C29&lt;30, HT_f_mod, HT_f_high))</f>
        <v>0.42</v>
      </c>
      <c r="S29">
        <f>IF(C29&lt;25, HT_m_low, IF(C29&lt;30, HT_m_mod, HT_m_high))</f>
        <v>0.43099999999999999</v>
      </c>
      <c r="T29">
        <f>PREV_FEMALE*PREV_SMOKE*(1-$R29)*(1-EXP(-J29/10))+PREV_FEMALE*PREV_SMOKE*$R29*(1-EXP(-K29/10))+PREV_FEMALE*(1-PREV_SMOKE)*(1-$R29)*(1-EXP(-L29/10))+PREV_FEMALE*(1-PREV_SMOKE)*$R29*(1-EXP(-M29/10))+(1-PREV_FEMALE)*PREV_SMOKE*(1-$S29)*(1-EXP(-N29/10))+(1-PREV_FEMALE)*PREV_SMOKE*$S29*(1-EXP(-O29/10))+(1-PREV_FEMALE)*(1-PREV_SMOKE)*(1-$S29)*(1-EXP(-P29/10))+(1-PREV_FEMALE)*(1-PREV_SMOKE)*$S29*(1-EXP(-Q29/10))</f>
        <v>2.0392611706686242E-2</v>
      </c>
      <c r="U29">
        <f t="shared" si="29"/>
        <v>0.46399237063646748</v>
      </c>
      <c r="V29">
        <f t="shared" si="30"/>
        <v>0.58245212498968657</v>
      </c>
      <c r="W29">
        <f t="shared" si="31"/>
        <v>0.25562830474504195</v>
      </c>
      <c r="X29">
        <f t="shared" si="32"/>
        <v>0.33863259061522044</v>
      </c>
      <c r="Y29">
        <f t="shared" si="33"/>
        <v>0.72082634410757396</v>
      </c>
      <c r="Z29">
        <f t="shared" si="34"/>
        <v>0.83517362260601391</v>
      </c>
      <c r="AA29">
        <f t="shared" si="35"/>
        <v>0.46613539241219482</v>
      </c>
      <c r="AB29">
        <f t="shared" si="36"/>
        <v>0.58803226215801141</v>
      </c>
      <c r="AC29">
        <f>PREV_FEMALE*PREV_SMOKE*(1-$R29)*(1-EXP(-U29/10))+PREV_FEMALE*PREV_SMOKE*$R29*(1-EXP(-V29/10))+PREV_FEMALE*(1-PREV_SMOKE)*(1-$R29)*(1-EXP(-W29/10))+PREV_FEMALE*(1-PREV_SMOKE)*$R29*(1-EXP(-X29/10))+(1-PREV_FEMALE)*PREV_SMOKE*(1-$S29)*(1-EXP(-Y29/10))+(1-PREV_FEMALE)*PREV_SMOKE*$S29*(1-EXP(-Z29/10))+(1-PREV_FEMALE)*(1-PREV_SMOKE)*(1-$S29)*(1-EXP(-AA29/10))+(1-PREV_FEMALE)*(1-PREV_SMOKE)*$S29*(1-EXP(-AB29/10))</f>
        <v>3.5737205282450453E-2</v>
      </c>
      <c r="AD29">
        <f t="shared" si="37"/>
        <v>0.1570065874935756</v>
      </c>
      <c r="AE29">
        <f t="shared" si="6"/>
        <v>2.8182186464906653E-2</v>
      </c>
      <c r="AF29">
        <f t="shared" si="7"/>
        <v>1.8599415755549597E-3</v>
      </c>
      <c r="AG29">
        <f t="shared" si="8"/>
        <v>7.9709566348089116E-3</v>
      </c>
      <c r="AH29">
        <f>AD28*T28*p_MI*p_MI_rec_mid*(1-I28)+AE28*T28*p_MI*p_MI_rec_mid*(1-I28) + AH28*(PREV_FEMALE*p_recur_MI_F + (1-PREV_FEMALE)*p_recur_MI_M)*p_MI_rec_mid*(1-I28) + AI28*(PREV_FEMALE*p_recur_MI_F + (1-PREV_FEMALE)*p_recur_MI_M)*p_MI_rec_mid*(1-I28)</f>
        <v>9.7784002653564977E-4</v>
      </c>
      <c r="AI29">
        <f>AH28*(1-(PREV_FEMALE*p_recur_MI_F + (1-PREV_FEMALE)*p_recur_MI_M) - T28*p_Stroke - p_toHF_mid - H28*rr_MI)*(1-I28) + AI28*(1-(PREV_FEMALE*p_recur_MI_F + (1-PREV_FEMALE)*p_recur_MI_M) - T28*p_Stroke - p_toHF_mid - H28*rr_MI)*(1-I28)</f>
        <v>5.4808873798349849E-3</v>
      </c>
      <c r="AJ29">
        <f t="shared" si="11"/>
        <v>5.8734344533086641E-5</v>
      </c>
      <c r="AK29">
        <f>AF28*T28*p_MI*p_MI_rec_mid*(1-I28) + AG28*T28*p_MI*p_MI_rec_mid*(1-I28) + AJ28*(PREV_FEMALE*p_recur_MI_F + (1-PREV_FEMALE)*p_recur_MI_M)*p_MI_rec_mid*(1-I28) + AK28*(PREV_FEMALE*p_recur_MI_F + (1-PREV_FEMALE)*p_recur_MI_M)*p_MI_rec_mid*(1-I28) + AL28*(PREV_FEMALE*p_recur_MI_F + (1-PREV_FEMALE)*p_recur_MI_M)*p_MI_rec_mid*(1-I28)</f>
        <v>4.8000293842856298E-5</v>
      </c>
      <c r="AL29">
        <f>AJ28*(1-p_recur_Stroke-(PREV_FEMALE*p_recur_MI_F + (1-PREV_FEMALE)*p_recur_MI_M) - p_toHF_mid - H28*rr_MI*rr_Stroke)*(1-I28) + AK28*(1-p_recur_Stroke-(PREV_FEMALE*p_recur_MI_F + (1-PREV_FEMALE)*p_recur_MI_M) - p_toHF_mid - H28*rr_MI*rr_Stroke)*(1-I28) + AL28*(1-p_recur_Stroke-(PREV_FEMALE*p_recur_MI_F + (1-PREV_FEMALE)*p_recur_MI_M) - p_toHF_mid - H28*rr_MI*rr_Stroke)*(1-I28)</f>
        <v>2.0352344787550773E-4</v>
      </c>
      <c r="AM29">
        <f>AD28*T28*p_MI*p_MI_HF_mid*(1-I28) + AE28*T28*p_MI*p_MI_HF_mid*(1-I28) + AH28*p_toHF_mid*(1-I28) + AH28*(PREV_FEMALE*p_recur_MI_F + (1-PREV_FEMALE)*p_recur_MI_M)*p_MI_HF_mid*(1-I28) + AI28*p_toHF_mid*(1-I28) + AI28*(PREV_FEMALE*p_recur_MI_F + (1-PREV_FEMALE)*p_recur_MI_M)*p_MI_HF_mid*(1-I28)</f>
        <v>4.098133923571217E-4</v>
      </c>
      <c r="AN29">
        <f t="shared" si="15"/>
        <v>4.6163459526742069E-3</v>
      </c>
      <c r="AO29">
        <f>AF28*T28*p_MI*p_MI_HF_mid*(1-I28) + AG28*T28*p_MI*p_MI_HF_mid*(1-I28) + AJ28*(PREV_FEMALE*p_recur_MI_F + (1-PREV_FEMALE)*p_recur_MI_M)*p_MI_HF_mid*(1-I28) + AJ28*p_toHF_mid*(1-I28) + AK28*(PREV_FEMALE*p_recur_MI_F + (1-PREV_FEMALE)*p_recur_MI_M)*p_MI_HF_mid*(1-I28) + AK28*p_toHF_mid*(1-I28) + AL28*(PREV_FEMALE*p_recur_MI_F + (1-PREV_FEMALE)*p_recur_MI_M)*p_MI_HF_mid*(1-I28) + AL28*p_toHF_mid*(1-I28)</f>
        <v>1.9546827112494603E-5</v>
      </c>
      <c r="AP29">
        <f>AM28*T28*p_Stroke*p_Stroke_rec*(1-I28) + AN28*T28*p_Stroke*p_Stroke_rec*(1-I28) + AO28*(p_recur_Stroke*p_Stroke_rec)*(1-I28) + AP28*(p_recur_Stroke*p_Stroke_rec)*(1-I28) + AQ28*(p_recur_Stroke*p_Stroke_rec)*(1-I28)</f>
        <v>4.2664402340218789E-5</v>
      </c>
      <c r="AQ29">
        <f>AO28*(1-p_recur_Stroke-H28*rr_Stroke*rr_HF)*(1-I28) + AP28*(1-p_recur_Stroke-H28*rr_Stroke*rr_HF)*(1-I28) + AQ28*(1-p_recur_Stroke-H28*rr_Stroke*rr_HF)*(1-I28)</f>
        <v>1.6240410038558846E-4</v>
      </c>
      <c r="AR29">
        <f>AR28*(1-AC28-H28*rr_DM) + AD28*(1-T28-H28)*I28</f>
        <v>0.33262728956695919</v>
      </c>
      <c r="AS29">
        <f>AR28*AC28*p_Other + AD28*T28*p_Other*I28 + AE28*(1-T28*p_Stroke-T28*p_MI-H28*rr_Other)*I28 + AS28*(1-AC28*p_Stroke-AC28*p_MI-H28*rr_Other*rr_DM)</f>
        <v>9.6942505990325639E-2</v>
      </c>
      <c r="AT29">
        <f>AR28*AC28*p_Stroke*p_Stroke_rec + AD28*T28*p_Stroke*p_Stroke_rec*I28 + AE28*T28*p_Stroke*p_Stroke_rec*I28 + AF28*p_recur_Stroke*p_Stroke_rec*I28 + AG28*p_recur_Stroke*p_Stroke_rec*I28 + AS28*AC28*p_Stroke*p_Stroke_rec + AT28*p_recur_Stroke*p_Stroke_rec + AU28*p_recur_Stroke*p_Stroke_rec</f>
        <v>7.1716742278699706E-3</v>
      </c>
      <c r="AU29">
        <f>AF28*(1-p_recur_Stroke-T28*p_MI-H28*rr_Stroke)*I28 + AG28*(1-p_recur_Stroke-T28*p_MI-H28*rr_Stroke)*I28 + AT28*(1-p_recur_Stroke-AC28*p_MI-H28*rr_Stroke*rr_DM) + AU28*(1-p_recur_Stroke-AC28*p_MI-H28*rr_Stroke*rr_DM)</f>
        <v>2.8968757270552377E-2</v>
      </c>
      <c r="AV29">
        <f>AR28*AC28*p_MI*p_MI_rec_mid + AD28*T28*p_MI*p_MI_rec_mid*I28 + AE28*T28*p_MI*p_MI_rec_mid*I28 +AH28*(PREV_FEMALE*p_recur_MI_F + (1-PREV_FEMALE)*p_recur_MI_M)*p_MI_rec_mid*I28 + AI28*(PREV_FEMALE*p_recur_MI_F + (1-PREV_FEMALE)*p_recur_MI_M)*p_MI_rec_mid*I28 + AS28*AC28*p_MI*p_MI_rec_mid + AV28*(PREV_FEMALE*p_recur_MI_F + (1-PREV_FEMALE)*p_recur_MI_M)*p_MI_rec_mid + AW28*(PREV_FEMALE*p_recur_MI_F + (1-PREV_FEMALE)*p_recur_MI_M)*p_MI_rec_mid</f>
        <v>3.893025958969482E-3</v>
      </c>
      <c r="AW29">
        <f>AH28*(1-(PREV_FEMALE*p_recur_MI_F + (1-PREV_FEMALE)*p_recur_MI_M) - T28*p_Stroke - p_toHF_mid - H28*rr_MI)*I28 + AI28*(1-(PREV_FEMALE*p_recur_MI_F + (1-PREV_FEMALE)*p_recur_MI_M) - T28*p_Stroke - p_toHF_mid - H28*rr_MI)*I28 + AV28*(1-(PREV_FEMALE*p_recur_MI_F + (1-PREV_FEMALE)*p_recur_MI_M) - AC28*p_Stroke - p_toHF_mid - H28*rr_MI*rr_DM) + AW28*(1-(PREV_FEMALE*p_recur_MI_F + (1-PREV_FEMALE)*p_recur_MI_M) - AC28*p_Stroke - p_toHF_mid - H28*rr_MI*rr_DM)</f>
        <v>2.0606934788971788E-2</v>
      </c>
      <c r="AX29">
        <f>AH28*T28*p_Stroke*p_Stroke_rec*I28 + AI28*T28*p_Stroke*p_Stroke_rec*I28 + AJ28*p_recur_Stroke*p_Stroke_rec*I28 + AK28*p_recur_Stroke*p_Stroke_rec*I28 + AL28*p_recur_Stroke*p_Stroke_rec*I28 + AV28*AC28*p_Stroke*p_Stroke_rec + AW28*AC28*p_Stroke*p_Stroke_rec + AX28*p_recur_Stroke*p_Stroke_rec + AY28*p_recur_Stroke*p_Stroke_rec + AZ28*p_recur_Stroke*p_Stroke_rec</f>
        <v>3.6952875156826676E-4</v>
      </c>
      <c r="AY29">
        <f>AF28*T28*p_MI*p_MI_rec_mid*I28 + AG28*T28*p_MI*p_MI_rec_mid*I28 + AJ28*(PREV_FEMALE*p_recur_MI_F+(1-PREV_FEMALE)*p_recur_MI_M)*p_MI_rec_mid*I28 + AK28*(PREV_FEMALE*p_recur_MI_F+(1-PREV_FEMALE)*p_recur_MI_M)*p_MI_rec_mid*I28 + AL28*(PREV_FEMALE*p_recur_MI_F+(1-PREV_FEMALE)*p_recur_MI_M)*p_MI_rec_mid*I28 + AT28*AC28*p_MI*p_MI_rec_mid + AU28*AC28*p_MI*p_MI_rec_mid + AX28*(PREV_FEMALE*p_recur_MI_F+(1-PREV_FEMALE)*p_recur_MI_M)*p_MI_rec_mid + AY28*(PREV_FEMALE*p_recur_MI_F+(1-PREV_FEMALE)*p_recur_MI_M)*p_MI_rec_mid + AZ28*(PREV_FEMALE*p_recur_MI_F+(1-PREV_FEMALE)*p_recur_MI_M)*p_MI_rec_mid</f>
        <v>3.0219029068545415E-4</v>
      </c>
      <c r="AZ29">
        <f>AJ28*(1-p_recur_Stroke-(PREV_FEMALE*p_recur_MI_F + (1-PREV_FEMALE)*p_recur_MI_M) - p_toHF_mid - H28*rr_MI*rr_Stroke)*I28 + AK28*(1-p_recur_Stroke-(PREV_FEMALE*p_recur_MI_F + (1-PREV_FEMALE)*p_recur_MI_M) - p_toHF_mid - H28*rr_MI*rr_Stroke)*I28 + AL28*(1-p_recur_Stroke-(PREV_FEMALE*p_recur_MI_F + (1-PREV_FEMALE)*p_recur_MI_M) - p_toHF_mid - H28*rr_MI*rr_Stroke)*I28 + AX28*(1-p_recur_Stroke-(PREV_FEMALE*p_recur_MI_F + (1-PREV_FEMALE)*p_recur_MI_M) - p_toHF_mid - H28*rr_MI*rr_Stroke*rr_DM) + AY28*(1-p_recur_Stroke-(PREV_FEMALE*p_recur_MI_F + (1-PREV_FEMALE)*p_recur_MI_M) - p_toHF_mid - H28*rr_MI*rr_Stroke*rr_DM) + AZ28*(1-p_recur_Stroke-(PREV_FEMALE*p_recur_MI_F + (1-PREV_FEMALE)*p_recur_MI_M) - p_toHF_mid - H28*rr_MI*rr_Stroke*rr_DM)</f>
        <v>1.2024075281400158E-3</v>
      </c>
      <c r="BA29">
        <f>AR28*AC28*p_MI*p_MI_HF_mid + AD28*T28*p_MI*p_MI_HF_mid*I28 + AE28*T28*p_MI*p_MI_HF_mid*I28 + AH28*p_toHF_mid*I28 + AH28*(PREV_FEMALE*p_recur_MI_F + (1-PREV_FEMALE)*p_recur_MI_M)*p_MI_HF_mid*I28 + AI28*p_toHF_mid*I28 + AI28*(PREV_FEMALE*p_recur_MI_F + (1-PREV_FEMALE)*p_recur_MI_M)*p_MI_HF_mid*I28 + AS28*AC28*p_MI*p_MI_HF_mid + AV28*(PREV_FEMALE*p_recur_MI_F + (1-PREV_FEMALE)*p_recur_MI_M)*p_MI_HF_mid + AV28*p_toHF_mid + AW28*(PREV_FEMALE*p_recur_MI_F + (1-PREV_FEMALE)*p_recur_MI_M)*p_MI_HF_mid + AW28*p_toHF_mid</f>
        <v>1.594229700039152E-3</v>
      </c>
      <c r="BB29">
        <f>AM28*(1-T28*p_Stroke - H28*rr_HF)*I28 + AN28*(1-T28*p_Stroke - H28*rr_HF)*I28 + BA28*(1-AC28*p_Stroke - H28*rr_HF*rr_DM) + BB28*(1-AC28*p_Stroke - H28*rr_HF*rr_DM)</f>
        <v>1.6352530427500733E-2</v>
      </c>
      <c r="BC29">
        <f>AF28*T28*p_MI*p_MI_HF_mid*I28 + AG28*T28*p_MI*p_MI_HF_mid*I28 + AJ28*(PREV_FEMALE*p_recur_MI_F + (1-PREV_FEMALE)*p_recur_MI_M)*p_MI_HF_mid*I28 + AJ28*p_toHF_mid*I28 + AK28*(PREV_FEMALE*p_recur_MI_F + (1-PREV_FEMALE)*p_recur_MI_M)*p_MI_HF_mid*I28 + AK28*p_toHF_mid*I28 + AL28*(PREV_FEMALE*p_recur_MI_F + (1-PREV_FEMALE)*p_recur_MI_M)*p_MI_HF_mid*I28 + AL28*p_toHF_mid*I28 + AT28*AC28*p_MI*p_MI_HF_mid + AU28*AC28*p_MI*p_MI_HF_mid + AX28*(PREV_FEMALE*p_recur_MI_F + (1-PREV_FEMALE)*p_recur_MI_M)*p_MI_HF_mid + AX28*p_toHF_mid + AY28*(PREV_FEMALE*p_recur_MI_F + (1-PREV_FEMALE)*p_recur_MI_M)*p_MI_HF_mid + AY28*p_toHF_mid + AZ28*(PREV_FEMALE*p_recur_MI_F + (1-PREV_FEMALE)*p_recur_MI_M)*p_MI_HF_mid + AZ28*p_toHF_mid</f>
        <v>1.2046875859601609E-4</v>
      </c>
      <c r="BD29">
        <f>AM28*T28*p_Stroke*p_Stroke_rec*I28 + AN28*T28*p_Stroke*p_Stroke_rec*I28 + AO28*(p_recur_Stroke*p_Stroke_rec)*I28 + AP28*(p_recur_Stroke*p_Stroke_rec)*I28 + AQ28*(p_recur_Stroke*p_Stroke_rec)*I28 + BA28*AC28*p_Stroke*p_Stroke_rec + BB28*AC28*p_Stroke*p_Stroke_rec + BC28*(p_recur_Stroke*p_Stroke_rec) + BD28*(p_recur_Stroke*p_Stroke_rec) + BE28*(p_recur_Stroke*p_Stroke_rec)</f>
        <v>2.5328881508736339E-4</v>
      </c>
      <c r="BE29">
        <f>AO28*(1-p_recur_Stroke - H28*rr_Stroke*rr_HF)*I28 + AP28*(1-p_recur_Stroke-H28*rr_Stroke*rr_HF)*I28 + AQ28*(1-p_recur_Stroke-H28*rr_Stroke*rr_HF)*I28 + BC28*(1-p_recur_Stroke - H28*rr_Stroke*rr_HF*rr_DM) + BD28*(1-p_recur_Stroke-H28*rr_Stroke*rr_HF*rr_DM) + BE28*(1-p_recur_Stroke-H28*rr_Stroke*rr_HF*rr_DM)</f>
        <v>9.0401883779149561E-4</v>
      </c>
      <c r="BF29">
        <f>AD28*H28 + AE28*H28*rr_Other + AF28*H28*rr_Stroke + AG28*H28*rr_Stroke + AH28*H28*rr_MI + AI28*H28*rr_MI + AJ28*H28*rr_Stroke*rr_MI + AK28*H28*rr_Stroke*rr_MI + AL28*H28*rr_Stroke*rr_MI + AM28*H28*rr_HF + AN28*H28*rr_HF + AO28*H28*rr_Stroke*rr_HF + AP28*H28*rr_Stroke*rr_HF + AR28*H28*rr_DM + AS28*H28*rr_DM*rr_Other + AT28*H28*rr_DM*rr_Stroke + AU28*H28*rr_DM*rr_Stroke + AV28*H28*rr_DM*rr_MI + AW28*H28*rr_DM*rr_MI + AX28*H28*rr_DM*rr_Stroke*rr_MI + AY28*H28*rr_DM*rr_Stroke*rr_MI + AZ28*H28*rr_DM*rr_Stroke*rr_MI + BA28*H28*rr_DM*rr_HF + BB28*H28*rr_DM*rr_HF + BC28*H28*rr_DM*rr_Stroke*rr_HF + BD28*H28*rr_DM*rr_Stroke*rr_HF + AQ28*H28*rr_Stroke*rr_HF + BE28*H28*rr_DM*rr_Stroke*rr_HF
+ AD28*T28*p_MI*p_MI_mort + AD28*T28*p_Stroke*p_Stroke_mort + AE28*T28*p_MI*p_MI_mort + AE28*T28*p_Stroke*p_Stroke_mort + AF28*T28*p_MI*p_MI_mort + AF28*p_recur_Stroke*p_Stroke_mort + AG28*T28*p_MI*p_MI_mort + AG28*p_recur_Stroke*p_Stroke_mort + AH28*(PREV_FEMALE*p_recur_MI_F + (1-PREV_FEMALE)*p_recur_MI_M)*p_MI_mort + AH28*T28*p_Stroke*p_Stroke_mort + AI28*(PREV_FEMALE*p_recur_MI_F + (1-PREV_FEMALE)*p_recur_MI_M)*p_MI_mort + AI28*T28*p_Stroke*p_Stroke_mort + AJ28*(PREV_FEMALE*p_recur_MI_F + (1-PREV_FEMALE)*p_recur_MI_M)*p_MI_mort + AJ28*p_recur_Stroke*p_Stroke_mort + AK28*(PREV_FEMALE*p_recur_MI_F + (1-PREV_FEMALE)*p_recur_MI_M)*p_MI_mort + AK28*p_recur_Stroke*p_Stroke_mort + AL28*(PREV_FEMALE*p_recur_MI_F + (1-PREV_FEMALE)*p_recur_MI_M)*p_MI_mort + AL28*p_recur_Stroke*p_Stroke_mort + AM28*T28*p_Stroke*p_Stroke_mort + AN28*T28*p_Stroke*p_Stroke_mort + AO28*p_recur_Stroke*p_Stroke_mort + AP28*p_recur_Stroke*p_Stroke_mort + AQ28*p_recur_Stroke*p_Stroke_mort
+ AR28*AC28*p_MI*p_MI_mort + AR28*AC28*p_Stroke*p_Stroke_mort + AS28*AC28*p_MI*p_MI_mort + AS28*AC28*p_Stroke*p_Stroke_mort + AT28*AC28*p_MI*p_MI_mort + AT28*p_recur_Stroke*p_Stroke_mort + AU28*AC28*p_MI*p_MI_mort + AU28*p_recur_Stroke*p_Stroke_mort + AV28*(PREV_FEMALE*p_recur_MI_F + (1-PREV_FEMALE)*p_recur_MI_M)*p_MI_mort + AV28*AC28*p_Stroke*p_Stroke_mort + AW28*(PREV_FEMALE*p_recur_MI_F + (1-PREV_FEMALE)*p_recur_MI_M)*p_MI_mort + AW28*AC28*p_Stroke*p_Stroke_mort + AX28*(PREV_FEMALE*p_recur_MI_F + (1-PREV_FEMALE)*p_recur_MI_M)*p_MI_mort + AX28*p_recur_Stroke*p_Stroke_mort + AY28*(PREV_FEMALE*p_recur_MI_F + (1-PREV_FEMALE)*p_recur_MI_M)*p_MI_mort + AY28*p_recur_Stroke*p_Stroke_mort + AZ28*(PREV_FEMALE*p_recur_MI_F + (1-PREV_FEMALE)*p_recur_MI_M)*p_MI_mort + AZ28*p_recur_Stroke*p_Stroke_mort + BA28*AC28*p_Stroke*p_Stroke_mort + BB28*AC28*p_Stroke*p_Stroke_mort + BC28*p_recur_Stroke*p_Stroke_mort + BD28*p_recur_Stroke*p_Stroke_mort + BE28*p_recur_Stroke*p_Stroke_mort
+BF28</f>
        <v>0.22865171675060547</v>
      </c>
      <c r="BG29">
        <f t="shared" si="17"/>
        <v>0.94700000000000029</v>
      </c>
      <c r="BH29">
        <f>(0.9442 - 0.0007*$B29 - dis_BMI*($C29-21.75))*AD29</f>
        <v>0.13292859105795835</v>
      </c>
      <c r="BI29">
        <f>0.959*(0.9442 - 0.0007*$B29 - dis_BMI*($C29-21.75))*AE29</f>
        <v>2.2881991419191165E-2</v>
      </c>
      <c r="BJ29">
        <f>(0.943*(0.9442 - 0.0007*$B29 - dis_BMI*($C29-21.75)) - 0.19*0.5)*AF29</f>
        <v>1.308254495869722E-3</v>
      </c>
      <c r="BK29">
        <f>(0.943*(0.9442 - 0.0007*$B29 - dis_BMI*($C29-21.75)))*AG29</f>
        <v>6.3638900304339866E-3</v>
      </c>
      <c r="BL29">
        <f>(0.955*(0.9442 - 0.0007*$B29 - dis_BMI*($C29-21.75)) - 0.15*0.5)*AH29</f>
        <v>7.172891215195586E-4</v>
      </c>
      <c r="BM29">
        <f>(0.955*(0.9442 - 0.0007*$B29 - dis_BMI*($C29-21.75)))*AI29</f>
        <v>4.4315410555979574E-3</v>
      </c>
      <c r="BN29">
        <f>(0.955*0.943*(0.9442 - 0.0007*$B29 - dis_BMI*($C29-21.75)) - 0.19*0.5)*AJ29</f>
        <v>3.9202673686905302E-5</v>
      </c>
      <c r="BO29">
        <f>(0.955*0.943*(0.9442 - 0.0007*$B29 - dis_BMI*($C29-21.75)) - 0.15*0.5)*AK29</f>
        <v>3.2998157853457978E-5</v>
      </c>
      <c r="BP29">
        <f>(0.955*0.943*(0.9442 - 0.0007*$B29 - dis_BMI*($C29-21.75)))*AL29</f>
        <v>1.551779616580357E-4</v>
      </c>
      <c r="BQ29">
        <f>(0.93*(0.9442 - 0.0007*$B29 - dis_BMI*($C29-21.75)))*AM29</f>
        <v>3.2267819759981386E-4</v>
      </c>
      <c r="BR29">
        <f>(0.93*(0.9442 - 0.0007*$B29 - dis_BMI*($C29-21.75)))*AN29</f>
        <v>3.6348109146419469E-3</v>
      </c>
      <c r="BS29">
        <f>(0.93*0.943*(0.9442 - 0.0007*$B29 - dis_BMI*($C29-21.75)))*AO29</f>
        <v>1.4513476037427601E-5</v>
      </c>
      <c r="BT29">
        <f>(0.93*0.943*(0.9442 - 0.0007*$B29 - dis_BMI*($C29-21.75))-0.19*0.5)*AP29</f>
        <v>2.7625106455899686E-5</v>
      </c>
      <c r="BU29">
        <f>(0.93*0.943*(0.9442 - 0.0007*$B29 - dis_BMI*($C29-21.75)))*AQ29</f>
        <v>1.20584686494698E-4</v>
      </c>
      <c r="BV29">
        <f>0.962*(0.9442 - 0.0007*$B29 - dis_BMI*($C29-21.75))*AR29</f>
        <v>0.27091526479562816</v>
      </c>
      <c r="BW29">
        <f>0.962*0.959*(0.9442 - 0.0007*$B29 - dis_BMI*($C29-21.75))*AS29</f>
        <v>7.5719623970773337E-2</v>
      </c>
      <c r="BX29">
        <f>0.962*(0.943*(0.9442 - 0.0007*$B29 - dis_BMI*($C29-21.75)) - 0.19*0.5)*AT29</f>
        <v>4.8527571608656108E-3</v>
      </c>
      <c r="BY29">
        <f>0.962*(0.943*(0.9442 - 0.0007*$B29 - dis_BMI*($C29-21.75)))*AU29</f>
        <v>2.2249341234815659E-2</v>
      </c>
      <c r="BZ29">
        <f>0.962*(0.955*(0.9442 - 0.0007*$B29 - dis_BMI*($C29-21.75)) - 0.15*0.5)*AV29</f>
        <v>2.747190686408215E-3</v>
      </c>
      <c r="CA29">
        <f>0.962*(0.955*(0.9442 - 0.0007*$B29 - dis_BMI*($C29-21.75)))*AW29</f>
        <v>1.6028481030968315E-2</v>
      </c>
      <c r="CB29">
        <f>0.962*(0.955*0.943*(0.9442 - 0.0007*$B29 - dis_BMI*($C29-21.75)) - 0.19*0.5)*AX29</f>
        <v>2.3727220596315033E-4</v>
      </c>
      <c r="CC29">
        <f>0.962*(0.955*0.943*(0.9442 - 0.0007*$B29 - dis_BMI*($C29-21.75)) - 0.15*0.5)*AY29</f>
        <v>1.9984872331200177E-4</v>
      </c>
      <c r="CD29">
        <f>0.962*(0.955*0.943*(0.9442 - 0.0007*$B29 - dis_BMI*($C29-21.75)))*AZ29</f>
        <v>8.8194672161547049E-4</v>
      </c>
      <c r="CE29">
        <f>0.962*(0.93*(0.9442 - 0.0007*$B29 - dis_BMI*($C29-21.75)))*BA29</f>
        <v>1.207562015013573E-3</v>
      </c>
      <c r="CF29">
        <f>0.962*(0.93*(0.9442 - 0.0007*$B29 - dis_BMI*($C29-21.75)))*BB29</f>
        <v>1.2386354734903383E-2</v>
      </c>
      <c r="CG29">
        <f>0.962*(0.93*0.943*(0.9442 - 0.0007*$B29 - dis_BMI*($C29-21.75)))*BC29</f>
        <v>8.6048771736636036E-5</v>
      </c>
      <c r="CH29">
        <f>0.962*(0.93*0.943*(0.9442 - 0.0007*$B29 - dis_BMI*($C29-21.75))-0.19*0.5)*BD29</f>
        <v>1.5777179928425677E-4</v>
      </c>
      <c r="CI29">
        <f>0.962*(0.93*0.943*(0.9442 - 0.0007*$B29 - dis_BMI*($C29-21.75)))*BE29</f>
        <v>6.4572517825639737E-4</v>
      </c>
      <c r="CJ29">
        <f t="shared" si="18"/>
        <v>0</v>
      </c>
      <c r="CK29">
        <f t="shared" si="19"/>
        <v>0.58129433738454317</v>
      </c>
      <c r="CL29">
        <f>CK29/(1+r_)^A29</f>
        <v>0.2695431193350718</v>
      </c>
      <c r="CM29">
        <f>AD29*c_BN_2</f>
        <v>328.92880079904086</v>
      </c>
      <c r="CN29">
        <f>AE29*(c_Other+c_BN_2)</f>
        <v>461.45512117638151</v>
      </c>
      <c r="CO29">
        <f>AF29*(c_Stroke1+c_Stroke2+c_BN_2)</f>
        <v>48.192946164204564</v>
      </c>
      <c r="CP29">
        <f>AG29*(c_Stroke2 + c_BN_2)</f>
        <v>68.510372276182594</v>
      </c>
      <c r="CQ29">
        <f>AH29*(c_MI1+c_MI2 + c_BN_2)</f>
        <v>30.553589469132913</v>
      </c>
      <c r="CR29">
        <f>AI29*(c_MI2+c_BN_2)</f>
        <v>28.56638502369994</v>
      </c>
      <c r="CS29">
        <f>AJ29*(c_Stroke1+c_Stroke2+c_MI2+c_BN_2)</f>
        <v>1.704940553106439</v>
      </c>
      <c r="CT29">
        <f>AK29*(c_Stroke2+c_MI1+c_MI2+c_BN_2)</f>
        <v>1.8118190913924539</v>
      </c>
      <c r="CU29">
        <f>AL29*(c_Stroke2+c_MI2+c_BN_2)</f>
        <v>2.3836666215179463</v>
      </c>
      <c r="CV29">
        <f>AM29*(c_HF1+c_BN_2)</f>
        <v>11.935815052401169</v>
      </c>
      <c r="CW29">
        <f>AN29*(c_HF2+c_BN_2)</f>
        <v>81.709323362333464</v>
      </c>
      <c r="CX29">
        <f>AO29*(c_Stroke2+c_HF1+c_BN_2)</f>
        <v>0.69635571588262024</v>
      </c>
      <c r="CY29">
        <f>AP29*(c_Stroke1+c_Stroke2+c_HF2+c_BN_2)</f>
        <v>1.7712553275565233</v>
      </c>
      <c r="CZ29">
        <f>AQ29*(c_Stroke2+c_HF2+c_BN_2)</f>
        <v>3.9301792293312405</v>
      </c>
      <c r="DA29">
        <f>AR29*(c_DM+c_BN_2)</f>
        <v>4497.1209549452888</v>
      </c>
      <c r="DB29">
        <f>AS29*(c_Other+c_DM+c_BN_2)</f>
        <v>2694.9047240250625</v>
      </c>
      <c r="DC29">
        <f>AT29*(c_Stroke1+c_Stroke2+c_DM+c_BN_2)</f>
        <v>267.76162897175323</v>
      </c>
      <c r="DD29">
        <f>AU29*(c_Stroke2+c_DM+c_BN_2)</f>
        <v>579.95452055645853</v>
      </c>
      <c r="DE29">
        <f>AV29*(c_MI1+c_MI2+c_DM+c_BN_2)</f>
        <v>166.11931069518675</v>
      </c>
      <c r="DF29">
        <f>AW29*(c_MI2+c_DM+c_BN_2)</f>
        <v>342.83757408412362</v>
      </c>
      <c r="DG29">
        <f>AX29*(c_Stroke1+c_Stroke2+c_MI2+c_DM+c_BN_2)</f>
        <v>14.948546587191094</v>
      </c>
      <c r="DH29">
        <f>AY29*(c_Stroke2+c_MI1+c_MI2+c_DM+c_BN_2)</f>
        <v>14.858998783294465</v>
      </c>
      <c r="DI29">
        <f>AZ29*(c_Stroke2+c_MI2+c_DM+c_BN_2)</f>
        <v>27.820102978575548</v>
      </c>
      <c r="DJ29">
        <f>BA29*(c_HF1+c_DM+c_BN_2)</f>
        <v>64.646014336587612</v>
      </c>
      <c r="DK29">
        <f>BB29*(c_HF2+c_DM+c_BN_2)</f>
        <v>476.26744870095888</v>
      </c>
      <c r="DL29">
        <f>BC29*(c_Stroke2+c_HF1+c_DM+c_BN_2)</f>
        <v>5.6680550919425574</v>
      </c>
      <c r="DM29">
        <f>BD29*(c_Stroke1+c_Stroke2+c_HF2+c_DM+c_BN_2)</f>
        <v>13.409363159540105</v>
      </c>
      <c r="DN29">
        <f>BE29*(c_Stroke2+c_HF2+c_DM+c_BN_2)</f>
        <v>32.205671096322028</v>
      </c>
      <c r="DO29">
        <f t="shared" si="5"/>
        <v>0</v>
      </c>
      <c r="DP29">
        <f t="shared" si="38"/>
        <v>10270.673483874452</v>
      </c>
      <c r="DQ29">
        <f>DP29/(1+r_)^A29</f>
        <v>4762.4571417150391</v>
      </c>
    </row>
    <row r="30" spans="1:121" x14ac:dyDescent="0.3">
      <c r="A30">
        <v>27</v>
      </c>
      <c r="B30">
        <v>72</v>
      </c>
      <c r="C30">
        <f t="shared" si="39"/>
        <v>36.251999999999995</v>
      </c>
      <c r="D30">
        <f t="shared" si="1"/>
        <v>125</v>
      </c>
      <c r="E30">
        <f t="shared" si="40"/>
        <v>5.7</v>
      </c>
      <c r="F30">
        <v>1.686E-2</v>
      </c>
      <c r="G30">
        <v>2.496E-2</v>
      </c>
      <c r="H30">
        <f t="shared" si="3"/>
        <v>1.848E-2</v>
      </c>
      <c r="I30">
        <f t="shared" si="20"/>
        <v>4.7655426853004217E-2</v>
      </c>
      <c r="J30">
        <f t="shared" si="21"/>
        <v>0.25744531195266784</v>
      </c>
      <c r="K30">
        <f t="shared" si="22"/>
        <v>0.34089243010656245</v>
      </c>
      <c r="L30">
        <f t="shared" si="23"/>
        <v>0.13143366006704715</v>
      </c>
      <c r="M30">
        <f t="shared" si="24"/>
        <v>0.17909269304098419</v>
      </c>
      <c r="N30">
        <f t="shared" si="25"/>
        <v>0.54304953925840649</v>
      </c>
      <c r="O30">
        <f t="shared" si="26"/>
        <v>0.66932692505859492</v>
      </c>
      <c r="P30">
        <f t="shared" si="27"/>
        <v>0.31971171270431131</v>
      </c>
      <c r="Q30">
        <f t="shared" si="28"/>
        <v>0.41977417664415928</v>
      </c>
      <c r="R30">
        <f>IF(C30&lt;25, HT_f_low, IF(C30&lt;30, HT_f_mod, HT_f_high))</f>
        <v>0.42</v>
      </c>
      <c r="S30">
        <f>IF(C30&lt;25, HT_m_low, IF(C30&lt;30, HT_m_mod, HT_m_high))</f>
        <v>0.43099999999999999</v>
      </c>
      <c r="T30">
        <f>PREV_FEMALE*PREV_SMOKE*(1-$R30)*(1-EXP(-J30/10))+PREV_FEMALE*PREV_SMOKE*$R30*(1-EXP(-K30/10))+PREV_FEMALE*(1-PREV_SMOKE)*(1-$R30)*(1-EXP(-L30/10))+PREV_FEMALE*(1-PREV_SMOKE)*$R30*(1-EXP(-M30/10))+(1-PREV_FEMALE)*PREV_SMOKE*(1-$S30)*(1-EXP(-N30/10))+(1-PREV_FEMALE)*PREV_SMOKE*$S30*(1-EXP(-O30/10))+(1-PREV_FEMALE)*(1-PREV_SMOKE)*(1-$S30)*(1-EXP(-P30/10))+(1-PREV_FEMALE)*(1-PREV_SMOKE)*$S30*(1-EXP(-Q30/10))</f>
        <v>2.1084765234185787E-2</v>
      </c>
      <c r="U30">
        <f t="shared" si="29"/>
        <v>0.47680300533313558</v>
      </c>
      <c r="V30">
        <f t="shared" si="30"/>
        <v>0.59636102704013449</v>
      </c>
      <c r="W30">
        <f t="shared" si="31"/>
        <v>0.26410398704427673</v>
      </c>
      <c r="X30">
        <f t="shared" si="32"/>
        <v>0.34915498149178659</v>
      </c>
      <c r="Y30">
        <f t="shared" si="33"/>
        <v>0.73623610763940728</v>
      </c>
      <c r="Z30">
        <f t="shared" si="34"/>
        <v>0.84788091952346778</v>
      </c>
      <c r="AA30">
        <f t="shared" si="35"/>
        <v>0.48083958825118822</v>
      </c>
      <c r="AB30">
        <f t="shared" si="36"/>
        <v>0.60397347977500693</v>
      </c>
      <c r="AC30">
        <f>PREV_FEMALE*PREV_SMOKE*(1-$R30)*(1-EXP(-U30/10))+PREV_FEMALE*PREV_SMOKE*$R30*(1-EXP(-V30/10))+PREV_FEMALE*(1-PREV_SMOKE)*(1-$R30)*(1-EXP(-W30/10))+PREV_FEMALE*(1-PREV_SMOKE)*$R30*(1-EXP(-X30/10))+(1-PREV_FEMALE)*PREV_SMOKE*(1-$S30)*(1-EXP(-Y30/10))+(1-PREV_FEMALE)*PREV_SMOKE*$S30*(1-EXP(-Z30/10))+(1-PREV_FEMALE)*(1-PREV_SMOKE)*(1-$S30)*(1-EXP(-AA30/10))+(1-PREV_FEMALE)*(1-PREV_SMOKE)*$S30*(1-EXP(-AB30/10))</f>
        <v>3.6783245665686637E-2</v>
      </c>
      <c r="AD30">
        <f t="shared" si="37"/>
        <v>0.14367488666782655</v>
      </c>
      <c r="AE30">
        <f t="shared" si="6"/>
        <v>2.7314891075579443E-2</v>
      </c>
      <c r="AF30">
        <f t="shared" si="7"/>
        <v>1.7946313641699994E-3</v>
      </c>
      <c r="AG30">
        <f t="shared" si="8"/>
        <v>7.6480997026268406E-3</v>
      </c>
      <c r="AH30">
        <f>AD29*T29*p_MI*p_MI_rec_mid*(1-I29)+AE29*T29*p_MI*p_MI_rec_mid*(1-I29) + AH29*(PREV_FEMALE*p_recur_MI_F + (1-PREV_FEMALE)*p_recur_MI_M)*p_MI_rec_mid*(1-I29) + AI29*(PREV_FEMALE*p_recur_MI_F + (1-PREV_FEMALE)*p_recur_MI_M)*p_MI_rec_mid*(1-I29)</f>
        <v>9.4174726757272737E-4</v>
      </c>
      <c r="AI30">
        <f>AH29*(1-(PREV_FEMALE*p_recur_MI_F + (1-PREV_FEMALE)*p_recur_MI_M) - T29*p_Stroke - p_toHF_mid - H29*rr_MI)*(1-I29) + AI29*(1-(PREV_FEMALE*p_recur_MI_F + (1-PREV_FEMALE)*p_recur_MI_M) - T29*p_Stroke - p_toHF_mid - H29*rr_MI)*(1-I29)</f>
        <v>5.2936134889205681E-3</v>
      </c>
      <c r="AJ30">
        <f t="shared" si="11"/>
        <v>5.9161927138626585E-5</v>
      </c>
      <c r="AK30">
        <f>AF29*T29*p_MI*p_MI_rec_mid*(1-I29) + AG29*T29*p_MI*p_MI_rec_mid*(1-I29) + AJ29*(PREV_FEMALE*p_recur_MI_F + (1-PREV_FEMALE)*p_recur_MI_M)*p_MI_rec_mid*(1-I29) + AK29*(PREV_FEMALE*p_recur_MI_F + (1-PREV_FEMALE)*p_recur_MI_M)*p_MI_rec_mid*(1-I29) + AL29*(PREV_FEMALE*p_recur_MI_F + (1-PREV_FEMALE)*p_recur_MI_M)*p_MI_rec_mid*(1-I29)</f>
        <v>4.825559199139131E-5</v>
      </c>
      <c r="AL30">
        <f>AJ29*(1-p_recur_Stroke-(PREV_FEMALE*p_recur_MI_F + (1-PREV_FEMALE)*p_recur_MI_M) - p_toHF_mid - H29*rr_MI*rr_Stroke)*(1-I29) + AK29*(1-p_recur_Stroke-(PREV_FEMALE*p_recur_MI_F + (1-PREV_FEMALE)*p_recur_MI_M) - p_toHF_mid - H29*rr_MI*rr_Stroke)*(1-I29) + AL29*(1-p_recur_Stroke-(PREV_FEMALE*p_recur_MI_F + (1-PREV_FEMALE)*p_recur_MI_M) - p_toHF_mid - H29*rr_MI*rr_Stroke)*(1-I29)</f>
        <v>2.0159580184657693E-4</v>
      </c>
      <c r="AM30">
        <f>AD29*T29*p_MI*p_MI_HF_mid*(1-I29) + AE29*T29*p_MI*p_MI_HF_mid*(1-I29) + AH29*p_toHF_mid*(1-I29) + AH29*(PREV_FEMALE*p_recur_MI_F + (1-PREV_FEMALE)*p_recur_MI_M)*p_MI_HF_mid*(1-I29) + AI29*p_toHF_mid*(1-I29) + AI29*(PREV_FEMALE*p_recur_MI_F + (1-PREV_FEMALE)*p_recur_MI_M)*p_MI_HF_mid*(1-I29)</f>
        <v>3.9618736180776061E-4</v>
      </c>
      <c r="AN30">
        <f t="shared" si="15"/>
        <v>4.6010325337125782E-3</v>
      </c>
      <c r="AO30">
        <f>AF29*T29*p_MI*p_MI_HF_mid*(1-I29) + AG29*T29*p_MI*p_MI_HF_mid*(1-I29) + AJ29*(PREV_FEMALE*p_recur_MI_F + (1-PREV_FEMALE)*p_recur_MI_M)*p_MI_HF_mid*(1-I29) + AJ29*p_toHF_mid*(1-I29) + AK29*(PREV_FEMALE*p_recur_MI_F + (1-PREV_FEMALE)*p_recur_MI_M)*p_MI_HF_mid*(1-I29) + AK29*p_toHF_mid*(1-I29) + AL29*(PREV_FEMALE*p_recur_MI_F + (1-PREV_FEMALE)*p_recur_MI_M)*p_MI_HF_mid*(1-I29) + AL29*p_toHF_mid*(1-I29)</f>
        <v>1.9690002388401993E-5</v>
      </c>
      <c r="AP30">
        <f>AM29*T29*p_Stroke*p_Stroke_rec*(1-I29) + AN29*T29*p_Stroke*p_Stroke_rec*(1-I29) + AO29*(p_recur_Stroke*p_Stroke_rec)*(1-I29) + AP29*(p_recur_Stroke*p_Stroke_rec)*(1-I29) + AQ29*(p_recur_Stroke*p_Stroke_rec)*(1-I29)</f>
        <v>4.4270494766581554E-5</v>
      </c>
      <c r="AQ30">
        <f>AO29*(1-p_recur_Stroke-H29*rr_Stroke*rr_HF)*(1-I29) + AP29*(1-p_recur_Stroke-H29*rr_Stroke*rr_HF)*(1-I29) + AQ29*(1-p_recur_Stroke-H29*rr_Stroke*rr_HF)*(1-I29)</f>
        <v>1.6542053439235342E-4</v>
      </c>
      <c r="AR30">
        <f>AR29*(1-AC29-H29*rr_DM) + AD29*(1-T29-H29)*I29</f>
        <v>0.32076576645731913</v>
      </c>
      <c r="AS30">
        <f>AR29*AC29*p_Other + AD29*T29*p_Other*I29 + AE29*(1-T29*p_Stroke-T29*p_MI-H29*rr_Other)*I29 + AS29*(1-AC29*p_Stroke-AC29*p_MI-H29*rr_Other*rr_DM)</f>
        <v>9.9321331813119834E-2</v>
      </c>
      <c r="AT30">
        <f>AR29*AC29*p_Stroke*p_Stroke_rec + AD29*T29*p_Stroke*p_Stroke_rec*I29 + AE29*T29*p_Stroke*p_Stroke_rec*I29 + AF29*p_recur_Stroke*p_Stroke_rec*I29 + AG29*p_recur_Stroke*p_Stroke_rec*I29 + AS29*AC29*p_Stroke*p_Stroke_rec + AT29*p_recur_Stroke*p_Stroke_rec + AU29*p_recur_Stroke*p_Stroke_rec</f>
        <v>7.328110819058941E-3</v>
      </c>
      <c r="AU30">
        <f>AF29*(1-p_recur_Stroke-T29*p_MI-H29*rr_Stroke)*I29 + AG29*(1-p_recur_Stroke-T29*p_MI-H29*rr_Stroke)*I29 + AT29*(1-p_recur_Stroke-AC29*p_MI-H29*rr_Stroke*rr_DM) + AU29*(1-p_recur_Stroke-AC29*p_MI-H29*rr_Stroke*rr_DM)</f>
        <v>2.9465870317001566E-2</v>
      </c>
      <c r="AV30">
        <f>AR29*AC29*p_MI*p_MI_rec_mid + AD29*T29*p_MI*p_MI_rec_mid*I29 + AE29*T29*p_MI*p_MI_rec_mid*I29 +AH29*(PREV_FEMALE*p_recur_MI_F + (1-PREV_FEMALE)*p_recur_MI_M)*p_MI_rec_mid*I29 + AI29*(PREV_FEMALE*p_recur_MI_F + (1-PREV_FEMALE)*p_recur_MI_M)*p_MI_rec_mid*I29 + AS29*AC29*p_MI*p_MI_rec_mid + AV29*(PREV_FEMALE*p_recur_MI_F + (1-PREV_FEMALE)*p_recur_MI_M)*p_MI_rec_mid + AW29*(PREV_FEMALE*p_recur_MI_F + (1-PREV_FEMALE)*p_recur_MI_M)*p_MI_rec_mid</f>
        <v>3.9687309923308609E-3</v>
      </c>
      <c r="AW30">
        <f>AH29*(1-(PREV_FEMALE*p_recur_MI_F + (1-PREV_FEMALE)*p_recur_MI_M) - T29*p_Stroke - p_toHF_mid - H29*rr_MI)*I29 + AI29*(1-(PREV_FEMALE*p_recur_MI_F + (1-PREV_FEMALE)*p_recur_MI_M) - T29*p_Stroke - p_toHF_mid - H29*rr_MI)*I29 + AV29*(1-(PREV_FEMALE*p_recur_MI_F + (1-PREV_FEMALE)*p_recur_MI_M) - AC29*p_Stroke - p_toHF_mid - H29*rr_MI*rr_DM) + AW29*(1-(PREV_FEMALE*p_recur_MI_F + (1-PREV_FEMALE)*p_recur_MI_M) - AC29*p_Stroke - p_toHF_mid - H29*rr_MI*rr_DM)</f>
        <v>2.1154825367264502E-2</v>
      </c>
      <c r="AX30">
        <f>AH29*T29*p_Stroke*p_Stroke_rec*I29 + AI29*T29*p_Stroke*p_Stroke_rec*I29 + AJ29*p_recur_Stroke*p_Stroke_rec*I29 + AK29*p_recur_Stroke*p_Stroke_rec*I29 + AL29*p_recur_Stroke*p_Stroke_rec*I29 + AV29*AC29*p_Stroke*p_Stroke_rec + AW29*AC29*p_Stroke*p_Stroke_rec + AX29*p_recur_Stroke*p_Stroke_rec + AY29*p_recur_Stroke*p_Stroke_rec + AZ29*p_recur_Stroke*p_Stroke_rec</f>
        <v>3.9513256549335486E-4</v>
      </c>
      <c r="AY30">
        <f>AF29*T29*p_MI*p_MI_rec_mid*I29 + AG29*T29*p_MI*p_MI_rec_mid*I29 + AJ29*(PREV_FEMALE*p_recur_MI_F+(1-PREV_FEMALE)*p_recur_MI_M)*p_MI_rec_mid*I29 + AK29*(PREV_FEMALE*p_recur_MI_F+(1-PREV_FEMALE)*p_recur_MI_M)*p_MI_rec_mid*I29 + AL29*(PREV_FEMALE*p_recur_MI_F+(1-PREV_FEMALE)*p_recur_MI_M)*p_MI_rec_mid*I29 + AT29*AC29*p_MI*p_MI_rec_mid + AU29*AC29*p_MI*p_MI_rec_mid + AX29*(PREV_FEMALE*p_recur_MI_F+(1-PREV_FEMALE)*p_recur_MI_M)*p_MI_rec_mid + AY29*(PREV_FEMALE*p_recur_MI_F+(1-PREV_FEMALE)*p_recur_MI_M)*p_MI_rec_mid + AZ29*(PREV_FEMALE*p_recur_MI_F+(1-PREV_FEMALE)*p_recur_MI_M)*p_MI_rec_mid</f>
        <v>3.2187605329801782E-4</v>
      </c>
      <c r="AZ30">
        <f>AJ29*(1-p_recur_Stroke-(PREV_FEMALE*p_recur_MI_F + (1-PREV_FEMALE)*p_recur_MI_M) - p_toHF_mid - H29*rr_MI*rr_Stroke)*I29 + AK29*(1-p_recur_Stroke-(PREV_FEMALE*p_recur_MI_F + (1-PREV_FEMALE)*p_recur_MI_M) - p_toHF_mid - H29*rr_MI*rr_Stroke)*I29 + AL29*(1-p_recur_Stroke-(PREV_FEMALE*p_recur_MI_F + (1-PREV_FEMALE)*p_recur_MI_M) - p_toHF_mid - H29*rr_MI*rr_Stroke)*I29 + AX29*(1-p_recur_Stroke-(PREV_FEMALE*p_recur_MI_F + (1-PREV_FEMALE)*p_recur_MI_M) - p_toHF_mid - H29*rr_MI*rr_Stroke*rr_DM) + AY29*(1-p_recur_Stroke-(PREV_FEMALE*p_recur_MI_F + (1-PREV_FEMALE)*p_recur_MI_M) - p_toHF_mid - H29*rr_MI*rr_Stroke*rr_DM) + AZ29*(1-p_recur_Stroke-(PREV_FEMALE*p_recur_MI_F + (1-PREV_FEMALE)*p_recur_MI_M) - p_toHF_mid - H29*rr_MI*rr_Stroke*rr_DM)</f>
        <v>1.2627352053225047E-3</v>
      </c>
      <c r="BA30">
        <f>AR29*AC29*p_MI*p_MI_HF_mid + AD29*T29*p_MI*p_MI_HF_mid*I29 + AE29*T29*p_MI*p_MI_HF_mid*I29 + AH29*p_toHF_mid*I29 + AH29*(PREV_FEMALE*p_recur_MI_F + (1-PREV_FEMALE)*p_recur_MI_M)*p_MI_HF_mid*I29 + AI29*p_toHF_mid*I29 + AI29*(PREV_FEMALE*p_recur_MI_F + (1-PREV_FEMALE)*p_recur_MI_M)*p_MI_HF_mid*I29 + AS29*AC29*p_MI*p_MI_HF_mid + AV29*(PREV_FEMALE*p_recur_MI_F + (1-PREV_FEMALE)*p_recur_MI_M)*p_MI_HF_mid + AV29*p_toHF_mid + AW29*(PREV_FEMALE*p_recur_MI_F + (1-PREV_FEMALE)*p_recur_MI_M)*p_MI_HF_mid + AW29*p_toHF_mid</f>
        <v>1.6350982014209712E-3</v>
      </c>
      <c r="BB30">
        <f>AM29*(1-T29*p_Stroke - H29*rr_HF)*I29 + AN29*(1-T29*p_Stroke - H29*rr_HF)*I29 + BA29*(1-AC29*p_Stroke - H29*rr_HF*rr_DM) + BB29*(1-AC29*p_Stroke - H29*rr_HF*rr_DM)</f>
        <v>1.7326010087042959E-2</v>
      </c>
      <c r="BC30">
        <f>AF29*T29*p_MI*p_MI_HF_mid*I29 + AG29*T29*p_MI*p_MI_HF_mid*I29 + AJ29*(PREV_FEMALE*p_recur_MI_F + (1-PREV_FEMALE)*p_recur_MI_M)*p_MI_HF_mid*I29 + AJ29*p_toHF_mid*I29 + AK29*(PREV_FEMALE*p_recur_MI_F + (1-PREV_FEMALE)*p_recur_MI_M)*p_MI_HF_mid*I29 + AK29*p_toHF_mid*I29 + AL29*(PREV_FEMALE*p_recur_MI_F + (1-PREV_FEMALE)*p_recur_MI_M)*p_MI_HF_mid*I29 + AL29*p_toHF_mid*I29 + AT29*AC29*p_MI*p_MI_HF_mid + AU29*AC29*p_MI*p_MI_HF_mid + AX29*(PREV_FEMALE*p_recur_MI_F + (1-PREV_FEMALE)*p_recur_MI_M)*p_MI_HF_mid + AX29*p_toHF_mid + AY29*(PREV_FEMALE*p_recur_MI_F + (1-PREV_FEMALE)*p_recur_MI_M)*p_MI_HF_mid + AY29*p_toHF_mid + AZ29*(PREV_FEMALE*p_recur_MI_F + (1-PREV_FEMALE)*p_recur_MI_M)*p_MI_HF_mid + AZ29*p_toHF_mid</f>
        <v>1.2879617507100802E-4</v>
      </c>
      <c r="BD30">
        <f>AM29*T29*p_Stroke*p_Stroke_rec*I29 + AN29*T29*p_Stroke*p_Stroke_rec*I29 + AO29*(p_recur_Stroke*p_Stroke_rec)*I29 + AP29*(p_recur_Stroke*p_Stroke_rec)*I29 + AQ29*(p_recur_Stroke*p_Stroke_rec)*I29 + BA29*AC29*p_Stroke*p_Stroke_rec + BB29*AC29*p_Stroke*p_Stroke_rec + BC29*(p_recur_Stroke*p_Stroke_rec) + BD29*(p_recur_Stroke*p_Stroke_rec) + BE29*(p_recur_Stroke*p_Stroke_rec)</f>
        <v>2.789950841948729E-4</v>
      </c>
      <c r="BE30">
        <f>AO29*(1-p_recur_Stroke - H29*rr_Stroke*rr_HF)*I29 + AP29*(1-p_recur_Stroke-H29*rr_Stroke*rr_HF)*I29 + AQ29*(1-p_recur_Stroke-H29*rr_Stroke*rr_HF)*I29 + BC29*(1-p_recur_Stroke - H29*rr_Stroke*rr_HF*rr_DM) + BD29*(1-p_recur_Stroke-H29*rr_Stroke*rr_HF*rr_DM) + BE29*(1-p_recur_Stroke-H29*rr_Stroke*rr_HF*rr_DM)</f>
        <v>9.759520319074903E-4</v>
      </c>
      <c r="BF30">
        <f>AD29*H29 + AE29*H29*rr_Other + AF29*H29*rr_Stroke + AG29*H29*rr_Stroke + AH29*H29*rr_MI + AI29*H29*rr_MI + AJ29*H29*rr_Stroke*rr_MI + AK29*H29*rr_Stroke*rr_MI + AL29*H29*rr_Stroke*rr_MI + AM29*H29*rr_HF + AN29*H29*rr_HF + AO29*H29*rr_Stroke*rr_HF + AP29*H29*rr_Stroke*rr_HF + AR29*H29*rr_DM + AS29*H29*rr_DM*rr_Other + AT29*H29*rr_DM*rr_Stroke + AU29*H29*rr_DM*rr_Stroke + AV29*H29*rr_DM*rr_MI + AW29*H29*rr_DM*rr_MI + AX29*H29*rr_DM*rr_Stroke*rr_MI + AY29*H29*rr_DM*rr_Stroke*rr_MI + AZ29*H29*rr_DM*rr_Stroke*rr_MI + BA29*H29*rr_DM*rr_HF + BB29*H29*rr_DM*rr_HF + BC29*H29*rr_DM*rr_Stroke*rr_HF + BD29*H29*rr_DM*rr_Stroke*rr_HF + AQ29*H29*rr_Stroke*rr_HF + BE29*H29*rr_DM*rr_Stroke*rr_HF
+ AD29*T29*p_MI*p_MI_mort + AD29*T29*p_Stroke*p_Stroke_mort + AE29*T29*p_MI*p_MI_mort + AE29*T29*p_Stroke*p_Stroke_mort + AF29*T29*p_MI*p_MI_mort + AF29*p_recur_Stroke*p_Stroke_mort + AG29*T29*p_MI*p_MI_mort + AG29*p_recur_Stroke*p_Stroke_mort + AH29*(PREV_FEMALE*p_recur_MI_F + (1-PREV_FEMALE)*p_recur_MI_M)*p_MI_mort + AH29*T29*p_Stroke*p_Stroke_mort + AI29*(PREV_FEMALE*p_recur_MI_F + (1-PREV_FEMALE)*p_recur_MI_M)*p_MI_mort + AI29*T29*p_Stroke*p_Stroke_mort + AJ29*(PREV_FEMALE*p_recur_MI_F + (1-PREV_FEMALE)*p_recur_MI_M)*p_MI_mort + AJ29*p_recur_Stroke*p_Stroke_mort + AK29*(PREV_FEMALE*p_recur_MI_F + (1-PREV_FEMALE)*p_recur_MI_M)*p_MI_mort + AK29*p_recur_Stroke*p_Stroke_mort + AL29*(PREV_FEMALE*p_recur_MI_F + (1-PREV_FEMALE)*p_recur_MI_M)*p_MI_mort + AL29*p_recur_Stroke*p_Stroke_mort + AM29*T29*p_Stroke*p_Stroke_mort + AN29*T29*p_Stroke*p_Stroke_mort + AO29*p_recur_Stroke*p_Stroke_mort + AP29*p_recur_Stroke*p_Stroke_mort + AQ29*p_recur_Stroke*p_Stroke_mort
+ AR29*AC29*p_MI*p_MI_mort + AR29*AC29*p_Stroke*p_Stroke_mort + AS29*AC29*p_MI*p_MI_mort + AS29*AC29*p_Stroke*p_Stroke_mort + AT29*AC29*p_MI*p_MI_mort + AT29*p_recur_Stroke*p_Stroke_mort + AU29*AC29*p_MI*p_MI_mort + AU29*p_recur_Stroke*p_Stroke_mort + AV29*(PREV_FEMALE*p_recur_MI_F + (1-PREV_FEMALE)*p_recur_MI_M)*p_MI_mort + AV29*AC29*p_Stroke*p_Stroke_mort + AW29*(PREV_FEMALE*p_recur_MI_F + (1-PREV_FEMALE)*p_recur_MI_M)*p_MI_mort + AW29*AC29*p_Stroke*p_Stroke_mort + AX29*(PREV_FEMALE*p_recur_MI_F + (1-PREV_FEMALE)*p_recur_MI_M)*p_MI_mort + AX29*p_recur_Stroke*p_Stroke_mort + AY29*(PREV_FEMALE*p_recur_MI_F + (1-PREV_FEMALE)*p_recur_MI_M)*p_MI_mort + AY29*p_recur_Stroke*p_Stroke_mort + AZ29*(PREV_FEMALE*p_recur_MI_F + (1-PREV_FEMALE)*p_recur_MI_M)*p_MI_mort + AZ29*p_recur_Stroke*p_Stroke_mort + BA29*AC29*p_Stroke*p_Stroke_mort + BB29*AC29*p_Stroke*p_Stroke_mort + BC29*p_recur_Stroke*p_Stroke_mort + BD29*p_recur_Stroke*p_Stroke_mort + BE29*p_recur_Stroke*p_Stroke_mort
+BF29</f>
        <v>0.25046728501541382</v>
      </c>
      <c r="BG30">
        <f t="shared" si="17"/>
        <v>0.94700000000000017</v>
      </c>
      <c r="BH30">
        <f>(0.9442 - 0.0007*$B30 - dis_BMI*($C30-21.75))*AD30</f>
        <v>0.12154082212239586</v>
      </c>
      <c r="BI30">
        <f>0.959*(0.9442 - 0.0007*$B30 - dis_BMI*($C30-21.75))*AE30</f>
        <v>2.2159470902194011E-2</v>
      </c>
      <c r="BJ30">
        <f>(0.943*(0.9442 - 0.0007*$B30 - dis_BMI*($C30-21.75)) - 0.19*0.5)*AF30</f>
        <v>1.2611316545531588E-3</v>
      </c>
      <c r="BK30">
        <f>(0.943*(0.9442 - 0.0007*$B30 - dis_BMI*($C30-21.75)))*AG30</f>
        <v>6.1010774764183274E-3</v>
      </c>
      <c r="BL30">
        <f>(0.955*(0.9442 - 0.0007*$B30 - dis_BMI*($C30-21.75)) - 0.15*0.5)*AH30</f>
        <v>6.9018392055702495E-4</v>
      </c>
      <c r="BM30">
        <f>(0.955*(0.9442 - 0.0007*$B30 - dis_BMI*($C30-21.75)))*AI30</f>
        <v>4.2765830104136782E-3</v>
      </c>
      <c r="BN30">
        <f>(0.955*0.943*(0.9442 - 0.0007*$B30 - dis_BMI*($C30-21.75)) - 0.19*0.5)*AJ30</f>
        <v>3.9450771454226038E-5</v>
      </c>
      <c r="BO30">
        <f>(0.955*0.943*(0.9442 - 0.0007*$B30 - dis_BMI*($C30-21.75)) - 0.15*0.5)*AK30</f>
        <v>3.3143244350285344E-5</v>
      </c>
      <c r="BP30">
        <f>(0.955*0.943*(0.9442 - 0.0007*$B30 - dis_BMI*($C30-21.75)))*AL30</f>
        <v>1.535811285663301E-4</v>
      </c>
      <c r="BQ30">
        <f>(0.93*(0.9442 - 0.0007*$B30 - dis_BMI*($C30-21.75)))*AM30</f>
        <v>3.1169143801275905E-4</v>
      </c>
      <c r="BR30">
        <f>(0.93*(0.9442 - 0.0007*$B30 - dis_BMI*($C30-21.75)))*AN30</f>
        <v>3.6197581877238727E-3</v>
      </c>
      <c r="BS30">
        <f>(0.93*0.943*(0.9442 - 0.0007*$B30 - dis_BMI*($C30-21.75)))*AO30</f>
        <v>1.4607695809503533E-5</v>
      </c>
      <c r="BT30">
        <f>(0.93*0.943*(0.9442 - 0.0007*$B30 - dis_BMI*($C30-21.75))-0.19*0.5)*AP30</f>
        <v>2.8637870414279861E-5</v>
      </c>
      <c r="BU30">
        <f>(0.93*0.943*(0.9442 - 0.0007*$B30 - dis_BMI*($C30-21.75)))*AQ30</f>
        <v>1.2272283158646827E-4</v>
      </c>
      <c r="BV30">
        <f>0.962*(0.9442 - 0.0007*$B30 - dis_BMI*($C30-21.75))*AR30</f>
        <v>0.26103839512345106</v>
      </c>
      <c r="BW30">
        <f>0.962*0.959*(0.9442 - 0.0007*$B30 - dis_BMI*($C30-21.75))*AS30</f>
        <v>7.751353085227089E-2</v>
      </c>
      <c r="BX30">
        <f>0.962*(0.943*(0.9442 - 0.0007*$B30 - dis_BMI*($C30-21.75)) - 0.19*0.5)*AT30</f>
        <v>4.9539574665045053E-3</v>
      </c>
      <c r="BY30">
        <f>0.962*(0.943*(0.9442 - 0.0007*$B30 - dis_BMI*($C30-21.75)))*AU30</f>
        <v>2.2612435669684811E-2</v>
      </c>
      <c r="BZ30">
        <f>0.962*(0.955*(0.9442 - 0.0007*$B30 - dis_BMI*($C30-21.75)) - 0.15*0.5)*AV30</f>
        <v>2.798061159985806E-3</v>
      </c>
      <c r="CA30">
        <f>0.962*(0.955*(0.9442 - 0.0007*$B30 - dis_BMI*($C30-21.75)))*AW30</f>
        <v>1.6441036543264891E-2</v>
      </c>
      <c r="CB30">
        <f>0.962*(0.955*0.943*(0.9442 - 0.0007*$B30 - dis_BMI*($C30-21.75)) - 0.19*0.5)*AX30</f>
        <v>2.5347263769682625E-4</v>
      </c>
      <c r="CC30">
        <f>0.962*(0.955*0.943*(0.9442 - 0.0007*$B30 - dis_BMI*($C30-21.75)) - 0.15*0.5)*AY30</f>
        <v>2.1267238940440229E-4</v>
      </c>
      <c r="CD30">
        <f>0.962*(0.955*0.943*(0.9442 - 0.0007*$B30 - dis_BMI*($C30-21.75)))*AZ30</f>
        <v>9.2543033577218163E-4</v>
      </c>
      <c r="CE30">
        <f>0.962*(0.93*(0.9442 - 0.0007*$B30 - dis_BMI*($C30-21.75)))*BA30</f>
        <v>1.2374941878195004E-3</v>
      </c>
      <c r="CF30">
        <f>0.962*(0.93*(0.9442 - 0.0007*$B30 - dis_BMI*($C30-21.75)))*BB30</f>
        <v>1.3112874053793638E-2</v>
      </c>
      <c r="CG30">
        <f>0.962*(0.93*0.943*(0.9442 - 0.0007*$B30 - dis_BMI*($C30-21.75)))*BC30</f>
        <v>9.19208402305772E-5</v>
      </c>
      <c r="CH30">
        <f>0.962*(0.93*0.943*(0.9442 - 0.0007*$B30 - dis_BMI*($C30-21.75))-0.19*0.5)*BD30</f>
        <v>1.7361928651032357E-4</v>
      </c>
      <c r="CI30">
        <f>0.962*(0.93*0.943*(0.9442 - 0.0007*$B30 - dis_BMI*($C30-21.75)))*BE30</f>
        <v>6.9652946407932086E-4</v>
      </c>
      <c r="CJ30">
        <f t="shared" si="18"/>
        <v>0</v>
      </c>
      <c r="CK30">
        <f t="shared" si="19"/>
        <v>0.56241429226491846</v>
      </c>
      <c r="CL30">
        <f>CK30/(1+r_)^A30</f>
        <v>0.25319275918378714</v>
      </c>
      <c r="CM30">
        <f>AD30*c_BN_2</f>
        <v>300.99888756909661</v>
      </c>
      <c r="CN30">
        <f>AE30*(c_Other+c_BN_2)</f>
        <v>447.25402647153777</v>
      </c>
      <c r="CO30">
        <f>AF30*(c_Stroke1+c_Stroke2+c_BN_2)</f>
        <v>46.500693277008857</v>
      </c>
      <c r="CP30">
        <f>AG30*(c_Stroke2 + c_BN_2)</f>
        <v>65.735416944077699</v>
      </c>
      <c r="CQ30">
        <f>AH30*(c_MI1+c_MI2 + c_BN_2)</f>
        <v>29.425835122577439</v>
      </c>
      <c r="CR30">
        <f>AI30*(c_MI2+c_BN_2)</f>
        <v>27.590313504254002</v>
      </c>
      <c r="CS30">
        <f>AJ30*(c_Stroke1+c_Stroke2+c_MI2+c_BN_2)</f>
        <v>1.7173524209800526</v>
      </c>
      <c r="CT30">
        <f>AK30*(c_Stroke2+c_MI1+c_MI2+c_BN_2)</f>
        <v>1.8214555753070565</v>
      </c>
      <c r="CU30">
        <f>AL30*(c_Stroke2+c_MI2+c_BN_2)</f>
        <v>2.3610900312271088</v>
      </c>
      <c r="CV30">
        <f>AM30*(c_HF1+c_BN_2)</f>
        <v>11.538956912651027</v>
      </c>
      <c r="CW30">
        <f>AN30*(c_HF2+c_BN_2)</f>
        <v>81.438275846712628</v>
      </c>
      <c r="CX30">
        <f>AO30*(c_Stroke2+c_HF1+c_BN_2)</f>
        <v>0.70145633508682104</v>
      </c>
      <c r="CY30">
        <f>AP30*(c_Stroke1+c_Stroke2+c_HF2+c_BN_2)</f>
        <v>1.8379338607293998</v>
      </c>
      <c r="CZ30">
        <f>AQ30*(c_Stroke2+c_HF2+c_BN_2)</f>
        <v>4.0031769322949531</v>
      </c>
      <c r="DA30">
        <f>AR30*(c_DM+c_BN_2)</f>
        <v>4336.7531625029551</v>
      </c>
      <c r="DB30">
        <f>AS30*(c_Other+c_DM+c_BN_2)</f>
        <v>2761.0337030729183</v>
      </c>
      <c r="DC30">
        <f>AT30*(c_Stroke1+c_Stroke2+c_DM+c_BN_2)</f>
        <v>273.60234554038465</v>
      </c>
      <c r="DD30">
        <f>AU30*(c_Stroke2+c_DM+c_BN_2)</f>
        <v>589.90672374637131</v>
      </c>
      <c r="DE30">
        <f>AV30*(c_MI1+c_MI2+c_DM+c_BN_2)</f>
        <v>169.34972017375017</v>
      </c>
      <c r="DF30">
        <f>AW30*(c_MI2+c_DM+c_BN_2)</f>
        <v>351.95282963517951</v>
      </c>
      <c r="DG30">
        <f>AX30*(c_Stroke1+c_Stroke2+c_MI2+c_DM+c_BN_2)</f>
        <v>15.984297671902684</v>
      </c>
      <c r="DH30">
        <f>AY30*(c_Stroke2+c_MI1+c_MI2+c_DM+c_BN_2)</f>
        <v>15.826967416716835</v>
      </c>
      <c r="DI30">
        <f>AZ30*(c_Stroke2+c_MI2+c_DM+c_BN_2)</f>
        <v>29.215904445546791</v>
      </c>
      <c r="DJ30">
        <f>BA30*(c_HF1+c_DM+c_BN_2)</f>
        <v>66.303232067620385</v>
      </c>
      <c r="DK30">
        <f>BB30*(c_HF2+c_DM+c_BN_2)</f>
        <v>504.6200437851262</v>
      </c>
      <c r="DL30">
        <f>BC30*(c_Stroke2+c_HF1+c_DM+c_BN_2)</f>
        <v>6.0598600370909272</v>
      </c>
      <c r="DM30">
        <f>BD30*(c_Stroke1+c_Stroke2+c_HF2+c_DM+c_BN_2)</f>
        <v>14.770278752360767</v>
      </c>
      <c r="DN30">
        <f>BE30*(c_Stroke2+c_HF2+c_DM+c_BN_2)</f>
        <v>34.768291136704342</v>
      </c>
      <c r="DO30">
        <f t="shared" si="5"/>
        <v>0</v>
      </c>
      <c r="DP30">
        <f t="shared" si="38"/>
        <v>10193.072230788172</v>
      </c>
      <c r="DQ30">
        <f>DP30/(1+r_)^A30</f>
        <v>4588.8095629284571</v>
      </c>
    </row>
    <row r="31" spans="1:121" x14ac:dyDescent="0.3">
      <c r="A31">
        <v>28</v>
      </c>
      <c r="B31">
        <v>73</v>
      </c>
      <c r="C31">
        <f t="shared" si="39"/>
        <v>36.251999999999995</v>
      </c>
      <c r="D31">
        <f t="shared" si="1"/>
        <v>125</v>
      </c>
      <c r="E31">
        <f t="shared" si="40"/>
        <v>5.7</v>
      </c>
      <c r="F31">
        <v>1.9539999999999998E-2</v>
      </c>
      <c r="G31">
        <v>2.8670000000000001E-2</v>
      </c>
      <c r="H31">
        <f t="shared" si="3"/>
        <v>2.1366E-2</v>
      </c>
      <c r="I31">
        <f t="shared" si="20"/>
        <v>4.7655426853004217E-2</v>
      </c>
      <c r="J31">
        <f t="shared" si="21"/>
        <v>0.26585077392127532</v>
      </c>
      <c r="K31">
        <f t="shared" si="22"/>
        <v>0.35131757513469419</v>
      </c>
      <c r="L31">
        <f t="shared" si="23"/>
        <v>0.13610200885638923</v>
      </c>
      <c r="M31">
        <f t="shared" si="24"/>
        <v>0.1852652725014764</v>
      </c>
      <c r="N31">
        <f t="shared" si="25"/>
        <v>0.55848416776495446</v>
      </c>
      <c r="O31">
        <f t="shared" si="26"/>
        <v>0.68499820466996875</v>
      </c>
      <c r="P31">
        <f t="shared" si="27"/>
        <v>0.33111324300103739</v>
      </c>
      <c r="Q31">
        <f t="shared" si="28"/>
        <v>0.43346707431906151</v>
      </c>
      <c r="R31">
        <f>IF(C31&lt;25, HT_f_low, IF(C31&lt;30, HT_f_mod, HT_f_high))</f>
        <v>0.42</v>
      </c>
      <c r="S31">
        <f>IF(C31&lt;25, HT_m_low, IF(C31&lt;30, HT_m_mod, HT_m_high))</f>
        <v>0.43099999999999999</v>
      </c>
      <c r="T31">
        <f>PREV_FEMALE*PREV_SMOKE*(1-$R31)*(1-EXP(-J31/10))+PREV_FEMALE*PREV_SMOKE*$R31*(1-EXP(-K31/10))+PREV_FEMALE*(1-PREV_SMOKE)*(1-$R31)*(1-EXP(-L31/10))+PREV_FEMALE*(1-PREV_SMOKE)*$R31*(1-EXP(-M31/10))+(1-PREV_FEMALE)*PREV_SMOKE*(1-$S31)*(1-EXP(-N31/10))+(1-PREV_FEMALE)*PREV_SMOKE*$S31*(1-EXP(-O31/10))+(1-PREV_FEMALE)*(1-PREV_SMOKE)*(1-$S31)*(1-EXP(-P31/10))+(1-PREV_FEMALE)*(1-PREV_SMOKE)*$S31*(1-EXP(-Q31/10))</f>
        <v>2.1785188623357637E-2</v>
      </c>
      <c r="U31">
        <f t="shared" si="29"/>
        <v>0.48960623900262334</v>
      </c>
      <c r="V31">
        <f t="shared" si="30"/>
        <v>0.61012627453023272</v>
      </c>
      <c r="W31">
        <f t="shared" si="31"/>
        <v>0.27268468352373221</v>
      </c>
      <c r="X31">
        <f t="shared" si="32"/>
        <v>0.35975841497207428</v>
      </c>
      <c r="Y31">
        <f t="shared" si="33"/>
        <v>0.75121633912679431</v>
      </c>
      <c r="Z31">
        <f t="shared" si="34"/>
        <v>0.85994359547640264</v>
      </c>
      <c r="AA31">
        <f t="shared" si="35"/>
        <v>0.49555855286914929</v>
      </c>
      <c r="AB31">
        <f t="shared" si="36"/>
        <v>0.61974502894726313</v>
      </c>
      <c r="AC31">
        <f>PREV_FEMALE*PREV_SMOKE*(1-$R31)*(1-EXP(-U31/10))+PREV_FEMALE*PREV_SMOKE*$R31*(1-EXP(-V31/10))+PREV_FEMALE*(1-PREV_SMOKE)*(1-$R31)*(1-EXP(-W31/10))+PREV_FEMALE*(1-PREV_SMOKE)*$R31*(1-EXP(-X31/10))+(1-PREV_FEMALE)*PREV_SMOKE*(1-$S31)*(1-EXP(-Y31/10))+(1-PREV_FEMALE)*PREV_SMOKE*$S31*(1-EXP(-Z31/10))+(1-PREV_FEMALE)*(1-PREV_SMOKE)*(1-$S31)*(1-EXP(-AA31/10))+(1-PREV_FEMALE)*(1-PREV_SMOKE)*$S31*(1-EXP(-AB31/10))</f>
        <v>3.7831659251171233E-2</v>
      </c>
      <c r="AD31">
        <f t="shared" si="37"/>
        <v>0.13141443097292399</v>
      </c>
      <c r="AE31">
        <f t="shared" si="6"/>
        <v>2.6439738754962114E-2</v>
      </c>
      <c r="AF31">
        <f t="shared" si="7"/>
        <v>1.7193196693754066E-3</v>
      </c>
      <c r="AG31">
        <f t="shared" si="8"/>
        <v>7.3517302163732499E-3</v>
      </c>
      <c r="AH31">
        <f>AD30*T30*p_MI*p_MI_rec_mid*(1-I30)+AE30*T30*p_MI*p_MI_rec_mid*(1-I30) + AH30*(PREV_FEMALE*p_recur_MI_F + (1-PREV_FEMALE)*p_recur_MI_M)*p_MI_rec_mid*(1-I30) + AI30*(PREV_FEMALE*p_recur_MI_F + (1-PREV_FEMALE)*p_recur_MI_M)*p_MI_rec_mid*(1-I30)</f>
        <v>9.0275438250801547E-4</v>
      </c>
      <c r="AI31">
        <f>AH30*(1-(PREV_FEMALE*p_recur_MI_F + (1-PREV_FEMALE)*p_recur_MI_M) - T30*p_Stroke - p_toHF_mid - H30*rr_MI)*(1-I30) + AI30*(1-(PREV_FEMALE*p_recur_MI_F + (1-PREV_FEMALE)*p_recur_MI_M) - T30*p_Stroke - p_toHF_mid - H30*rr_MI)*(1-I30)</f>
        <v>5.1119222752881322E-3</v>
      </c>
      <c r="AJ31">
        <f t="shared" si="11"/>
        <v>5.8982850819622897E-5</v>
      </c>
      <c r="AK31">
        <f>AF30*T30*p_MI*p_MI_rec_mid*(1-I30) + AG30*T30*p_MI*p_MI_rec_mid*(1-I30) + AJ30*(PREV_FEMALE*p_recur_MI_F + (1-PREV_FEMALE)*p_recur_MI_M)*p_MI_rec_mid*(1-I30) + AK30*(PREV_FEMALE*p_recur_MI_F + (1-PREV_FEMALE)*p_recur_MI_M)*p_MI_rec_mid*(1-I30) + AL30*(PREV_FEMALE*p_recur_MI_F + (1-PREV_FEMALE)*p_recur_MI_M)*p_MI_rec_mid*(1-I30)</f>
        <v>4.7970914046704919E-5</v>
      </c>
      <c r="AL31">
        <f>AJ30*(1-p_recur_Stroke-(PREV_FEMALE*p_recur_MI_F + (1-PREV_FEMALE)*p_recur_MI_M) - p_toHF_mid - H30*rr_MI*rr_Stroke)*(1-I30) + AK30*(1-p_recur_Stroke-(PREV_FEMALE*p_recur_MI_F + (1-PREV_FEMALE)*p_recur_MI_M) - p_toHF_mid - H30*rr_MI*rr_Stroke)*(1-I30) + AL30*(1-p_recur_Stroke-(PREV_FEMALE*p_recur_MI_F + (1-PREV_FEMALE)*p_recur_MI_M) - p_toHF_mid - H30*rr_MI*rr_Stroke)*(1-I30)</f>
        <v>2.0114792429443807E-4</v>
      </c>
      <c r="AM31">
        <f>AD30*T30*p_MI*p_MI_HF_mid*(1-I30) + AE30*T30*p_MI*p_MI_HF_mid*(1-I30) + AH30*p_toHF_mid*(1-I30) + AH30*(PREV_FEMALE*p_recur_MI_F + (1-PREV_FEMALE)*p_recur_MI_M)*p_MI_HF_mid*(1-I30) + AI30*p_toHF_mid*(1-I30) + AI30*(PREV_FEMALE*p_recur_MI_F + (1-PREV_FEMALE)*p_recur_MI_M)*p_MI_HF_mid*(1-I30)</f>
        <v>3.810839386891982E-4</v>
      </c>
      <c r="AN31">
        <f t="shared" si="15"/>
        <v>4.5759312986502479E-3</v>
      </c>
      <c r="AO31">
        <f>AF30*T30*p_MI*p_MI_HF_mid*(1-I30) + AG30*T30*p_MI*p_MI_HF_mid*(1-I30) + AJ30*(PREV_FEMALE*p_recur_MI_F + (1-PREV_FEMALE)*p_recur_MI_M)*p_MI_HF_mid*(1-I30) + AJ30*p_toHF_mid*(1-I30) + AK30*(PREV_FEMALE*p_recur_MI_F + (1-PREV_FEMALE)*p_recur_MI_M)*p_MI_HF_mid*(1-I30) + AK30*p_toHF_mid*(1-I30) + AL30*(PREV_FEMALE*p_recur_MI_F + (1-PREV_FEMALE)*p_recur_MI_M)*p_MI_HF_mid*(1-I30) + AL30*p_toHF_mid*(1-I30)</f>
        <v>1.959113106172666E-5</v>
      </c>
      <c r="AP31">
        <f>AM30*T30*p_Stroke*p_Stroke_rec*(1-I30) + AN30*T30*p_Stroke*p_Stroke_rec*(1-I30) + AO30*(p_recur_Stroke*p_Stroke_rec)*(1-I30) + AP30*(p_recur_Stroke*p_Stroke_rec)*(1-I30) + AQ30*(p_recur_Stroke*p_Stroke_rec)*(1-I30)</f>
        <v>4.5349642862606588E-5</v>
      </c>
      <c r="AQ31">
        <f>AO30*(1-p_recur_Stroke-H30*rr_Stroke*rr_HF)*(1-I30) + AP30*(1-p_recur_Stroke-H30*rr_Stroke*rr_HF)*(1-I30) + AQ30*(1-p_recur_Stroke-H30*rr_Stroke*rr_HF)*(1-I30)</f>
        <v>1.6923890645748819E-4</v>
      </c>
      <c r="AR31">
        <f>AR30*(1-AC30-H30*rr_DM) + AD30*(1-T30-H30)*I30</f>
        <v>0.30872603893366807</v>
      </c>
      <c r="AS31">
        <f>AR30*AC30*p_Other + AD30*T30*p_Other*I30 + AE30*(1-T30*p_Stroke-T30*p_MI-H30*rr_Other)*I30 + AS30*(1-AC30*p_Stroke-AC30*p_MI-H30*rr_Other*rr_DM)</f>
        <v>0.1014792339134325</v>
      </c>
      <c r="AT31">
        <f>AR30*AC30*p_Stroke*p_Stroke_rec + AD30*T30*p_Stroke*p_Stroke_rec*I30 + AE30*T30*p_Stroke*p_Stroke_rec*I30 + AF30*p_recur_Stroke*p_Stroke_rec*I30 + AG30*p_recur_Stroke*p_Stroke_rec*I30 + AS30*AC30*p_Stroke*p_Stroke_rec + AT30*p_recur_Stroke*p_Stroke_rec + AU30*p_recur_Stroke*p_Stroke_rec</f>
        <v>7.4177689859773639E-3</v>
      </c>
      <c r="AU31">
        <f>AF30*(1-p_recur_Stroke-T30*p_MI-H30*rr_Stroke)*I30 + AG30*(1-p_recur_Stroke-T30*p_MI-H30*rr_Stroke)*I30 + AT30*(1-p_recur_Stroke-AC30*p_MI-H30*rr_Stroke*rr_DM) + AU30*(1-p_recur_Stroke-AC30*p_MI-H30*rr_Stroke*rr_DM)</f>
        <v>3.0001346334779942E-2</v>
      </c>
      <c r="AV31">
        <f>AR30*AC30*p_MI*p_MI_rec_mid + AD30*T30*p_MI*p_MI_rec_mid*I30 + AE30*T30*p_MI*p_MI_rec_mid*I30 +AH30*(PREV_FEMALE*p_recur_MI_F + (1-PREV_FEMALE)*p_recur_MI_M)*p_MI_rec_mid*I30 + AI30*(PREV_FEMALE*p_recur_MI_F + (1-PREV_FEMALE)*p_recur_MI_M)*p_MI_rec_mid*I30 + AS30*AC30*p_MI*p_MI_rec_mid + AV30*(PREV_FEMALE*p_recur_MI_F + (1-PREV_FEMALE)*p_recur_MI_M)*p_MI_rec_mid + AW30*(PREV_FEMALE*p_recur_MI_F + (1-PREV_FEMALE)*p_recur_MI_M)*p_MI_rec_mid</f>
        <v>4.018381005223076E-3</v>
      </c>
      <c r="AW31">
        <f>AH30*(1-(PREV_FEMALE*p_recur_MI_F + (1-PREV_FEMALE)*p_recur_MI_M) - T30*p_Stroke - p_toHF_mid - H30*rr_MI)*I30 + AI30*(1-(PREV_FEMALE*p_recur_MI_F + (1-PREV_FEMALE)*p_recur_MI_M) - T30*p_Stroke - p_toHF_mid - H30*rr_MI)*I30 + AV30*(1-(PREV_FEMALE*p_recur_MI_F + (1-PREV_FEMALE)*p_recur_MI_M) - AC30*p_Stroke - p_toHF_mid - H30*rr_MI*rr_DM) + AW30*(1-(PREV_FEMALE*p_recur_MI_F + (1-PREV_FEMALE)*p_recur_MI_M) - AC30*p_Stroke - p_toHF_mid - H30*rr_MI*rr_DM)</f>
        <v>2.168271997462318E-2</v>
      </c>
      <c r="AX31">
        <f>AH30*T30*p_Stroke*p_Stroke_rec*I30 + AI30*T30*p_Stroke*p_Stroke_rec*I30 + AJ30*p_recur_Stroke*p_Stroke_rec*I30 + AK30*p_recur_Stroke*p_Stroke_rec*I30 + AL30*p_recur_Stroke*p_Stroke_rec*I30 + AV30*AC30*p_Stroke*p_Stroke_rec + AW30*AC30*p_Stroke*p_Stroke_rec + AX30*p_recur_Stroke*p_Stroke_rec + AY30*p_recur_Stroke*p_Stroke_rec + AZ30*p_recur_Stroke*p_Stroke_rec</f>
        <v>4.1706027658668587E-4</v>
      </c>
      <c r="AY31">
        <f>AF30*T30*p_MI*p_MI_rec_mid*I30 + AG30*T30*p_MI*p_MI_rec_mid*I30 + AJ30*(PREV_FEMALE*p_recur_MI_F+(1-PREV_FEMALE)*p_recur_MI_M)*p_MI_rec_mid*I30 + AK30*(PREV_FEMALE*p_recur_MI_F+(1-PREV_FEMALE)*p_recur_MI_M)*p_MI_rec_mid*I30 + AL30*(PREV_FEMALE*p_recur_MI_F+(1-PREV_FEMALE)*p_recur_MI_M)*p_MI_rec_mid*I30 + AT30*AC30*p_MI*p_MI_rec_mid + AU30*AC30*p_MI*p_MI_rec_mid + AX30*(PREV_FEMALE*p_recur_MI_F+(1-PREV_FEMALE)*p_recur_MI_M)*p_MI_rec_mid + AY30*(PREV_FEMALE*p_recur_MI_F+(1-PREV_FEMALE)*p_recur_MI_M)*p_MI_rec_mid + AZ30*(PREV_FEMALE*p_recur_MI_F+(1-PREV_FEMALE)*p_recur_MI_M)*p_MI_rec_mid</f>
        <v>3.3804719743483081E-4</v>
      </c>
      <c r="AZ31">
        <f>AJ30*(1-p_recur_Stroke-(PREV_FEMALE*p_recur_MI_F + (1-PREV_FEMALE)*p_recur_MI_M) - p_toHF_mid - H30*rr_MI*rr_Stroke)*I30 + AK30*(1-p_recur_Stroke-(PREV_FEMALE*p_recur_MI_F + (1-PREV_FEMALE)*p_recur_MI_M) - p_toHF_mid - H30*rr_MI*rr_Stroke)*I30 + AL30*(1-p_recur_Stroke-(PREV_FEMALE*p_recur_MI_F + (1-PREV_FEMALE)*p_recur_MI_M) - p_toHF_mid - H30*rr_MI*rr_Stroke)*I30 + AX30*(1-p_recur_Stroke-(PREV_FEMALE*p_recur_MI_F + (1-PREV_FEMALE)*p_recur_MI_M) - p_toHF_mid - H30*rr_MI*rr_Stroke*rr_DM) + AY30*(1-p_recur_Stroke-(PREV_FEMALE*p_recur_MI_F + (1-PREV_FEMALE)*p_recur_MI_M) - p_toHF_mid - H30*rr_MI*rr_Stroke*rr_DM) + AZ30*(1-p_recur_Stroke-(PREV_FEMALE*p_recur_MI_F + (1-PREV_FEMALE)*p_recur_MI_M) - p_toHF_mid - H30*rr_MI*rr_Stroke*rr_DM)</f>
        <v>1.3360985887005167E-3</v>
      </c>
      <c r="BA31">
        <f>AR30*AC30*p_MI*p_MI_HF_mid + AD30*T30*p_MI*p_MI_HF_mid*I30 + AE30*T30*p_MI*p_MI_HF_mid*I30 + AH30*p_toHF_mid*I30 + AH30*(PREV_FEMALE*p_recur_MI_F + (1-PREV_FEMALE)*p_recur_MI_M)*p_MI_HF_mid*I30 + AI30*p_toHF_mid*I30 + AI30*(PREV_FEMALE*p_recur_MI_F + (1-PREV_FEMALE)*p_recur_MI_M)*p_MI_HF_mid*I30 + AS30*AC30*p_MI*p_MI_HF_mid + AV30*(PREV_FEMALE*p_recur_MI_F + (1-PREV_FEMALE)*p_recur_MI_M)*p_MI_HF_mid + AV30*p_toHF_mid + AW30*(PREV_FEMALE*p_recur_MI_F + (1-PREV_FEMALE)*p_recur_MI_M)*p_MI_HF_mid + AW30*p_toHF_mid</f>
        <v>1.6649343244017165E-3</v>
      </c>
      <c r="BB31">
        <f>AM30*(1-T30*p_Stroke - H30*rr_HF)*I30 + AN30*(1-T30*p_Stroke - H30*rr_HF)*I30 + BA30*(1-AC30*p_Stroke - H30*rr_HF*rr_DM) + BB30*(1-AC30*p_Stroke - H30*rr_HF*rr_DM)</f>
        <v>1.8296284756870087E-2</v>
      </c>
      <c r="BC31">
        <f>AF30*T30*p_MI*p_MI_HF_mid*I30 + AG30*T30*p_MI*p_MI_HF_mid*I30 + AJ30*(PREV_FEMALE*p_recur_MI_F + (1-PREV_FEMALE)*p_recur_MI_M)*p_MI_HF_mid*I30 + AJ30*p_toHF_mid*I30 + AK30*(PREV_FEMALE*p_recur_MI_F + (1-PREV_FEMALE)*p_recur_MI_M)*p_MI_HF_mid*I30 + AK30*p_toHF_mid*I30 + AL30*(PREV_FEMALE*p_recur_MI_F + (1-PREV_FEMALE)*p_recur_MI_M)*p_MI_HF_mid*I30 + AL30*p_toHF_mid*I30 + AT30*AC30*p_MI*p_MI_HF_mid + AU30*AC30*p_MI*p_MI_HF_mid + AX30*(PREV_FEMALE*p_recur_MI_F + (1-PREV_FEMALE)*p_recur_MI_M)*p_MI_HF_mid + AX30*p_toHF_mid + AY30*(PREV_FEMALE*p_recur_MI_F + (1-PREV_FEMALE)*p_recur_MI_M)*p_MI_HF_mid + AY30*p_toHF_mid + AZ30*(PREV_FEMALE*p_recur_MI_F + (1-PREV_FEMALE)*p_recur_MI_M)*p_MI_HF_mid + AZ30*p_toHF_mid</f>
        <v>1.3559734357717582E-4</v>
      </c>
      <c r="BD31">
        <f>AM30*T30*p_Stroke*p_Stroke_rec*I30 + AN30*T30*p_Stroke*p_Stroke_rec*I30 + AO30*(p_recur_Stroke*p_Stroke_rec)*I30 + AP30*(p_recur_Stroke*p_Stroke_rec)*I30 + AQ30*(p_recur_Stroke*p_Stroke_rec)*I30 + BA30*AC30*p_Stroke*p_Stroke_rec + BB30*AC30*p_Stroke*p_Stroke_rec + BC30*(p_recur_Stroke*p_Stroke_rec) + BD30*(p_recur_Stroke*p_Stroke_rec) + BE30*(p_recur_Stroke*p_Stroke_rec)</f>
        <v>3.0261521410957182E-4</v>
      </c>
      <c r="BE31">
        <f>AO30*(1-p_recur_Stroke - H30*rr_Stroke*rr_HF)*I30 + AP30*(1-p_recur_Stroke-H30*rr_Stroke*rr_HF)*I30 + AQ30*(1-p_recur_Stroke-H30*rr_Stroke*rr_HF)*I30 + BC30*(1-p_recur_Stroke - H30*rr_Stroke*rr_HF*rr_DM) + BD30*(1-p_recur_Stroke-H30*rr_Stroke*rr_HF*rr_DM) + BE30*(1-p_recur_Stroke-H30*rr_Stroke*rr_HF*rr_DM)</f>
        <v>1.0586411337119865E-3</v>
      </c>
      <c r="BF31">
        <f>AD30*H30 + AE30*H30*rr_Other + AF30*H30*rr_Stroke + AG30*H30*rr_Stroke + AH30*H30*rr_MI + AI30*H30*rr_MI + AJ30*H30*rr_Stroke*rr_MI + AK30*H30*rr_Stroke*rr_MI + AL30*H30*rr_Stroke*rr_MI + AM30*H30*rr_HF + AN30*H30*rr_HF + AO30*H30*rr_Stroke*rr_HF + AP30*H30*rr_Stroke*rr_HF + AR30*H30*rr_DM + AS30*H30*rr_DM*rr_Other + AT30*H30*rr_DM*rr_Stroke + AU30*H30*rr_DM*rr_Stroke + AV30*H30*rr_DM*rr_MI + AW30*H30*rr_DM*rr_MI + AX30*H30*rr_DM*rr_Stroke*rr_MI + AY30*H30*rr_DM*rr_Stroke*rr_MI + AZ30*H30*rr_DM*rr_Stroke*rr_MI + BA30*H30*rr_DM*rr_HF + BB30*H30*rr_DM*rr_HF + BC30*H30*rr_DM*rr_Stroke*rr_HF + BD30*H30*rr_DM*rr_Stroke*rr_HF + AQ30*H30*rr_Stroke*rr_HF + BE30*H30*rr_DM*rr_Stroke*rr_HF
+ AD30*T30*p_MI*p_MI_mort + AD30*T30*p_Stroke*p_Stroke_mort + AE30*T30*p_MI*p_MI_mort + AE30*T30*p_Stroke*p_Stroke_mort + AF30*T30*p_MI*p_MI_mort + AF30*p_recur_Stroke*p_Stroke_mort + AG30*T30*p_MI*p_MI_mort + AG30*p_recur_Stroke*p_Stroke_mort + AH30*(PREV_FEMALE*p_recur_MI_F + (1-PREV_FEMALE)*p_recur_MI_M)*p_MI_mort + AH30*T30*p_Stroke*p_Stroke_mort + AI30*(PREV_FEMALE*p_recur_MI_F + (1-PREV_FEMALE)*p_recur_MI_M)*p_MI_mort + AI30*T30*p_Stroke*p_Stroke_mort + AJ30*(PREV_FEMALE*p_recur_MI_F + (1-PREV_FEMALE)*p_recur_MI_M)*p_MI_mort + AJ30*p_recur_Stroke*p_Stroke_mort + AK30*(PREV_FEMALE*p_recur_MI_F + (1-PREV_FEMALE)*p_recur_MI_M)*p_MI_mort + AK30*p_recur_Stroke*p_Stroke_mort + AL30*(PREV_FEMALE*p_recur_MI_F + (1-PREV_FEMALE)*p_recur_MI_M)*p_MI_mort + AL30*p_recur_Stroke*p_Stroke_mort + AM30*T30*p_Stroke*p_Stroke_mort + AN30*T30*p_Stroke*p_Stroke_mort + AO30*p_recur_Stroke*p_Stroke_mort + AP30*p_recur_Stroke*p_Stroke_mort + AQ30*p_recur_Stroke*p_Stroke_mort
+ AR30*AC30*p_MI*p_MI_mort + AR30*AC30*p_Stroke*p_Stroke_mort + AS30*AC30*p_MI*p_MI_mort + AS30*AC30*p_Stroke*p_Stroke_mort + AT30*AC30*p_MI*p_MI_mort + AT30*p_recur_Stroke*p_Stroke_mort + AU30*AC30*p_MI*p_MI_mort + AU30*p_recur_Stroke*p_Stroke_mort + AV30*(PREV_FEMALE*p_recur_MI_F + (1-PREV_FEMALE)*p_recur_MI_M)*p_MI_mort + AV30*AC30*p_Stroke*p_Stroke_mort + AW30*(PREV_FEMALE*p_recur_MI_F + (1-PREV_FEMALE)*p_recur_MI_M)*p_MI_mort + AW30*AC30*p_Stroke*p_Stroke_mort + AX30*(PREV_FEMALE*p_recur_MI_F + (1-PREV_FEMALE)*p_recur_MI_M)*p_MI_mort + AX30*p_recur_Stroke*p_Stroke_mort + AY30*(PREV_FEMALE*p_recur_MI_F + (1-PREV_FEMALE)*p_recur_MI_M)*p_MI_mort + AY30*p_recur_Stroke*p_Stroke_mort + AZ30*(PREV_FEMALE*p_recur_MI_F + (1-PREV_FEMALE)*p_recur_MI_M)*p_MI_mort + AZ30*p_recur_Stroke*p_Stroke_mort + BA30*AC30*p_Stroke*p_Stroke_mort + BB30*AC30*p_Stroke*p_Stroke_mort + BC30*p_recur_Stroke*p_Stroke_mort + BD30*p_recur_Stroke*p_Stroke_mort + BE30*p_recur_Stroke*p_Stroke_mort
+BF30</f>
        <v>0.27168603913859057</v>
      </c>
      <c r="BG31">
        <f t="shared" si="17"/>
        <v>0.94700000000000029</v>
      </c>
      <c r="BH31">
        <f>(0.9442 - 0.0007*$B31 - dis_BMI*($C31-21.75))*AD31</f>
        <v>0.11107718044461957</v>
      </c>
      <c r="BI31">
        <f>0.959*(0.9442 - 0.0007*$B31 - dis_BMI*($C31-21.75))*AE31</f>
        <v>2.143174607846135E-2</v>
      </c>
      <c r="BJ31">
        <f>(0.943*(0.9442 - 0.0007*$B31 - dis_BMI*($C31-21.75)) - 0.19*0.5)*AF31</f>
        <v>1.2070733490663853E-3</v>
      </c>
      <c r="BK31">
        <f>(0.943*(0.9442 - 0.0007*$B31 - dis_BMI*($C31-21.75)))*AG31</f>
        <v>5.8598033616637669E-3</v>
      </c>
      <c r="BL31">
        <f>(0.955*(0.9442 - 0.0007*$B31 - dis_BMI*($C31-21.75)) - 0.15*0.5)*AH31</f>
        <v>6.6100348168425538E-4</v>
      </c>
      <c r="BM31">
        <f>(0.955*(0.9442 - 0.0007*$B31 - dis_BMI*($C31-21.75)))*AI31</f>
        <v>4.1263817290977641E-3</v>
      </c>
      <c r="BN31">
        <f>(0.955*0.943*(0.9442 - 0.0007*$B31 - dis_BMI*($C31-21.75)) - 0.19*0.5)*AJ31</f>
        <v>3.9294176002692767E-5</v>
      </c>
      <c r="BO31">
        <f>(0.955*0.943*(0.9442 - 0.0007*$B31 - dis_BMI*($C31-21.75)) - 0.15*0.5)*AK31</f>
        <v>3.2917479198094112E-5</v>
      </c>
      <c r="BP31">
        <f>(0.955*0.943*(0.9442 - 0.0007*$B31 - dis_BMI*($C31-21.75)))*AL31</f>
        <v>1.5311312060003606E-4</v>
      </c>
      <c r="BQ31">
        <f>(0.93*(0.9442 - 0.0007*$B31 - dis_BMI*($C31-21.75)))*AM31</f>
        <v>2.9956107614143598E-4</v>
      </c>
      <c r="BR31">
        <f>(0.93*(0.9442 - 0.0007*$B31 - dis_BMI*($C31-21.75)))*AN31</f>
        <v>3.5970314280049224E-3</v>
      </c>
      <c r="BS31">
        <f>(0.93*0.943*(0.9442 - 0.0007*$B31 - dis_BMI*($C31-21.75)))*AO31</f>
        <v>1.4522317905616656E-5</v>
      </c>
      <c r="BT31">
        <f>(0.93*0.943*(0.9442 - 0.0007*$B31 - dis_BMI*($C31-21.75))-0.19*0.5)*AP31</f>
        <v>2.9308114117561519E-5</v>
      </c>
      <c r="BU31">
        <f>(0.93*0.943*(0.9442 - 0.0007*$B31 - dis_BMI*($C31-21.75)))*AQ31</f>
        <v>1.2545172577483387E-4</v>
      </c>
      <c r="BV31">
        <f>0.962*(0.9442 - 0.0007*$B31 - dis_BMI*($C31-21.75))*AR31</f>
        <v>0.25103259823778656</v>
      </c>
      <c r="BW31">
        <f>0.962*0.959*(0.9442 - 0.0007*$B31 - dis_BMI*($C31-21.75))*AS31</f>
        <v>7.9132092047806885E-2</v>
      </c>
      <c r="BX31">
        <f>0.962*(0.943*(0.9442 - 0.0007*$B31 - dis_BMI*($C31-21.75)) - 0.19*0.5)*AT31</f>
        <v>5.009857874794404E-3</v>
      </c>
      <c r="BY31">
        <f>0.962*(0.943*(0.9442 - 0.0007*$B31 - dis_BMI*($C31-21.75)))*AU31</f>
        <v>2.3004314563429124E-2</v>
      </c>
      <c r="BZ31">
        <f>0.962*(0.955*(0.9442 - 0.0007*$B31 - dis_BMI*($C31-21.75)) - 0.15*0.5)*AV31</f>
        <v>2.8304815340251901E-3</v>
      </c>
      <c r="CA31">
        <f>0.962*(0.955*(0.9442 - 0.0007*$B31 - dis_BMI*($C31-21.75)))*AW31</f>
        <v>1.6837359819411684E-2</v>
      </c>
      <c r="CB31">
        <f>0.962*(0.955*0.943*(0.9442 - 0.0007*$B31 - dis_BMI*($C31-21.75)) - 0.19*0.5)*AX31</f>
        <v>2.6728607003903467E-4</v>
      </c>
      <c r="CC31">
        <f>0.962*(0.955*0.943*(0.9442 - 0.0007*$B31 - dis_BMI*($C31-21.75)) - 0.15*0.5)*AY31</f>
        <v>2.2315210501743665E-4</v>
      </c>
      <c r="CD31">
        <f>0.962*(0.955*0.943*(0.9442 - 0.0007*$B31 - dis_BMI*($C31-21.75)))*AZ31</f>
        <v>9.7838645121709942E-4</v>
      </c>
      <c r="CE31">
        <f>0.962*(0.93*(0.9442 - 0.0007*$B31 - dis_BMI*($C31-21.75)))*BA31</f>
        <v>1.2590324270602331E-3</v>
      </c>
      <c r="CF31">
        <f>0.962*(0.93*(0.9442 - 0.0007*$B31 - dis_BMI*($C31-21.75)))*BB31</f>
        <v>1.3835750435324224E-2</v>
      </c>
      <c r="CG31">
        <f>0.962*(0.93*0.943*(0.9442 - 0.0007*$B31 - dis_BMI*($C31-21.75)))*BC31</f>
        <v>9.6694702866006451E-5</v>
      </c>
      <c r="CH31">
        <f>0.962*(0.93*0.943*(0.9442 - 0.0007*$B31 - dis_BMI*($C31-21.75))-0.19*0.5)*BD31</f>
        <v>1.881394340411254E-4</v>
      </c>
      <c r="CI31">
        <f>0.962*(0.93*0.943*(0.9442 - 0.0007*$B31 - dis_BMI*($C31-21.75)))*BE31</f>
        <v>7.5491884402404427E-4</v>
      </c>
      <c r="CJ31">
        <f t="shared" si="18"/>
        <v>0</v>
      </c>
      <c r="CK31">
        <f t="shared" si="19"/>
        <v>0.54410445242918148</v>
      </c>
      <c r="CL31">
        <f>CK31/(1+r_)^A31</f>
        <v>0.23781540745331892</v>
      </c>
      <c r="CM31">
        <f>AD31*c_BN_2</f>
        <v>275.31323288827576</v>
      </c>
      <c r="CN31">
        <f>AE31*(c_Other+c_BN_2)</f>
        <v>432.92428237374969</v>
      </c>
      <c r="CO31">
        <f>AF31*(c_Stroke1+c_Stroke2+c_BN_2)</f>
        <v>44.549291953186163</v>
      </c>
      <c r="CP31">
        <f>AG31*(c_Stroke2 + c_BN_2)</f>
        <v>63.188121209728081</v>
      </c>
      <c r="CQ31">
        <f>AH31*(c_MI1+c_MI2 + c_BN_2)</f>
        <v>28.207463435845451</v>
      </c>
      <c r="CR31">
        <f>AI31*(c_MI2+c_BN_2)</f>
        <v>26.643338898801744</v>
      </c>
      <c r="CS31">
        <f>AJ31*(c_Stroke1+c_Stroke2+c_MI2+c_BN_2)</f>
        <v>1.7121541935920135</v>
      </c>
      <c r="CT31">
        <f>AK31*(c_Stroke2+c_MI1+c_MI2+c_BN_2)</f>
        <v>1.8107101216069239</v>
      </c>
      <c r="CU31">
        <f>AL31*(c_Stroke2+c_MI2+c_BN_2)</f>
        <v>2.3558444893364587</v>
      </c>
      <c r="CV31">
        <f>AM31*(c_HF1+c_BN_2)</f>
        <v>11.099069714322898</v>
      </c>
      <c r="CW31">
        <f>AN31*(c_HF2+c_BN_2)</f>
        <v>80.993983986109384</v>
      </c>
      <c r="CX31">
        <f>AO31*(c_Stroke2+c_HF1+c_BN_2)</f>
        <v>0.69793404407401227</v>
      </c>
      <c r="CY31">
        <f>AP31*(c_Stroke1+c_Stroke2+c_HF2+c_BN_2)</f>
        <v>1.8827357730839751</v>
      </c>
      <c r="CZ31">
        <f>AQ31*(c_Stroke2+c_HF2+c_BN_2)</f>
        <v>4.0955815362712142</v>
      </c>
      <c r="DA31">
        <f>AR31*(c_DM+c_BN_2)</f>
        <v>4173.9760463831926</v>
      </c>
      <c r="DB31">
        <f>AS31*(c_Other+c_DM+c_BN_2)</f>
        <v>2821.02122355951</v>
      </c>
      <c r="DC31">
        <f>AT31*(c_Stroke1+c_Stroke2+c_DM+c_BN_2)</f>
        <v>276.94982286045087</v>
      </c>
      <c r="DD31">
        <f>AU31*(c_Stroke2+c_DM+c_BN_2)</f>
        <v>600.62695362229442</v>
      </c>
      <c r="DE31">
        <f>AV31*(c_MI1+c_MI2+c_DM+c_BN_2)</f>
        <v>171.46833587387388</v>
      </c>
      <c r="DF31">
        <f>AW31*(c_MI2+c_DM+c_BN_2)</f>
        <v>360.73541221780584</v>
      </c>
      <c r="DG31">
        <f>AX31*(c_Stroke1+c_Stroke2+c_MI2+c_DM+c_BN_2)</f>
        <v>16.871339368761202</v>
      </c>
      <c r="DH31">
        <f>AY31*(c_Stroke2+c_MI1+c_MI2+c_DM+c_BN_2)</f>
        <v>16.622118745068065</v>
      </c>
      <c r="DI31">
        <f>AZ31*(c_Stroke2+c_MI2+c_DM+c_BN_2)</f>
        <v>30.913313046763854</v>
      </c>
      <c r="DJ31">
        <f>BA31*(c_HF1+c_DM+c_BN_2)</f>
        <v>67.5130868544896</v>
      </c>
      <c r="DK31">
        <f>BB31*(c_HF2+c_DM+c_BN_2)</f>
        <v>532.8792935438413</v>
      </c>
      <c r="DL31">
        <f>BC31*(c_Stroke2+c_HF1+c_DM+c_BN_2)</f>
        <v>6.3798550153061226</v>
      </c>
      <c r="DM31">
        <f>BD31*(c_Stroke1+c_Stroke2+c_HF2+c_DM+c_BN_2)</f>
        <v>16.020752050174842</v>
      </c>
      <c r="DN31">
        <f>BE31*(c_Stroke2+c_HF2+c_DM+c_BN_2)</f>
        <v>37.714090388489517</v>
      </c>
      <c r="DO31">
        <f t="shared" si="5"/>
        <v>0</v>
      </c>
      <c r="DP31">
        <f t="shared" si="38"/>
        <v>10105.165388148005</v>
      </c>
      <c r="DQ31">
        <f>DP31/(1+r_)^A31</f>
        <v>4416.7328781018932</v>
      </c>
    </row>
    <row r="32" spans="1:121" x14ac:dyDescent="0.3">
      <c r="A32">
        <v>29</v>
      </c>
      <c r="B32">
        <v>74</v>
      </c>
      <c r="C32">
        <f t="shared" si="39"/>
        <v>36.251999999999995</v>
      </c>
      <c r="D32">
        <f t="shared" si="1"/>
        <v>125</v>
      </c>
      <c r="E32">
        <f t="shared" si="40"/>
        <v>5.7</v>
      </c>
      <c r="F32">
        <v>2.171E-2</v>
      </c>
      <c r="G32">
        <v>3.1399999999999997E-2</v>
      </c>
      <c r="H32">
        <f t="shared" si="3"/>
        <v>2.3647999999999999E-2</v>
      </c>
      <c r="I32">
        <f t="shared" si="20"/>
        <v>4.7655426853004217E-2</v>
      </c>
      <c r="J32">
        <f t="shared" si="21"/>
        <v>0.27435819109204362</v>
      </c>
      <c r="K32">
        <f t="shared" si="22"/>
        <v>0.36182060664174254</v>
      </c>
      <c r="L32">
        <f t="shared" si="23"/>
        <v>0.14085573298345966</v>
      </c>
      <c r="M32">
        <f t="shared" si="24"/>
        <v>0.19153702409241946</v>
      </c>
      <c r="N32">
        <f t="shared" si="25"/>
        <v>0.57382773034716905</v>
      </c>
      <c r="O32">
        <f t="shared" si="26"/>
        <v>0.70035435277717539</v>
      </c>
      <c r="P32">
        <f t="shared" si="27"/>
        <v>0.34265005967697226</v>
      </c>
      <c r="Q32">
        <f t="shared" si="28"/>
        <v>0.44722466863148824</v>
      </c>
      <c r="R32">
        <f>IF(C32&lt;25, HT_f_low, IF(C32&lt;30, HT_f_mod, HT_f_high))</f>
        <v>0.42</v>
      </c>
      <c r="S32">
        <f>IF(C32&lt;25, HT_m_low, IF(C32&lt;30, HT_m_mod, HT_m_high))</f>
        <v>0.43099999999999999</v>
      </c>
      <c r="T32">
        <f>PREV_FEMALE*PREV_SMOKE*(1-$R32)*(1-EXP(-J32/10))+PREV_FEMALE*PREV_SMOKE*$R32*(1-EXP(-K32/10))+PREV_FEMALE*(1-PREV_SMOKE)*(1-$R32)*(1-EXP(-L32/10))+PREV_FEMALE*(1-PREV_SMOKE)*$R32*(1-EXP(-M32/10))+(1-PREV_FEMALE)*PREV_SMOKE*(1-$S32)*(1-EXP(-N32/10))+(1-PREV_FEMALE)*PREV_SMOKE*$S32*(1-EXP(-O32/10))+(1-PREV_FEMALE)*(1-PREV_SMOKE)*(1-$S32)*(1-EXP(-P32/10))+(1-PREV_FEMALE)*(1-PREV_SMOKE)*$S32*(1-EXP(-Q32/10))</f>
        <v>2.2493511841860554E-2</v>
      </c>
      <c r="U32">
        <f t="shared" si="29"/>
        <v>0.50239036610766841</v>
      </c>
      <c r="V32">
        <f t="shared" si="30"/>
        <v>0.62373367935318413</v>
      </c>
      <c r="W32">
        <f t="shared" si="31"/>
        <v>0.28136643374730741</v>
      </c>
      <c r="X32">
        <f t="shared" si="32"/>
        <v>0.37043585289978032</v>
      </c>
      <c r="Y32">
        <f t="shared" si="33"/>
        <v>0.76574837842472265</v>
      </c>
      <c r="Z32">
        <f t="shared" si="34"/>
        <v>0.87136222938449204</v>
      </c>
      <c r="AA32">
        <f t="shared" si="35"/>
        <v>0.51027404033390811</v>
      </c>
      <c r="AB32">
        <f t="shared" si="36"/>
        <v>0.63532398392289591</v>
      </c>
      <c r="AC32">
        <f>PREV_FEMALE*PREV_SMOKE*(1-$R32)*(1-EXP(-U32/10))+PREV_FEMALE*PREV_SMOKE*$R32*(1-EXP(-V32/10))+PREV_FEMALE*(1-PREV_SMOKE)*(1-$R32)*(1-EXP(-W32/10))+PREV_FEMALE*(1-PREV_SMOKE)*$R32*(1-EXP(-X32/10))+(1-PREV_FEMALE)*PREV_SMOKE*(1-$S32)*(1-EXP(-Y32/10))+(1-PREV_FEMALE)*PREV_SMOKE*$S32*(1-EXP(-Z32/10))+(1-PREV_FEMALE)*(1-PREV_SMOKE)*(1-$S32)*(1-EXP(-AA32/10))+(1-PREV_FEMALE)*(1-PREV_SMOKE)*$S32*(1-EXP(-AB32/10))</f>
        <v>3.8881606709966446E-2</v>
      </c>
      <c r="AD32">
        <f t="shared" si="37"/>
        <v>0.11975137037154102</v>
      </c>
      <c r="AE32">
        <f t="shared" si="6"/>
        <v>2.5410265396402513E-2</v>
      </c>
      <c r="AF32">
        <f t="shared" si="7"/>
        <v>1.6467099734786923E-3</v>
      </c>
      <c r="AG32">
        <f t="shared" si="8"/>
        <v>6.9829875188876008E-3</v>
      </c>
      <c r="AH32">
        <f>AD31*T31*p_MI*p_MI_rec_mid*(1-I31)+AE31*T31*p_MI*p_MI_rec_mid*(1-I31) + AH31*(PREV_FEMALE*p_recur_MI_F + (1-PREV_FEMALE)*p_recur_MI_M)*p_MI_rec_mid*(1-I31) + AI31*(PREV_FEMALE*p_recur_MI_F + (1-PREV_FEMALE)*p_recur_MI_M)*p_MI_rec_mid*(1-I31)</f>
        <v>8.6466505083154744E-4</v>
      </c>
      <c r="AI32">
        <f>AH31*(1-(PREV_FEMALE*p_recur_MI_F + (1-PREV_FEMALE)*p_recur_MI_M) - T31*p_Stroke - p_toHF_mid - H31*rr_MI)*(1-I31) + AI31*(1-(PREV_FEMALE*p_recur_MI_F + (1-PREV_FEMALE)*p_recur_MI_M) - T31*p_Stroke - p_toHF_mid - H31*rr_MI)*(1-I31)</f>
        <v>4.9039573403069081E-3</v>
      </c>
      <c r="AJ32">
        <f t="shared" si="11"/>
        <v>5.8798284995191849E-5</v>
      </c>
      <c r="AK32">
        <f>AF31*T31*p_MI*p_MI_rec_mid*(1-I31) + AG31*T31*p_MI*p_MI_rec_mid*(1-I31) + AJ31*(PREV_FEMALE*p_recur_MI_F + (1-PREV_FEMALE)*p_recur_MI_M)*p_MI_rec_mid*(1-I31) + AK31*(PREV_FEMALE*p_recur_MI_F + (1-PREV_FEMALE)*p_recur_MI_M)*p_MI_rec_mid*(1-I31) + AL31*(PREV_FEMALE*p_recur_MI_F + (1-PREV_FEMALE)*p_recur_MI_M)*p_MI_rec_mid*(1-I31)</f>
        <v>4.7687643158969854E-5</v>
      </c>
      <c r="AL32">
        <f>AJ31*(1-p_recur_Stroke-(PREV_FEMALE*p_recur_MI_F + (1-PREV_FEMALE)*p_recur_MI_M) - p_toHF_mid - H31*rr_MI*rr_Stroke)*(1-I31) + AK31*(1-p_recur_Stroke-(PREV_FEMALE*p_recur_MI_F + (1-PREV_FEMALE)*p_recur_MI_M) - p_toHF_mid - H31*rr_MI*rr_Stroke)*(1-I31) + AL31*(1-p_recur_Stroke-(PREV_FEMALE*p_recur_MI_F + (1-PREV_FEMALE)*p_recur_MI_M) - p_toHF_mid - H31*rr_MI*rr_Stroke)*(1-I31)</f>
        <v>1.9636671015025578E-4</v>
      </c>
      <c r="AM32">
        <f>AD31*T31*p_MI*p_MI_HF_mid*(1-I31) + AE31*T31*p_MI*p_MI_HF_mid*(1-I31) + AH31*p_toHF_mid*(1-I31) + AH31*(PREV_FEMALE*p_recur_MI_F + (1-PREV_FEMALE)*p_recur_MI_M)*p_MI_HF_mid*(1-I31) + AI31*p_toHF_mid*(1-I31) + AI31*(PREV_FEMALE*p_recur_MI_F + (1-PREV_FEMALE)*p_recur_MI_M)*p_MI_HF_mid*(1-I31)</f>
        <v>3.6625688540212539E-4</v>
      </c>
      <c r="AN32">
        <f t="shared" si="15"/>
        <v>4.5135595457061863E-3</v>
      </c>
      <c r="AO32">
        <f>AF31*T31*p_MI*p_MI_HF_mid*(1-I31) + AG31*T31*p_MI*p_MI_HF_mid*(1-I31) + AJ31*(PREV_FEMALE*p_recur_MI_F + (1-PREV_FEMALE)*p_recur_MI_M)*p_MI_HF_mid*(1-I31) + AJ31*p_toHF_mid*(1-I31) + AK31*(PREV_FEMALE*p_recur_MI_F + (1-PREV_FEMALE)*p_recur_MI_M)*p_MI_HF_mid*(1-I31) + AK31*p_toHF_mid*(1-I31) + AL31*(PREV_FEMALE*p_recur_MI_F + (1-PREV_FEMALE)*p_recur_MI_M)*p_MI_HF_mid*(1-I31) + AL31*p_toHF_mid*(1-I31)</f>
        <v>1.9502401776593187E-5</v>
      </c>
      <c r="AP32">
        <f>AM31*T31*p_Stroke*p_Stroke_rec*(1-I31) + AN31*T31*p_Stroke*p_Stroke_rec*(1-I31) + AO31*(p_recur_Stroke*p_Stroke_rec)*(1-I31) + AP31*(p_recur_Stroke*p_Stroke_rec)*(1-I31) + AQ31*(p_recur_Stroke*p_Stroke_rec)*(1-I31)</f>
        <v>4.6383006702947638E-5</v>
      </c>
      <c r="AQ32">
        <f>AO31*(1-p_recur_Stroke-H31*rr_Stroke*rr_HF)*(1-I31) + AP31*(1-p_recur_Stroke-H31*rr_Stroke*rr_HF)*(1-I31) + AQ31*(1-p_recur_Stroke-H31*rr_Stroke*rr_HF)*(1-I31)</f>
        <v>1.691128515545509E-4</v>
      </c>
      <c r="AR32">
        <f>AR31*(1-AC31-H31*rr_DM) + AD31*(1-T31-H31)*I31</f>
        <v>0.29545311569936955</v>
      </c>
      <c r="AS32">
        <f>AR31*AC31*p_Other + AD31*T31*p_Other*I31 + AE31*(1-T31*p_Stroke-T31*p_MI-H31*rr_Other)*I31 + AS31*(1-AC31*p_Stroke-AC31*p_MI-H31*rr_Other*rr_DM)</f>
        <v>0.10270942033299604</v>
      </c>
      <c r="AT32">
        <f>AR31*AC31*p_Stroke*p_Stroke_rec + AD31*T31*p_Stroke*p_Stroke_rec*I31 + AE31*T31*p_Stroke*p_Stroke_rec*I31 + AF31*p_recur_Stroke*p_Stroke_rec*I31 + AG31*p_recur_Stroke*p_Stroke_rec*I31 + AS31*AC31*p_Stroke*p_Stroke_rec + AT31*p_recur_Stroke*p_Stroke_rec + AU31*p_recur_Stroke*p_Stroke_rec</f>
        <v>7.4972385549252479E-3</v>
      </c>
      <c r="AU32">
        <f>AF31*(1-p_recur_Stroke-T31*p_MI-H31*rr_Stroke)*I31 + AG31*(1-p_recur_Stroke-T31*p_MI-H31*rr_Stroke)*I31 + AT31*(1-p_recur_Stroke-AC31*p_MI-H31*rr_Stroke*rr_DM) + AU31*(1-p_recur_Stroke-AC31*p_MI-H31*rr_Stroke*rr_DM)</f>
        <v>3.0089024158657385E-2</v>
      </c>
      <c r="AV32">
        <f>AR31*AC31*p_MI*p_MI_rec_mid + AD31*T31*p_MI*p_MI_rec_mid*I31 + AE31*T31*p_MI*p_MI_rec_mid*I31 +AH31*(PREV_FEMALE*p_recur_MI_F + (1-PREV_FEMALE)*p_recur_MI_M)*p_MI_rec_mid*I31 + AI31*(PREV_FEMALE*p_recur_MI_F + (1-PREV_FEMALE)*p_recur_MI_M)*p_MI_rec_mid*I31 + AS31*AC31*p_MI*p_MI_rec_mid + AV31*(PREV_FEMALE*p_recur_MI_F + (1-PREV_FEMALE)*p_recur_MI_M)*p_MI_rec_mid + AW31*(PREV_FEMALE*p_recur_MI_F + (1-PREV_FEMALE)*p_recur_MI_M)*p_MI_rec_mid</f>
        <v>4.0598563220610052E-3</v>
      </c>
      <c r="AW32">
        <f>AH31*(1-(PREV_FEMALE*p_recur_MI_F + (1-PREV_FEMALE)*p_recur_MI_M) - T31*p_Stroke - p_toHF_mid - H31*rr_MI)*I31 + AI31*(1-(PREV_FEMALE*p_recur_MI_F + (1-PREV_FEMALE)*p_recur_MI_M) - T31*p_Stroke - p_toHF_mid - H31*rr_MI)*I31 + AV31*(1-(PREV_FEMALE*p_recur_MI_F + (1-PREV_FEMALE)*p_recur_MI_M) - AC31*p_Stroke - p_toHF_mid - H31*rr_MI*rr_DM) + AW31*(1-(PREV_FEMALE*p_recur_MI_F + (1-PREV_FEMALE)*p_recur_MI_M) - AC31*p_Stroke - p_toHF_mid - H31*rr_MI*rr_DM)</f>
        <v>2.2023908604398061E-2</v>
      </c>
      <c r="AX32">
        <f>AH31*T31*p_Stroke*p_Stroke_rec*I31 + AI31*T31*p_Stroke*p_Stroke_rec*I31 + AJ31*p_recur_Stroke*p_Stroke_rec*I31 + AK31*p_recur_Stroke*p_Stroke_rec*I31 + AL31*p_recur_Stroke*p_Stroke_rec*I31 + AV31*AC31*p_Stroke*p_Stroke_rec + AW31*AC31*p_Stroke*p_Stroke_rec + AX31*p_recur_Stroke*p_Stroke_rec + AY31*p_recur_Stroke*p_Stroke_rec + AZ31*p_recur_Stroke*p_Stroke_rec</f>
        <v>4.3955333830000338E-4</v>
      </c>
      <c r="AY32">
        <f>AF31*T31*p_MI*p_MI_rec_mid*I31 + AG31*T31*p_MI*p_MI_rec_mid*I31 + AJ31*(PREV_FEMALE*p_recur_MI_F+(1-PREV_FEMALE)*p_recur_MI_M)*p_MI_rec_mid*I31 + AK31*(PREV_FEMALE*p_recur_MI_F+(1-PREV_FEMALE)*p_recur_MI_M)*p_MI_rec_mid*I31 + AL31*(PREV_FEMALE*p_recur_MI_F+(1-PREV_FEMALE)*p_recur_MI_M)*p_MI_rec_mid*I31 + AT31*AC31*p_MI*p_MI_rec_mid + AU31*AC31*p_MI*p_MI_rec_mid + AX31*(PREV_FEMALE*p_recur_MI_F+(1-PREV_FEMALE)*p_recur_MI_M)*p_MI_rec_mid + AY31*(PREV_FEMALE*p_recur_MI_F+(1-PREV_FEMALE)*p_recur_MI_M)*p_MI_rec_mid + AZ31*(PREV_FEMALE*p_recur_MI_F+(1-PREV_FEMALE)*p_recur_MI_M)*p_MI_rec_mid</f>
        <v>3.546088242366174E-4</v>
      </c>
      <c r="AZ32">
        <f>AJ31*(1-p_recur_Stroke-(PREV_FEMALE*p_recur_MI_F + (1-PREV_FEMALE)*p_recur_MI_M) - p_toHF_mid - H31*rr_MI*rr_Stroke)*I31 + AK31*(1-p_recur_Stroke-(PREV_FEMALE*p_recur_MI_F + (1-PREV_FEMALE)*p_recur_MI_M) - p_toHF_mid - H31*rr_MI*rr_Stroke)*I31 + AL31*(1-p_recur_Stroke-(PREV_FEMALE*p_recur_MI_F + (1-PREV_FEMALE)*p_recur_MI_M) - p_toHF_mid - H31*rr_MI*rr_Stroke)*I31 + AX31*(1-p_recur_Stroke-(PREV_FEMALE*p_recur_MI_F + (1-PREV_FEMALE)*p_recur_MI_M) - p_toHF_mid - H31*rr_MI*rr_Stroke*rr_DM) + AY31*(1-p_recur_Stroke-(PREV_FEMALE*p_recur_MI_F + (1-PREV_FEMALE)*p_recur_MI_M) - p_toHF_mid - H31*rr_MI*rr_Stroke*rr_DM) + AZ31*(1-p_recur_Stroke-(PREV_FEMALE*p_recur_MI_F + (1-PREV_FEMALE)*p_recur_MI_M) - p_toHF_mid - H31*rr_MI*rr_Stroke*rr_DM)</f>
        <v>1.3761932161772449E-3</v>
      </c>
      <c r="BA32">
        <f>AR31*AC31*p_MI*p_MI_HF_mid + AD31*T31*p_MI*p_MI_HF_mid*I31 + AE31*T31*p_MI*p_MI_HF_mid*I31 + AH31*p_toHF_mid*I31 + AH31*(PREV_FEMALE*p_recur_MI_F + (1-PREV_FEMALE)*p_recur_MI_M)*p_MI_HF_mid*I31 + AI31*p_toHF_mid*I31 + AI31*(PREV_FEMALE*p_recur_MI_F + (1-PREV_FEMALE)*p_recur_MI_M)*p_MI_HF_mid*I31 + AS31*AC31*p_MI*p_MI_HF_mid + AV31*(PREV_FEMALE*p_recur_MI_F + (1-PREV_FEMALE)*p_recur_MI_M)*p_MI_HF_mid + AV31*p_toHF_mid + AW31*(PREV_FEMALE*p_recur_MI_F + (1-PREV_FEMALE)*p_recur_MI_M)*p_MI_HF_mid + AW31*p_toHF_mid</f>
        <v>1.6915629446866808E-3</v>
      </c>
      <c r="BB32">
        <f>AM31*(1-T31*p_Stroke - H31*rr_HF)*I31 + AN31*(1-T31*p_Stroke - H31*rr_HF)*I31 + BA31*(1-AC31*p_Stroke - H31*rr_HF*rr_DM) + BB31*(1-AC31*p_Stroke - H31*rr_HF*rr_DM)</f>
        <v>1.9120743392313094E-2</v>
      </c>
      <c r="BC32">
        <f>AF31*T31*p_MI*p_MI_HF_mid*I31 + AG31*T31*p_MI*p_MI_HF_mid*I31 + AJ31*(PREV_FEMALE*p_recur_MI_F + (1-PREV_FEMALE)*p_recur_MI_M)*p_MI_HF_mid*I31 + AJ31*p_toHF_mid*I31 + AK31*(PREV_FEMALE*p_recur_MI_F + (1-PREV_FEMALE)*p_recur_MI_M)*p_MI_HF_mid*I31 + AK31*p_toHF_mid*I31 + AL31*(PREV_FEMALE*p_recur_MI_F + (1-PREV_FEMALE)*p_recur_MI_M)*p_MI_HF_mid*I31 + AL31*p_toHF_mid*I31 + AT31*AC31*p_MI*p_MI_HF_mid + AU31*AC31*p_MI*p_MI_HF_mid + AX31*(PREV_FEMALE*p_recur_MI_F + (1-PREV_FEMALE)*p_recur_MI_M)*p_MI_HF_mid + AX31*p_toHF_mid + AY31*(PREV_FEMALE*p_recur_MI_F + (1-PREV_FEMALE)*p_recur_MI_M)*p_MI_HF_mid + AY31*p_toHF_mid + AZ31*(PREV_FEMALE*p_recur_MI_F + (1-PREV_FEMALE)*p_recur_MI_M)*p_MI_HF_mid + AZ31*p_toHF_mid</f>
        <v>1.4266541001852249E-4</v>
      </c>
      <c r="BD32">
        <f>AM31*T31*p_Stroke*p_Stroke_rec*I31 + AN31*T31*p_Stroke*p_Stroke_rec*I31 + AO31*(p_recur_Stroke*p_Stroke_rec)*I31 + AP31*(p_recur_Stroke*p_Stroke_rec)*I31 + AQ31*(p_recur_Stroke*p_Stroke_rec)*I31 + BA31*AC31*p_Stroke*p_Stroke_rec + BB31*AC31*p_Stroke*p_Stroke_rec + BC31*(p_recur_Stroke*p_Stroke_rec) + BD31*(p_recur_Stroke*p_Stroke_rec) + BE31*(p_recur_Stroke*p_Stroke_rec)</f>
        <v>3.2736679202212513E-4</v>
      </c>
      <c r="BE32">
        <f>AO31*(1-p_recur_Stroke - H31*rr_Stroke*rr_HF)*I31 + AP31*(1-p_recur_Stroke-H31*rr_Stroke*rr_HF)*I31 + AQ31*(1-p_recur_Stroke-H31*rr_Stroke*rr_HF)*I31 + BC31*(1-p_recur_Stroke - H31*rr_Stroke*rr_HF*rr_DM) + BD31*(1-p_recur_Stroke-H31*rr_Stroke*rr_HF*rr_DM) + BE31*(1-p_recur_Stroke-H31*rr_Stroke*rr_HF*rr_DM)</f>
        <v>1.1161781813217014E-3</v>
      </c>
      <c r="BF32">
        <f>AD31*H31 + AE31*H31*rr_Other + AF31*H31*rr_Stroke + AG31*H31*rr_Stroke + AH31*H31*rr_MI + AI31*H31*rr_MI + AJ31*H31*rr_Stroke*rr_MI + AK31*H31*rr_Stroke*rr_MI + AL31*H31*rr_Stroke*rr_MI + AM31*H31*rr_HF + AN31*H31*rr_HF + AO31*H31*rr_Stroke*rr_HF + AP31*H31*rr_Stroke*rr_HF + AR31*H31*rr_DM + AS31*H31*rr_DM*rr_Other + AT31*H31*rr_DM*rr_Stroke + AU31*H31*rr_DM*rr_Stroke + AV31*H31*rr_DM*rr_MI + AW31*H31*rr_DM*rr_MI + AX31*H31*rr_DM*rr_Stroke*rr_MI + AY31*H31*rr_DM*rr_Stroke*rr_MI + AZ31*H31*rr_DM*rr_Stroke*rr_MI + BA31*H31*rr_DM*rr_HF + BB31*H31*rr_DM*rr_HF + BC31*H31*rr_DM*rr_Stroke*rr_HF + BD31*H31*rr_DM*rr_Stroke*rr_HF + AQ31*H31*rr_Stroke*rr_HF + BE31*H31*rr_DM*rr_Stroke*rr_HF
+ AD31*T31*p_MI*p_MI_mort + AD31*T31*p_Stroke*p_Stroke_mort + AE31*T31*p_MI*p_MI_mort + AE31*T31*p_Stroke*p_Stroke_mort + AF31*T31*p_MI*p_MI_mort + AF31*p_recur_Stroke*p_Stroke_mort + AG31*T31*p_MI*p_MI_mort + AG31*p_recur_Stroke*p_Stroke_mort + AH31*(PREV_FEMALE*p_recur_MI_F + (1-PREV_FEMALE)*p_recur_MI_M)*p_MI_mort + AH31*T31*p_Stroke*p_Stroke_mort + AI31*(PREV_FEMALE*p_recur_MI_F + (1-PREV_FEMALE)*p_recur_MI_M)*p_MI_mort + AI31*T31*p_Stroke*p_Stroke_mort + AJ31*(PREV_FEMALE*p_recur_MI_F + (1-PREV_FEMALE)*p_recur_MI_M)*p_MI_mort + AJ31*p_recur_Stroke*p_Stroke_mort + AK31*(PREV_FEMALE*p_recur_MI_F + (1-PREV_FEMALE)*p_recur_MI_M)*p_MI_mort + AK31*p_recur_Stroke*p_Stroke_mort + AL31*(PREV_FEMALE*p_recur_MI_F + (1-PREV_FEMALE)*p_recur_MI_M)*p_MI_mort + AL31*p_recur_Stroke*p_Stroke_mort + AM31*T31*p_Stroke*p_Stroke_mort + AN31*T31*p_Stroke*p_Stroke_mort + AO31*p_recur_Stroke*p_Stroke_mort + AP31*p_recur_Stroke*p_Stroke_mort + AQ31*p_recur_Stroke*p_Stroke_mort
+ AR31*AC31*p_MI*p_MI_mort + AR31*AC31*p_Stroke*p_Stroke_mort + AS31*AC31*p_MI*p_MI_mort + AS31*AC31*p_Stroke*p_Stroke_mort + AT31*AC31*p_MI*p_MI_mort + AT31*p_recur_Stroke*p_Stroke_mort + AU31*AC31*p_MI*p_MI_mort + AU31*p_recur_Stroke*p_Stroke_mort + AV31*(PREV_FEMALE*p_recur_MI_F + (1-PREV_FEMALE)*p_recur_MI_M)*p_MI_mort + AV31*AC31*p_Stroke*p_Stroke_mort + AW31*(PREV_FEMALE*p_recur_MI_F + (1-PREV_FEMALE)*p_recur_MI_M)*p_MI_mort + AW31*AC31*p_Stroke*p_Stroke_mort + AX31*(PREV_FEMALE*p_recur_MI_F + (1-PREV_FEMALE)*p_recur_MI_M)*p_MI_mort + AX31*p_recur_Stroke*p_Stroke_mort + AY31*(PREV_FEMALE*p_recur_MI_F + (1-PREV_FEMALE)*p_recur_MI_M)*p_MI_mort + AY31*p_recur_Stroke*p_Stroke_mort + AZ31*(PREV_FEMALE*p_recur_MI_F + (1-PREV_FEMALE)*p_recur_MI_M)*p_MI_mort + AZ31*p_recur_Stroke*p_Stroke_mort + BA31*AC31*p_Stroke*p_Stroke_mort + BB31*AC31*p_Stroke*p_Stroke_mort + BC31*p_recur_Stroke*p_Stroke_mort + BD31*p_recur_Stroke*p_Stroke_mort + BE31*p_recur_Stroke*p_Stroke_mort
+BF31</f>
        <v>0.29562094124762184</v>
      </c>
      <c r="BG32">
        <f t="shared" si="17"/>
        <v>0.94700000000000017</v>
      </c>
      <c r="BH32">
        <f>(0.9442 - 0.0007*$B32 - dis_BMI*($C32-21.75))*AD32</f>
        <v>0.10113522948824052</v>
      </c>
      <c r="BI32">
        <f>0.959*(0.9442 - 0.0007*$B32 - dis_BMI*($C32-21.75))*AE32</f>
        <v>2.0580208983536141E-2</v>
      </c>
      <c r="BJ32">
        <f>(0.943*(0.9442 - 0.0007*$B32 - dis_BMI*($C32-21.75)) - 0.19*0.5)*AF32</f>
        <v>1.1550096640656393E-3</v>
      </c>
      <c r="BK32">
        <f>(0.943*(0.9442 - 0.0007*$B32 - dis_BMI*($C32-21.75)))*AG32</f>
        <v>5.5612821681414407E-3</v>
      </c>
      <c r="BL32">
        <f>(0.955*(0.9442 - 0.0007*$B32 - dis_BMI*($C32-21.75)) - 0.15*0.5)*AH32</f>
        <v>6.3253616079301178E-4</v>
      </c>
      <c r="BM32">
        <f>(0.955*(0.9442 - 0.0007*$B32 - dis_BMI*($C32-21.75)))*AI32</f>
        <v>3.9552325893840549E-3</v>
      </c>
      <c r="BN32">
        <f>(0.955*0.943*(0.9442 - 0.0007*$B32 - dis_BMI*($C32-21.75)) - 0.19*0.5)*AJ32</f>
        <v>3.9134152699555313E-5</v>
      </c>
      <c r="BO32">
        <f>(0.955*0.943*(0.9442 - 0.0007*$B32 - dis_BMI*($C32-21.75)) - 0.15*0.5)*AK32</f>
        <v>3.2693037596018767E-5</v>
      </c>
      <c r="BP32">
        <f>(0.955*0.943*(0.9442 - 0.0007*$B32 - dis_BMI*($C32-21.75)))*AL32</f>
        <v>1.4934988785150633E-4</v>
      </c>
      <c r="BQ32">
        <f>(0.93*(0.9442 - 0.0007*$B32 - dis_BMI*($C32-21.75)))*AM32</f>
        <v>2.8766744680195689E-4</v>
      </c>
      <c r="BR32">
        <f>(0.93*(0.9442 - 0.0007*$B32 - dis_BMI*($C32-21.75)))*AN32</f>
        <v>3.5450641400948373E-3</v>
      </c>
      <c r="BS32">
        <f>(0.93*0.943*(0.9442 - 0.0007*$B32 - dis_BMI*($C32-21.75)))*AO32</f>
        <v>1.4444573159660889E-5</v>
      </c>
      <c r="BT32">
        <f>(0.93*0.943*(0.9442 - 0.0007*$B32 - dis_BMI*($C32-21.75))-0.19*0.5)*AP32</f>
        <v>2.9947471973203321E-5</v>
      </c>
      <c r="BU32">
        <f>(0.93*0.943*(0.9442 - 0.0007*$B32 - dis_BMI*($C32-21.75)))*AQ32</f>
        <v>1.2525446785997355E-4</v>
      </c>
      <c r="BV32">
        <f>0.962*(0.9442 - 0.0007*$B32 - dis_BMI*($C32-21.75))*AR32</f>
        <v>0.24004110567615208</v>
      </c>
      <c r="BW32">
        <f>0.962*0.959*(0.9442 - 0.0007*$B32 - dis_BMI*($C32-21.75))*AS32</f>
        <v>8.0025045491560629E-2</v>
      </c>
      <c r="BX32">
        <f>0.962*(0.943*(0.9442 - 0.0007*$B32 - dis_BMI*($C32-21.75)) - 0.19*0.5)*AT32</f>
        <v>5.0587696470471896E-3</v>
      </c>
      <c r="BY32">
        <f>0.962*(0.943*(0.9442 - 0.0007*$B32 - dis_BMI*($C32-21.75)))*AU32</f>
        <v>2.3052436803233718E-2</v>
      </c>
      <c r="BZ32">
        <f>0.962*(0.955*(0.9442 - 0.0007*$B32 - dis_BMI*($C32-21.75)) - 0.15*0.5)*AV32</f>
        <v>2.8570851840969526E-3</v>
      </c>
      <c r="CA32">
        <f>0.962*(0.955*(0.9442 - 0.0007*$B32 - dis_BMI*($C32-21.75)))*AW32</f>
        <v>1.7088140732540065E-2</v>
      </c>
      <c r="CB32">
        <f>0.962*(0.955*0.943*(0.9442 - 0.0007*$B32 - dis_BMI*($C32-21.75)) - 0.19*0.5)*AX32</f>
        <v>2.8143488638283931E-4</v>
      </c>
      <c r="CC32">
        <f>0.962*(0.955*0.943*(0.9442 - 0.0007*$B32 - dis_BMI*($C32-21.75)) - 0.15*0.5)*AY32</f>
        <v>2.338697360196412E-4</v>
      </c>
      <c r="CD32">
        <f>0.962*(0.955*0.943*(0.9442 - 0.0007*$B32 - dis_BMI*($C32-21.75)))*AZ32</f>
        <v>1.0069120109607891E-3</v>
      </c>
      <c r="CE32">
        <f>0.962*(0.93*(0.9442 - 0.0007*$B32 - dis_BMI*($C32-21.75)))*BA32</f>
        <v>1.2781097735256222E-3</v>
      </c>
      <c r="CF32">
        <f>0.962*(0.93*(0.9442 - 0.0007*$B32 - dis_BMI*($C32-21.75)))*BB32</f>
        <v>1.4447235962193191E-2</v>
      </c>
      <c r="CG32">
        <f>0.962*(0.93*0.943*(0.9442 - 0.0007*$B32 - dis_BMI*($C32-21.75)))*BC32</f>
        <v>1.0165070020016677E-4</v>
      </c>
      <c r="CH32">
        <f>0.962*(0.93*0.943*(0.9442 - 0.0007*$B32 - dis_BMI*($C32-21.75))-0.19*0.5)*BD32</f>
        <v>2.0333444944476168E-4</v>
      </c>
      <c r="CI32">
        <f>0.962*(0.93*0.943*(0.9442 - 0.0007*$B32 - dis_BMI*($C32-21.75)))*BE32</f>
        <v>7.9528943746608877E-4</v>
      </c>
      <c r="CJ32">
        <f t="shared" si="18"/>
        <v>0</v>
      </c>
      <c r="CK32">
        <f t="shared" si="19"/>
        <v>0.52371347472302143</v>
      </c>
      <c r="CL32">
        <f>CK32/(1+r_)^A32</f>
        <v>0.22223590788693204</v>
      </c>
      <c r="CM32">
        <f>AD32*c_BN_2</f>
        <v>250.87912092837843</v>
      </c>
      <c r="CN32">
        <f>AE32*(c_Other+c_BN_2)</f>
        <v>416.06768560069474</v>
      </c>
      <c r="CO32">
        <f>AF32*(c_Stroke1+c_Stroke2+c_BN_2)</f>
        <v>42.667902122806396</v>
      </c>
      <c r="CP32">
        <f>AG32*(c_Stroke2 + c_BN_2)</f>
        <v>60.018777724838927</v>
      </c>
      <c r="CQ32">
        <f>AH32*(c_MI1+c_MI2 + c_BN_2)</f>
        <v>27.017324178282532</v>
      </c>
      <c r="CR32">
        <f>AI32*(c_MI2+c_BN_2)</f>
        <v>25.559425657679604</v>
      </c>
      <c r="CS32">
        <f>AJ32*(c_Stroke1+c_Stroke2+c_MI2+c_BN_2)</f>
        <v>1.7067966168404289</v>
      </c>
      <c r="CT32">
        <f>AK32*(c_Stroke2+c_MI1+c_MI2+c_BN_2)</f>
        <v>1.8000177786784761</v>
      </c>
      <c r="CU32">
        <f>AL32*(c_Stroke2+c_MI2+c_BN_2)</f>
        <v>2.2998469092797955</v>
      </c>
      <c r="CV32">
        <f>AM32*(c_HF1+c_BN_2)</f>
        <v>10.667231787336902</v>
      </c>
      <c r="CW32">
        <f>AN32*(c_HF2+c_BN_2)</f>
        <v>79.8900039589995</v>
      </c>
      <c r="CX32">
        <f>AO32*(c_Stroke2+c_HF1+c_BN_2)</f>
        <v>0.69477306329113231</v>
      </c>
      <c r="CY32">
        <f>AP32*(c_Stroke1+c_Stroke2+c_HF2+c_BN_2)</f>
        <v>1.9256369062795742</v>
      </c>
      <c r="CZ32">
        <f>AQ32*(c_Stroke2+c_HF2+c_BN_2)</f>
        <v>4.0925310076201322</v>
      </c>
      <c r="DA32">
        <f>AR32*(c_DM+c_BN_2)</f>
        <v>3994.5261242554761</v>
      </c>
      <c r="DB32">
        <f>AS32*(c_Other+c_DM+c_BN_2)</f>
        <v>2855.2191758369572</v>
      </c>
      <c r="DC32">
        <f>AT32*(c_Stroke1+c_Stroke2+c_DM+c_BN_2)</f>
        <v>279.91689868668908</v>
      </c>
      <c r="DD32">
        <f>AU32*(c_Stroke2+c_DM+c_BN_2)</f>
        <v>602.38226365632079</v>
      </c>
      <c r="DE32">
        <f>AV32*(c_MI1+c_MI2+c_DM+c_BN_2)</f>
        <v>173.23812911866514</v>
      </c>
      <c r="DF32">
        <f>AW32*(c_MI2+c_DM+c_BN_2)</f>
        <v>366.41176745137057</v>
      </c>
      <c r="DG32">
        <f>AX32*(c_Stroke1+c_Stroke2+c_MI2+c_DM+c_BN_2)</f>
        <v>17.781251194250036</v>
      </c>
      <c r="DH32">
        <f>AY32*(c_Stroke2+c_MI1+c_MI2+c_DM+c_BN_2)</f>
        <v>17.436470496538714</v>
      </c>
      <c r="DI32">
        <f>AZ32*(c_Stroke2+c_MI2+c_DM+c_BN_2)</f>
        <v>31.840982442692916</v>
      </c>
      <c r="DJ32">
        <f>BA32*(c_HF1+c_DM+c_BN_2)</f>
        <v>68.592877407044909</v>
      </c>
      <c r="DK32">
        <f>BB32*(c_HF2+c_DM+c_BN_2)</f>
        <v>556.89165130111883</v>
      </c>
      <c r="DL32">
        <f>BC32*(c_Stroke2+c_HF1+c_DM+c_BN_2)</f>
        <v>6.7124075413714834</v>
      </c>
      <c r="DM32">
        <f>BD32*(c_Stroke1+c_Stroke2+c_HF2+c_DM+c_BN_2)</f>
        <v>17.331125336443325</v>
      </c>
      <c r="DN32">
        <f>BE32*(c_Stroke2+c_HF2+c_DM+c_BN_2)</f>
        <v>39.763847709585612</v>
      </c>
      <c r="DO32">
        <f t="shared" si="5"/>
        <v>0</v>
      </c>
      <c r="DP32">
        <f t="shared" si="38"/>
        <v>9953.3320466755322</v>
      </c>
      <c r="DQ32">
        <f>DP32/(1+r_)^A32</f>
        <v>4223.6602467845523</v>
      </c>
    </row>
    <row r="33" spans="1:121" x14ac:dyDescent="0.3">
      <c r="A33">
        <v>30</v>
      </c>
      <c r="B33">
        <v>75</v>
      </c>
      <c r="C33">
        <f t="shared" si="39"/>
        <v>36.251999999999995</v>
      </c>
      <c r="D33">
        <f t="shared" si="1"/>
        <v>125</v>
      </c>
      <c r="E33">
        <f t="shared" si="40"/>
        <v>5.7</v>
      </c>
      <c r="F33">
        <v>2.4830000000000001E-2</v>
      </c>
      <c r="G33">
        <v>3.5659999999999997E-2</v>
      </c>
      <c r="H33">
        <f t="shared" si="3"/>
        <v>2.6995999999999999E-2</v>
      </c>
      <c r="I33">
        <f t="shared" si="20"/>
        <v>4.7655426853004217E-2</v>
      </c>
      <c r="J33">
        <f t="shared" si="21"/>
        <v>0.28296370829961826</v>
      </c>
      <c r="K33">
        <f t="shared" si="22"/>
        <v>0.37239469342596254</v>
      </c>
      <c r="L33">
        <f t="shared" si="23"/>
        <v>0.14569422662157805</v>
      </c>
      <c r="M33">
        <f t="shared" si="24"/>
        <v>0.19790635859419259</v>
      </c>
      <c r="N33">
        <f t="shared" si="25"/>
        <v>0.58905930560884689</v>
      </c>
      <c r="O33">
        <f t="shared" si="26"/>
        <v>0.71537423024531199</v>
      </c>
      <c r="P33">
        <f t="shared" si="27"/>
        <v>0.35431336806708524</v>
      </c>
      <c r="Q33">
        <f t="shared" si="28"/>
        <v>0.46103209897896302</v>
      </c>
      <c r="R33">
        <f>IF(C33&lt;25, HT_f_low, IF(C33&lt;30, HT_f_mod, HT_f_high))</f>
        <v>0.42</v>
      </c>
      <c r="S33">
        <f>IF(C33&lt;25, HT_m_low, IF(C33&lt;30, HT_m_mod, HT_m_high))</f>
        <v>0.43099999999999999</v>
      </c>
      <c r="T33">
        <f>PREV_FEMALE*PREV_SMOKE*(1-$R33)*(1-EXP(-J33/10))+PREV_FEMALE*PREV_SMOKE*$R33*(1-EXP(-K33/10))+PREV_FEMALE*(1-PREV_SMOKE)*(1-$R33)*(1-EXP(-L33/10))+PREV_FEMALE*(1-PREV_SMOKE)*$R33*(1-EXP(-M33/10))+(1-PREV_FEMALE)*PREV_SMOKE*(1-$S33)*(1-EXP(-N33/10))+(1-PREV_FEMALE)*PREV_SMOKE*$S33*(1-EXP(-O33/10))+(1-PREV_FEMALE)*(1-PREV_SMOKE)*(1-$S33)*(1-EXP(-P33/10))+(1-PREV_FEMALE)*(1-PREV_SMOKE)*$S33*(1-EXP(-Q33/10))</f>
        <v>2.3209358122015581E-2</v>
      </c>
      <c r="U33">
        <f t="shared" si="29"/>
        <v>0.51514377194423833</v>
      </c>
      <c r="V33">
        <f t="shared" si="30"/>
        <v>0.6371695862432778</v>
      </c>
      <c r="W33">
        <f t="shared" si="31"/>
        <v>0.29014516093509324</v>
      </c>
      <c r="X33">
        <f t="shared" si="32"/>
        <v>0.38118015499272673</v>
      </c>
      <c r="Y33">
        <f t="shared" si="33"/>
        <v>0.77981576574627876</v>
      </c>
      <c r="Z33">
        <f t="shared" si="34"/>
        <v>0.88214060475747735</v>
      </c>
      <c r="AA33">
        <f t="shared" si="35"/>
        <v>0.52496778810524103</v>
      </c>
      <c r="AB33">
        <f t="shared" si="36"/>
        <v>0.65068819314066684</v>
      </c>
      <c r="AC33">
        <f>PREV_FEMALE*PREV_SMOKE*(1-$R33)*(1-EXP(-U33/10))+PREV_FEMALE*PREV_SMOKE*$R33*(1-EXP(-V33/10))+PREV_FEMALE*(1-PREV_SMOKE)*(1-$R33)*(1-EXP(-W33/10))+PREV_FEMALE*(1-PREV_SMOKE)*$R33*(1-EXP(-X33/10))+(1-PREV_FEMALE)*PREV_SMOKE*(1-$S33)*(1-EXP(-Y33/10))+(1-PREV_FEMALE)*PREV_SMOKE*$S33*(1-EXP(-Z33/10))+(1-PREV_FEMALE)*(1-PREV_SMOKE)*(1-$S33)*(1-EXP(-AA33/10))+(1-PREV_FEMALE)*(1-PREV_SMOKE)*$S33*(1-EXP(-AB33/10))</f>
        <v>3.9932258921233907E-2</v>
      </c>
      <c r="AD33">
        <f t="shared" si="37"/>
        <v>0.10878237892921193</v>
      </c>
      <c r="AE33">
        <f t="shared" si="6"/>
        <v>2.4277970503665716E-2</v>
      </c>
      <c r="AF33">
        <f t="shared" si="7"/>
        <v>1.5653057863083972E-3</v>
      </c>
      <c r="AG33">
        <f t="shared" si="8"/>
        <v>6.5832476541768329E-3</v>
      </c>
      <c r="AH33">
        <f>AD32*T32*p_MI*p_MI_rec_old*(1-I32)+AE32*T32*p_MI*p_MI_rec_old*(1-I32) + AH32*(PREV_FEMALE*p_recur_MI_F + (1-PREV_FEMALE)*p_recur_MI_M)*p_MI_rec_old*(1-I32) + AI32*(PREV_FEMALE*p_recur_MI_F + (1-PREV_FEMALE)*p_recur_MI_M)*p_MI_rec_old*(1-I32)</f>
        <v>7.1145870276440786E-4</v>
      </c>
      <c r="AI33">
        <f>AH32*(1-(PREV_FEMALE*p_recur_MI_F + (1-PREV_FEMALE)*p_recur_MI_M) - T32*p_Stroke - p_toHF_old - H32*rr_MI)*(1-I32) + AI32*(1-(PREV_FEMALE*p_recur_MI_F + (1-PREV_FEMALE)*p_recur_MI_M) - T32*p_Stroke - p_toHF_old - H32*rr_MI)*(1-I32)</f>
        <v>4.4134464403702616E-3</v>
      </c>
      <c r="AJ33">
        <f t="shared" si="11"/>
        <v>5.7989616020909755E-5</v>
      </c>
      <c r="AK33">
        <f>AF32*T32*p_MI*p_MI_rec_old*(1-I32) + AG32*T32*p_MI*p_MI_rec_old*(1-I32) + AJ32*(PREV_FEMALE*p_recur_MI_F + (1-PREV_FEMALE)*p_recur_MI_M)*p_MI_rec_old*(1-I32) + AK32*(PREV_FEMALE*p_recur_MI_F + (1-PREV_FEMALE)*p_recur_MI_M)*p_MI_rec_old*(1-I32) + AL32*(PREV_FEMALE*p_recur_MI_F + (1-PREV_FEMALE)*p_recur_MI_M)*p_MI_rec_old*(1-I32)</f>
        <v>4.0451059017234218E-5</v>
      </c>
      <c r="AL33">
        <f>AJ32*(1-p_recur_Stroke-(PREV_FEMALE*p_recur_MI_F + (1-PREV_FEMALE)*p_recur_MI_M) - p_toHF_old - H32*rr_MI*rr_Stroke)*(1-I32) + AK32*(1-p_recur_Stroke-(PREV_FEMALE*p_recur_MI_F + (1-PREV_FEMALE)*p_recur_MI_M) - p_toHF_old - H32*rr_MI*rr_Stroke)*(1-I32) + AL32*(1-p_recur_Stroke-(PREV_FEMALE*p_recur_MI_F + (1-PREV_FEMALE)*p_recur_MI_M) - p_toHF_old - H32*rr_MI*rr_Stroke)*(1-I32)</f>
        <v>1.7563374009353633E-4</v>
      </c>
      <c r="AM33">
        <f>AD32*T32*p_MI*p_MI_HF_old*(1-I32) + AE32*T32*p_MI*p_MI_HF_old*(1-I32) + AH32*p_toHF_old*(1-I32) + AH32*(PREV_FEMALE*p_recur_MI_F + (1-PREV_FEMALE)*p_recur_MI_M)*p_MI_HF_old*(1-I32) + AI32*p_toHF_old*(1-I32) + AI32*(PREV_FEMALE*p_recur_MI_F + (1-PREV_FEMALE)*p_recur_MI_M)*p_MI_HF_old*(1-I32)</f>
        <v>7.3193737857619101E-4</v>
      </c>
      <c r="AN33">
        <f t="shared" si="15"/>
        <v>4.4232086416231093E-3</v>
      </c>
      <c r="AO33">
        <f>AF32*T32*p_MI*p_MI_HF_old*(1-I32) + AG32*T32*p_MI*p_MI_HF_old*(1-I32) + AJ32*(PREV_FEMALE*p_recur_MI_F + (1-PREV_FEMALE)*p_recur_MI_M)*p_MI_HF_old*(1-I32) + AJ32*p_toHF_old*(1-I32) + AK32*(PREV_FEMALE*p_recur_MI_F + (1-PREV_FEMALE)*p_recur_MI_M)*p_MI_HF_old*(1-I32) + AK32*p_toHF_old*(1-I32) + AL32*(PREV_FEMALE*p_recur_MI_F + (1-PREV_FEMALE)*p_recur_MI_M)*p_MI_HF_old*(1-I32) + AL32*p_toHF_old*(1-I32)</f>
        <v>3.9700727742323911E-5</v>
      </c>
      <c r="AP33">
        <f>AM32*T32*p_Stroke*p_Stroke_rec*(1-I32) + AN32*T32*p_Stroke*p_Stroke_rec*(1-I32) + AO32*(p_recur_Stroke*p_Stroke_rec)*(1-I32) + AP32*(p_recur_Stroke*p_Stroke_rec)*(1-I32) + AQ32*(p_recur_Stroke*p_Stroke_rec)*(1-I32)</f>
        <v>4.6826701202169532E-5</v>
      </c>
      <c r="AQ33">
        <f>AO32*(1-p_recur_Stroke-H32*rr_Stroke*rr_HF)*(1-I32) + AP32*(1-p_recur_Stroke-H32*rr_Stroke*rr_HF)*(1-I32) + AQ32*(1-p_recur_Stroke-H32*rr_Stroke*rr_HF)*(1-I32)</f>
        <v>1.6679467800408577E-4</v>
      </c>
      <c r="AR33">
        <f>AR32*(1-AC32-H32*rr_DM) + AD32*(1-T32-H32)*I32</f>
        <v>0.28137399944969654</v>
      </c>
      <c r="AS33">
        <f>AR32*AC32*p_Other + AD32*T32*p_Other*I32 + AE32*(1-T32*p_Stroke-T32*p_MI-H32*rr_Other)*I32 + AS32*(1-AC32*p_Stroke-AC32*p_MI-H32*rr_Other*rr_DM)</f>
        <v>0.10313835874204408</v>
      </c>
      <c r="AT33">
        <f>AR32*AC32*p_Stroke*p_Stroke_rec + AD32*T32*p_Stroke*p_Stroke_rec*I32 + AE32*T32*p_Stroke*p_Stroke_rec*I32 + AF32*p_recur_Stroke*p_Stroke_rec*I32 + AG32*p_recur_Stroke*p_Stroke_rec*I32 + AS32*AC32*p_Stroke*p_Stroke_rec + AT32*p_recur_Stroke*p_Stroke_rec + AU32*p_recur_Stroke*p_Stroke_rec</f>
        <v>7.5036732132121257E-3</v>
      </c>
      <c r="AU33">
        <f>AF32*(1-p_recur_Stroke-T32*p_MI-H32*rr_Stroke)*I32 + AG32*(1-p_recur_Stroke-T32*p_MI-H32*rr_Stroke)*I32 + AT32*(1-p_recur_Stroke-AC32*p_MI-H32*rr_Stroke*rr_DM) + AU32*(1-p_recur_Stroke-AC32*p_MI-H32*rr_Stroke*rr_DM)</f>
        <v>2.9884447113370387E-2</v>
      </c>
      <c r="AV33">
        <f>AR32*AC32*p_MI*p_MI_rec_old + AD32*T32*p_MI*p_MI_rec_old*I32 + AE32*T32*p_MI*p_MI_rec_old*I32 +AH32*(PREV_FEMALE*p_recur_MI_F + (1-PREV_FEMALE)*p_recur_MI_M)*p_MI_rec_old*I32 + AI32*(PREV_FEMALE*p_recur_MI_F + (1-PREV_FEMALE)*p_recur_MI_M)*p_MI_rec_old*I32 + AS32*AC32*p_MI*p_MI_rec_old + AV32*(PREV_FEMALE*p_recur_MI_F + (1-PREV_FEMALE)*p_recur_MI_M)*p_MI_rec_old + AW32*(PREV_FEMALE*p_recur_MI_F + (1-PREV_FEMALE)*p_recur_MI_M)*p_MI_rec_old</f>
        <v>3.5164148267217117E-3</v>
      </c>
      <c r="AW33">
        <f>AH32*(1-(PREV_FEMALE*p_recur_MI_F + (1-PREV_FEMALE)*p_recur_MI_M) - T32*p_Stroke - p_toHF_old - H32*rr_MI)*I32 + AI32*(1-(PREV_FEMALE*p_recur_MI_F + (1-PREV_FEMALE)*p_recur_MI_M) - T32*p_Stroke - p_toHF_old - H32*rr_MI)*I32 + AV32*(1-(PREV_FEMALE*p_recur_MI_F + (1-PREV_FEMALE)*p_recur_MI_M) - AC32*p_Stroke - p_toHF_old - H32*rr_MI*rr_DM) + AW32*(1-(PREV_FEMALE*p_recur_MI_F + (1-PREV_FEMALE)*p_recur_MI_M) - AC32*p_Stroke - p_toHF_old - H32*rr_MI*rr_DM)</f>
        <v>2.0931066934282285E-2</v>
      </c>
      <c r="AX33">
        <f>AH32*T32*p_Stroke*p_Stroke_rec*I32 + AI32*T32*p_Stroke*p_Stroke_rec*I32 + AJ32*p_recur_Stroke*p_Stroke_rec*I32 + AK32*p_recur_Stroke*p_Stroke_rec*I32 + AL32*p_recur_Stroke*p_Stroke_rec*I32 + AV32*AC32*p_Stroke*p_Stroke_rec + AW32*AC32*p_Stroke*p_Stroke_rec + AX32*p_recur_Stroke*p_Stroke_rec + AY32*p_recur_Stroke*p_Stroke_rec + AZ32*p_recur_Stroke*p_Stroke_rec</f>
        <v>4.5710925122757165E-4</v>
      </c>
      <c r="AY33">
        <f>AF32*T32*p_MI*p_MI_rec_old*I32 + AG32*T32*p_MI*p_MI_rec_old*I32 + AJ32*(PREV_FEMALE*p_recur_MI_F+(1-PREV_FEMALE)*p_recur_MI_M)*p_MI_rec_old*I32 + AK32*(PREV_FEMALE*p_recur_MI_F+(1-PREV_FEMALE)*p_recur_MI_M)*p_MI_rec_old*I32 + AL32*(PREV_FEMALE*p_recur_MI_F+(1-PREV_FEMALE)*p_recur_MI_M)*p_MI_rec_old*I32 + AT32*AC32*p_MI*p_MI_rec_old + AU32*AC32*p_MI*p_MI_rec_old + AX32*(PREV_FEMALE*p_recur_MI_F+(1-PREV_FEMALE)*p_recur_MI_M)*p_MI_rec_old + AY32*(PREV_FEMALE*p_recur_MI_F+(1-PREV_FEMALE)*p_recur_MI_M)*p_MI_rec_old + AZ32*(PREV_FEMALE*p_recur_MI_F+(1-PREV_FEMALE)*p_recur_MI_M)*p_MI_rec_old</f>
        <v>3.1650625388360862E-4</v>
      </c>
      <c r="AZ33">
        <f>AJ32*(1-p_recur_Stroke-(PREV_FEMALE*p_recur_MI_F + (1-PREV_FEMALE)*p_recur_MI_M) - p_toHF_old - H32*rr_MI*rr_Stroke)*I32 + AK32*(1-p_recur_Stroke-(PREV_FEMALE*p_recur_MI_F + (1-PREV_FEMALE)*p_recur_MI_M) - p_toHF_old - H32*rr_MI*rr_Stroke)*I32 + AL32*(1-p_recur_Stroke-(PREV_FEMALE*p_recur_MI_F + (1-PREV_FEMALE)*p_recur_MI_M) - p_toHF_old - H32*rr_MI*rr_Stroke)*I32 + AX32*(1-p_recur_Stroke-(PREV_FEMALE*p_recur_MI_F + (1-PREV_FEMALE)*p_recur_MI_M) - p_toHF_old - H32*rr_MI*rr_Stroke*rr_DM) + AY32*(1-p_recur_Stroke-(PREV_FEMALE*p_recur_MI_F + (1-PREV_FEMALE)*p_recur_MI_M) - p_toHF_old - H32*rr_MI*rr_Stroke*rr_DM) + AZ32*(1-p_recur_Stroke-(PREV_FEMALE*p_recur_MI_F + (1-PREV_FEMALE)*p_recur_MI_M) - p_toHF_old - H32*rr_MI*rr_Stroke*rr_DM)</f>
        <v>1.2923561274160306E-3</v>
      </c>
      <c r="BA33">
        <f>AR32*AC32*p_MI*p_MI_HF_old + AD32*T32*p_MI*p_MI_HF_old*I32 + AE32*T32*p_MI*p_MI_HF_old*I32 + AH32*p_toHF_old*I32 + AH32*(PREV_FEMALE*p_recur_MI_F + (1-PREV_FEMALE)*p_recur_MI_M)*p_MI_HF_old*I32 + AI32*p_toHF_old*I32 + AI32*(PREV_FEMALE*p_recur_MI_F + (1-PREV_FEMALE)*p_recur_MI_M)*p_MI_HF_old*I32 + AS32*AC32*p_MI*p_MI_HF_old + AV32*(PREV_FEMALE*p_recur_MI_F + (1-PREV_FEMALE)*p_recur_MI_M)*p_MI_HF_old + AV32*p_toHF_old + AW32*(PREV_FEMALE*p_recur_MI_F + (1-PREV_FEMALE)*p_recur_MI_M)*p_MI_HF_old + AW32*p_toHF_old</f>
        <v>3.5540911925713041E-3</v>
      </c>
      <c r="BB33">
        <f>AM32*(1-T32*p_Stroke - H32*rr_HF)*I32 + AN32*(1-T32*p_Stroke - H32*rr_HF)*I32 + BA32*(1-AC32*p_Stroke - H32*rr_HF*rr_DM) + BB32*(1-AC32*p_Stroke - H32*rr_HF*rr_DM)</f>
        <v>1.9817413926541499E-2</v>
      </c>
      <c r="BC33">
        <f>AF32*T32*p_MI*p_MI_HF_old*I32 + AG32*T32*p_MI*p_MI_HF_old*I32 + AJ32*(PREV_FEMALE*p_recur_MI_F + (1-PREV_FEMALE)*p_recur_MI_M)*p_MI_HF_old*I32 + AJ32*p_toHF_old*I32 + AK32*(PREV_FEMALE*p_recur_MI_F + (1-PREV_FEMALE)*p_recur_MI_M)*p_MI_HF_old*I32 + AK32*p_toHF_old*I32 + AL32*(PREV_FEMALE*p_recur_MI_F + (1-PREV_FEMALE)*p_recur_MI_M)*p_MI_HF_old*I32 + AL32*p_toHF_old*I32 + AT32*AC32*p_MI*p_MI_HF_old + AU32*AC32*p_MI*p_MI_HF_old + AX32*(PREV_FEMALE*p_recur_MI_F + (1-PREV_FEMALE)*p_recur_MI_M)*p_MI_HF_old + AX32*p_toHF_old + AY32*(PREV_FEMALE*p_recur_MI_F + (1-PREV_FEMALE)*p_recur_MI_M)*p_MI_HF_old + AY32*p_toHF_old + AZ32*(PREV_FEMALE*p_recur_MI_F + (1-PREV_FEMALE)*p_recur_MI_M)*p_MI_HF_old + AZ32*p_toHF_old</f>
        <v>3.0488069867654045E-4</v>
      </c>
      <c r="BD33">
        <f>AM32*T32*p_Stroke*p_Stroke_rec*I32 + AN32*T32*p_Stroke*p_Stroke_rec*I32 + AO32*(p_recur_Stroke*p_Stroke_rec)*I32 + AP32*(p_recur_Stroke*p_Stroke_rec)*I32 + AQ32*(p_recur_Stroke*p_Stroke_rec)*I32 + BA32*AC32*p_Stroke*p_Stroke_rec + BB32*AC32*p_Stroke*p_Stroke_rec + BC32*(p_recur_Stroke*p_Stroke_rec) + BD32*(p_recur_Stroke*p_Stroke_rec) + BE32*(p_recur_Stroke*p_Stroke_rec)</f>
        <v>3.4869092608262012E-4</v>
      </c>
      <c r="BE33">
        <f>AO32*(1-p_recur_Stroke - H32*rr_Stroke*rr_HF)*I32 + AP32*(1-p_recur_Stroke-H32*rr_Stroke*rr_HF)*I32 + AQ32*(1-p_recur_Stroke-H32*rr_Stroke*rr_HF)*I32 + BC32*(1-p_recur_Stroke - H32*rr_Stroke*rr_HF*rr_DM) + BD32*(1-p_recur_Stroke-H32*rr_Stroke*rr_HF*rr_DM) + BE32*(1-p_recur_Stroke-H32*rr_Stroke*rr_HF*rr_DM)</f>
        <v>1.158475569062042E-3</v>
      </c>
      <c r="BF33">
        <f>AD32*H32 + AE32*H32*rr_Other + AF32*H32*rr_Stroke + AG32*H32*rr_Stroke + AH32*H32*rr_MI + AI32*H32*rr_MI + AJ32*H32*rr_Stroke*rr_MI + AK32*H32*rr_Stroke*rr_MI + AL32*H32*rr_Stroke*rr_MI + AM32*H32*rr_HF + AN32*H32*rr_HF + AO32*H32*rr_Stroke*rr_HF + AP32*H32*rr_Stroke*rr_HF + AR32*H32*rr_DM + AS32*H32*rr_DM*rr_Other + AT32*H32*rr_DM*rr_Stroke + AU32*H32*rr_DM*rr_Stroke + AV32*H32*rr_DM*rr_MI + AW32*H32*rr_DM*rr_MI + AX32*H32*rr_DM*rr_Stroke*rr_MI + AY32*H32*rr_DM*rr_Stroke*rr_MI + AZ32*H32*rr_DM*rr_Stroke*rr_MI + BA32*H32*rr_DM*rr_HF + BB32*H32*rr_DM*rr_HF + BC32*H32*rr_DM*rr_Stroke*rr_HF + BD32*H32*rr_DM*rr_Stroke*rr_HF + AQ32*H32*rr_Stroke*rr_HF + BE32*H32*rr_DM*rr_Stroke*rr_HF
+ AD32*T32*p_MI*p_MI_mort + AD32*T32*p_Stroke*p_Stroke_mort + AE32*T32*p_MI*p_MI_mort + AE32*T32*p_Stroke*p_Stroke_mort + AF32*T32*p_MI*p_MI_mort + AF32*p_recur_Stroke*p_Stroke_mort + AG32*T32*p_MI*p_MI_mort + AG32*p_recur_Stroke*p_Stroke_mort + AH32*(PREV_FEMALE*p_recur_MI_F + (1-PREV_FEMALE)*p_recur_MI_M)*p_MI_mort + AH32*T32*p_Stroke*p_Stroke_mort + AI32*(PREV_FEMALE*p_recur_MI_F + (1-PREV_FEMALE)*p_recur_MI_M)*p_MI_mort + AI32*T32*p_Stroke*p_Stroke_mort + AJ32*(PREV_FEMALE*p_recur_MI_F + (1-PREV_FEMALE)*p_recur_MI_M)*p_MI_mort + AJ32*p_recur_Stroke*p_Stroke_mort + AK32*(PREV_FEMALE*p_recur_MI_F + (1-PREV_FEMALE)*p_recur_MI_M)*p_MI_mort + AK32*p_recur_Stroke*p_Stroke_mort + AL32*(PREV_FEMALE*p_recur_MI_F + (1-PREV_FEMALE)*p_recur_MI_M)*p_MI_mort + AL32*p_recur_Stroke*p_Stroke_mort + AM32*T32*p_Stroke*p_Stroke_mort + AN32*T32*p_Stroke*p_Stroke_mort + AO32*p_recur_Stroke*p_Stroke_mort + AP32*p_recur_Stroke*p_Stroke_mort + AQ32*p_recur_Stroke*p_Stroke_mort
+ AR32*AC32*p_MI*p_MI_mort + AR32*AC32*p_Stroke*p_Stroke_mort + AS32*AC32*p_MI*p_MI_mort + AS32*AC32*p_Stroke*p_Stroke_mort + AT32*AC32*p_MI*p_MI_mort + AT32*p_recur_Stroke*p_Stroke_mort + AU32*AC32*p_MI*p_MI_mort + AU32*p_recur_Stroke*p_Stroke_mort + AV32*(PREV_FEMALE*p_recur_MI_F + (1-PREV_FEMALE)*p_recur_MI_M)*p_MI_mort + AV32*AC32*p_Stroke*p_Stroke_mort + AW32*(PREV_FEMALE*p_recur_MI_F + (1-PREV_FEMALE)*p_recur_MI_M)*p_MI_mort + AW32*AC32*p_Stroke*p_Stroke_mort + AX32*(PREV_FEMALE*p_recur_MI_F + (1-PREV_FEMALE)*p_recur_MI_M)*p_MI_mort + AX32*p_recur_Stroke*p_Stroke_mort + AY32*(PREV_FEMALE*p_recur_MI_F + (1-PREV_FEMALE)*p_recur_MI_M)*p_MI_mort + AY32*p_recur_Stroke*p_Stroke_mort + AZ32*(PREV_FEMALE*p_recur_MI_F + (1-PREV_FEMALE)*p_recur_MI_M)*p_MI_mort + AZ32*p_recur_Stroke*p_Stroke_mort + BA32*AC32*p_Stroke*p_Stroke_mort + BB32*AC32*p_Stroke*p_Stroke_mort + BC32*p_recur_Stroke*p_Stroke_mort + BD32*p_recur_Stroke*p_Stroke_mort + BE32*p_recur_Stroke*p_Stroke_mort
+BF32</f>
        <v>0.32138616521643476</v>
      </c>
      <c r="BG33">
        <f t="shared" si="17"/>
        <v>0.94700000000000006</v>
      </c>
      <c r="BH33">
        <f>(0.9442 - 0.0007*$B33 - dis_BMI*($C33-21.75))*AD33</f>
        <v>9.1795292495714553E-2</v>
      </c>
      <c r="BI33">
        <f>0.959*(0.9442 - 0.0007*$B33 - dis_BMI*($C33-21.75))*AE33</f>
        <v>1.9646846162741555E-2</v>
      </c>
      <c r="BJ33">
        <f>(0.943*(0.9442 - 0.0007*$B33 - dis_BMI*($C33-21.75)) - 0.19*0.5)*AF33</f>
        <v>1.096879148523639E-3</v>
      </c>
      <c r="BK33">
        <f>(0.943*(0.9442 - 0.0007*$B33 - dis_BMI*($C33-21.75)))*AG33</f>
        <v>5.2385819687806746E-3</v>
      </c>
      <c r="BL33">
        <f>(0.955*(0.9442 - 0.0007*$B33 - dis_BMI*($C33-21.75)) - 0.15*0.5)*AH33</f>
        <v>5.1998414011146293E-4</v>
      </c>
      <c r="BM33">
        <f>(0.955*(0.9442 - 0.0007*$B33 - dis_BMI*($C33-21.75)))*AI33</f>
        <v>3.5566660557117416E-3</v>
      </c>
      <c r="BN33">
        <f>(0.955*0.943*(0.9442 - 0.0007*$B33 - dis_BMI*($C33-21.75)) - 0.19*0.5)*AJ33</f>
        <v>3.8559373548447133E-5</v>
      </c>
      <c r="BO33">
        <f>(0.955*0.943*(0.9442 - 0.0007*$B33 - dis_BMI*($C33-21.75)) - 0.15*0.5)*AK33</f>
        <v>2.7706379743874365E-5</v>
      </c>
      <c r="BP33">
        <f>(0.955*0.943*(0.9442 - 0.0007*$B33 - dis_BMI*($C33-21.75)))*AL33</f>
        <v>1.3347037232112473E-4</v>
      </c>
      <c r="BQ33">
        <f>(0.93*(0.9442 - 0.0007*$B33 - dis_BMI*($C33-21.75)))*AM33</f>
        <v>5.7440568929608283E-4</v>
      </c>
      <c r="BR33">
        <f>(0.93*(0.9442 - 0.0007*$B33 - dis_BMI*($C33-21.75)))*AN33</f>
        <v>3.4712207397226626E-3</v>
      </c>
      <c r="BS33">
        <f>(0.93*0.943*(0.9442 - 0.0007*$B33 - dis_BMI*($C33-21.75)))*AO33</f>
        <v>2.9380214827677626E-5</v>
      </c>
      <c r="BT33">
        <f>(0.93*0.943*(0.9442 - 0.0007*$B33 - dis_BMI*($C33-21.75))-0.19*0.5)*AP33</f>
        <v>3.0205199456342782E-5</v>
      </c>
      <c r="BU33">
        <f>(0.93*0.943*(0.9442 - 0.0007*$B33 - dis_BMI*($C33-21.75)))*AQ33</f>
        <v>1.2343510435575968E-4</v>
      </c>
      <c r="BV33">
        <f>0.962*(0.9442 - 0.0007*$B33 - dis_BMI*($C33-21.75))*AR33</f>
        <v>0.22841303985727532</v>
      </c>
      <c r="BW33">
        <f>0.962*0.959*(0.9442 - 0.0007*$B33 - dis_BMI*($C33-21.75))*AS33</f>
        <v>8.0292642896832023E-2</v>
      </c>
      <c r="BX33">
        <f>0.962*(0.943*(0.9442 - 0.0007*$B33 - dis_BMI*($C33-21.75)) - 0.19*0.5)*AT33</f>
        <v>5.0583464854842613E-3</v>
      </c>
      <c r="BY33">
        <f>0.962*(0.943*(0.9442 - 0.0007*$B33 - dis_BMI*($C33-21.75)))*AU33</f>
        <v>2.2876724821269092E-2</v>
      </c>
      <c r="BZ33">
        <f>0.962*(0.955*(0.9442 - 0.0007*$B33 - dis_BMI*($C33-21.75)) - 0.15*0.5)*AV33</f>
        <v>2.4723820165462708E-3</v>
      </c>
      <c r="CA33">
        <f>0.962*(0.955*(0.9442 - 0.0007*$B33 - dis_BMI*($C33-21.75)))*AW33</f>
        <v>1.6226754592389338E-2</v>
      </c>
      <c r="CB33">
        <f>0.962*(0.955*0.943*(0.9442 - 0.0007*$B33 - dis_BMI*($C33-21.75)) - 0.19*0.5)*AX33</f>
        <v>2.9239828389863109E-4</v>
      </c>
      <c r="CC33">
        <f>0.962*(0.955*0.943*(0.9442 - 0.0007*$B33 - dis_BMI*($C33-21.75)) - 0.15*0.5)*AY33</f>
        <v>2.0854858816632228E-4</v>
      </c>
      <c r="CD33">
        <f>0.962*(0.955*0.943*(0.9442 - 0.0007*$B33 - dis_BMI*($C33-21.75)))*AZ33</f>
        <v>9.4478763463341255E-4</v>
      </c>
      <c r="CE33">
        <f>0.962*(0.93*(0.9442 - 0.0007*$B33 - dis_BMI*($C33-21.75)))*BA33</f>
        <v>2.6831715815106459E-3</v>
      </c>
      <c r="CF33">
        <f>0.962*(0.93*(0.9442 - 0.0007*$B33 - dis_BMI*($C33-21.75)))*BB33</f>
        <v>1.4961214832605244E-2</v>
      </c>
      <c r="CG33">
        <f>0.962*(0.93*0.943*(0.9442 - 0.0007*$B33 - dis_BMI*($C33-21.75)))*BC33</f>
        <v>2.1705085568578776E-4</v>
      </c>
      <c r="CH33">
        <f>0.962*(0.93*0.943*(0.9442 - 0.0007*$B33 - dis_BMI*($C33-21.75))-0.19*0.5)*BD33</f>
        <v>2.163733961592233E-4</v>
      </c>
      <c r="CI33">
        <f>0.962*(0.93*0.943*(0.9442 - 0.0007*$B33 - dis_BMI*($C33-21.75)))*BE33</f>
        <v>8.247426440817988E-4</v>
      </c>
      <c r="CJ33">
        <f t="shared" si="18"/>
        <v>0</v>
      </c>
      <c r="CK33">
        <f t="shared" si="19"/>
        <v>0.50197081153139289</v>
      </c>
      <c r="CL33">
        <f>CK33/(1+r_)^A33</f>
        <v>0.20680532801438858</v>
      </c>
      <c r="CM33">
        <f>AD33*c_BN_2</f>
        <v>227.89908385669898</v>
      </c>
      <c r="CN33">
        <f>AE33*(c_Other+c_BN_2)</f>
        <v>397.52748902702245</v>
      </c>
      <c r="CO33">
        <f>AF33*(c_Stroke1+c_Stroke2+c_BN_2)</f>
        <v>40.55863822903688</v>
      </c>
      <c r="CP33">
        <f>AG33*(c_Stroke2 + c_BN_2)</f>
        <v>56.58301358764988</v>
      </c>
      <c r="CQ33">
        <f>AH33*(c_MI1+c_MI2 + c_BN_2)</f>
        <v>22.230238626576689</v>
      </c>
      <c r="CR33">
        <f>AI33*(c_MI2+c_BN_2)</f>
        <v>23.002882847209804</v>
      </c>
      <c r="CS33">
        <f>AJ33*(c_Stroke1+c_Stroke2+c_MI2+c_BN_2)</f>
        <v>1.6833225738549684</v>
      </c>
      <c r="CT33">
        <f>AK33*(c_Stroke2+c_MI1+c_MI2+c_BN_2)</f>
        <v>1.5268656736645227</v>
      </c>
      <c r="CU33">
        <f>AL33*(c_Stroke2+c_MI2+c_BN_2)</f>
        <v>2.0570223639754976</v>
      </c>
      <c r="CV33">
        <f>AM33*(c_HF1+c_BN_2)</f>
        <v>21.317676151031563</v>
      </c>
      <c r="CW33">
        <f>AN33*(c_HF2+c_BN_2)</f>
        <v>78.290792956729035</v>
      </c>
      <c r="CX33">
        <f>AO33*(c_Stroke2+c_HF1+c_BN_2)</f>
        <v>1.4143384258202893</v>
      </c>
      <c r="CY33">
        <f>AP33*(c_Stroke1+c_Stroke2+c_HF2+c_BN_2)</f>
        <v>1.9440573271092703</v>
      </c>
      <c r="CZ33">
        <f>AQ33*(c_Stroke2+c_HF2+c_BN_2)</f>
        <v>4.0364312076988753</v>
      </c>
      <c r="DA33">
        <f>AR33*(c_DM+c_BN_2)</f>
        <v>3804.1764725598973</v>
      </c>
      <c r="DB33">
        <f>AS33*(c_Other+c_DM+c_BN_2)</f>
        <v>2867.1432346700835</v>
      </c>
      <c r="DC33">
        <f>AT33*(c_Stroke1+c_Stroke2+c_DM+c_BN_2)</f>
        <v>280.15714308848794</v>
      </c>
      <c r="DD33">
        <f>AU33*(c_Stroke2+c_DM+c_BN_2)</f>
        <v>598.28663120967519</v>
      </c>
      <c r="DE33">
        <f>AV33*(c_MI1+c_MI2+c_DM+c_BN_2)</f>
        <v>150.04893707104216</v>
      </c>
      <c r="DF33">
        <f>AW33*(c_MI2+c_DM+c_BN_2)</f>
        <v>348.2301605856544</v>
      </c>
      <c r="DG33">
        <f>AX33*(c_Stroke1+c_Stroke2+c_MI2+c_DM+c_BN_2)</f>
        <v>18.491440539908957</v>
      </c>
      <c r="DH33">
        <f>AY33*(c_Stroke2+c_MI1+c_MI2+c_DM+c_BN_2)</f>
        <v>15.562929009710919</v>
      </c>
      <c r="DI33">
        <f>AZ33*(c_Stroke2+c_MI2+c_DM+c_BN_2)</f>
        <v>29.901243720024699</v>
      </c>
      <c r="DJ33">
        <f>BA33*(c_HF1+c_DM+c_BN_2)</f>
        <v>144.11839785876637</v>
      </c>
      <c r="DK33">
        <f>BB33*(c_HF2+c_DM+c_BN_2)</f>
        <v>577.18218061052119</v>
      </c>
      <c r="DL33">
        <f>BC33*(c_Stroke2+c_HF1+c_DM+c_BN_2)</f>
        <v>14.344636872731227</v>
      </c>
      <c r="DM33">
        <f>BD33*(c_Stroke1+c_Stroke2+c_HF2+c_DM+c_BN_2)</f>
        <v>18.460046317739991</v>
      </c>
      <c r="DN33">
        <f>BE33*(c_Stroke2+c_HF2+c_DM+c_BN_2)</f>
        <v>41.270692147835248</v>
      </c>
      <c r="DO33">
        <f t="shared" si="5"/>
        <v>0</v>
      </c>
      <c r="DP33">
        <f t="shared" si="38"/>
        <v>9787.4459991161566</v>
      </c>
      <c r="DQ33">
        <f>DP33/(1+r_)^A33</f>
        <v>4032.2981611127934</v>
      </c>
    </row>
    <row r="34" spans="1:121" x14ac:dyDescent="0.3">
      <c r="A34">
        <v>31</v>
      </c>
      <c r="B34">
        <v>76</v>
      </c>
      <c r="C34">
        <f t="shared" si="39"/>
        <v>36.251999999999995</v>
      </c>
      <c r="D34">
        <f t="shared" si="1"/>
        <v>125</v>
      </c>
      <c r="E34">
        <f t="shared" si="40"/>
        <v>5.7</v>
      </c>
      <c r="F34">
        <v>2.6079999999999999E-2</v>
      </c>
      <c r="G34">
        <v>3.7280000000000001E-2</v>
      </c>
      <c r="H34">
        <f t="shared" si="3"/>
        <v>2.8319999999999998E-2</v>
      </c>
      <c r="I34">
        <f t="shared" si="20"/>
        <v>4.7655426853004217E-2</v>
      </c>
      <c r="J34">
        <f t="shared" si="21"/>
        <v>0.29166335989828718</v>
      </c>
      <c r="K34">
        <f t="shared" si="22"/>
        <v>0.38303290874592522</v>
      </c>
      <c r="L34">
        <f t="shared" si="23"/>
        <v>0.15061683215625854</v>
      </c>
      <c r="M34">
        <f t="shared" si="24"/>
        <v>0.20437160730663129</v>
      </c>
      <c r="N34">
        <f t="shared" si="25"/>
        <v>0.6041583636880058</v>
      </c>
      <c r="O34">
        <f t="shared" si="26"/>
        <v>0.73003820923428653</v>
      </c>
      <c r="P34">
        <f t="shared" si="27"/>
        <v>0.36609408406324406</v>
      </c>
      <c r="Q34">
        <f t="shared" si="28"/>
        <v>0.47487433752816122</v>
      </c>
      <c r="R34">
        <f>IF(C34&lt;25, HT_f_low, IF(C34&lt;30, HT_f_mod, HT_f_high))</f>
        <v>0.42</v>
      </c>
      <c r="S34">
        <f>IF(C34&lt;25, HT_m_low, IF(C34&lt;30, HT_m_mod, HT_m_high))</f>
        <v>0.43099999999999999</v>
      </c>
      <c r="T34">
        <f>PREV_FEMALE*PREV_SMOKE*(1-$R34)*(1-EXP(-J34/10))+PREV_FEMALE*PREV_SMOKE*$R34*(1-EXP(-K34/10))+PREV_FEMALE*(1-PREV_SMOKE)*(1-$R34)*(1-EXP(-L34/10))+PREV_FEMALE*(1-PREV_SMOKE)*$R34*(1-EXP(-M34/10))+(1-PREV_FEMALE)*PREV_SMOKE*(1-$S34)*(1-EXP(-N34/10))+(1-PREV_FEMALE)*PREV_SMOKE*$S34*(1-EXP(-O34/10))+(1-PREV_FEMALE)*(1-PREV_SMOKE)*(1-$S34)*(1-EXP(-P34/10))+(1-PREV_FEMALE)*(1-PREV_SMOKE)*$S34*(1-EXP(-Q34/10))</f>
        <v>2.3932344761637546E-2</v>
      </c>
      <c r="U34">
        <f t="shared" si="29"/>
        <v>0.52785495976991181</v>
      </c>
      <c r="V34">
        <f t="shared" si="30"/>
        <v>0.65042090856382129</v>
      </c>
      <c r="W34">
        <f t="shared" si="31"/>
        <v>0.29901667677302146</v>
      </c>
      <c r="X34">
        <f t="shared" si="32"/>
        <v>0.39198409085940777</v>
      </c>
      <c r="Y34">
        <f t="shared" si="33"/>
        <v>0.79340429070756557</v>
      </c>
      <c r="Z34">
        <f t="shared" si="34"/>
        <v>0.89228554693677253</v>
      </c>
      <c r="AA34">
        <f t="shared" si="35"/>
        <v>0.53962157844342395</v>
      </c>
      <c r="AB34">
        <f t="shared" si="36"/>
        <v>0.66581637172468267</v>
      </c>
      <c r="AC34">
        <f>PREV_FEMALE*PREV_SMOKE*(1-$R34)*(1-EXP(-U34/10))+PREV_FEMALE*PREV_SMOKE*$R34*(1-EXP(-V34/10))+PREV_FEMALE*(1-PREV_SMOKE)*(1-$R34)*(1-EXP(-W34/10))+PREV_FEMALE*(1-PREV_SMOKE)*$R34*(1-EXP(-X34/10))+(1-PREV_FEMALE)*PREV_SMOKE*(1-$S34)*(1-EXP(-Y34/10))+(1-PREV_FEMALE)*PREV_SMOKE*$S34*(1-EXP(-Z34/10))+(1-PREV_FEMALE)*(1-PREV_SMOKE)*(1-$S34)*(1-EXP(-AA34/10))+(1-PREV_FEMALE)*(1-PREV_SMOKE)*$S34*(1-EXP(-AB34/10))</f>
        <v>4.0982798832442213E-2</v>
      </c>
      <c r="AD34">
        <f t="shared" si="37"/>
        <v>9.8397118061870792E-2</v>
      </c>
      <c r="AE34">
        <f t="shared" si="6"/>
        <v>2.3016029303733723E-2</v>
      </c>
      <c r="AF34">
        <f t="shared" si="7"/>
        <v>1.4790606486760739E-3</v>
      </c>
      <c r="AG34">
        <f t="shared" si="8"/>
        <v>6.1336588424121671E-3</v>
      </c>
      <c r="AH34">
        <f>AD33*T33*p_MI*p_MI_rec_old*(1-I33)+AE33*T33*p_MI*p_MI_rec_old*(1-I33) + AH33*(PREV_FEMALE*p_recur_MI_F + (1-PREV_FEMALE)*p_recur_MI_M)*p_MI_rec_old*(1-I33) + AI33*(PREV_FEMALE*p_recur_MI_F + (1-PREV_FEMALE)*p_recur_MI_M)*p_MI_rec_old*(1-I33)</f>
        <v>6.5766866133704137E-4</v>
      </c>
      <c r="AI34">
        <f>AH33*(1-(PREV_FEMALE*p_recur_MI_F + (1-PREV_FEMALE)*p_recur_MI_M) - T33*p_Stroke - p_toHF_old - H33*rr_MI)*(1-I33) + AI33*(1-(PREV_FEMALE*p_recur_MI_F + (1-PREV_FEMALE)*p_recur_MI_M) - T33*p_Stroke - p_toHF_old - H33*rr_MI)*(1-I33)</f>
        <v>3.8943309255658428E-3</v>
      </c>
      <c r="AJ34">
        <f t="shared" si="11"/>
        <v>5.2785353136196809E-5</v>
      </c>
      <c r="AK34">
        <f>AF33*T33*p_MI*p_MI_rec_old*(1-I33) + AG33*T33*p_MI*p_MI_rec_old*(1-I33) + AJ33*(PREV_FEMALE*p_recur_MI_F + (1-PREV_FEMALE)*p_recur_MI_M)*p_MI_rec_old*(1-I33) + AK33*(PREV_FEMALE*p_recur_MI_F + (1-PREV_FEMALE)*p_recur_MI_M)*p_MI_rec_old*(1-I33) + AL33*(PREV_FEMALE*p_recur_MI_F + (1-PREV_FEMALE)*p_recur_MI_M)*p_MI_rec_old*(1-I33)</f>
        <v>3.8445361305787049E-5</v>
      </c>
      <c r="AL34">
        <f>AJ33*(1-p_recur_Stroke-(PREV_FEMALE*p_recur_MI_F + (1-PREV_FEMALE)*p_recur_MI_M) - p_toHF_old - H33*rr_MI*rr_Stroke)*(1-I33) + AK33*(1-p_recur_Stroke-(PREV_FEMALE*p_recur_MI_F + (1-PREV_FEMALE)*p_recur_MI_M) - p_toHF_old - H33*rr_MI*rr_Stroke)*(1-I33) + AL33*(1-p_recur_Stroke-(PREV_FEMALE*p_recur_MI_F + (1-PREV_FEMALE)*p_recur_MI_M) - p_toHF_old - H33*rr_MI*rr_Stroke)*(1-I33)</f>
        <v>1.5462269730876277E-4</v>
      </c>
      <c r="AM34">
        <f>AD33*T33*p_MI*p_MI_HF_old*(1-I33) + AE33*T33*p_MI*p_MI_HF_old*(1-I33) + AH33*p_toHF_old*(1-I33) + AH33*(PREV_FEMALE*p_recur_MI_F + (1-PREV_FEMALE)*p_recur_MI_M)*p_MI_HF_old*(1-I33) + AI33*p_toHF_old*(1-I33) + AI33*(PREV_FEMALE*p_recur_MI_F + (1-PREV_FEMALE)*p_recur_MI_M)*p_MI_HF_old*(1-I33)</f>
        <v>6.6078411132556236E-4</v>
      </c>
      <c r="AN34">
        <f t="shared" si="15"/>
        <v>4.6420519316893441E-3</v>
      </c>
      <c r="AO34">
        <f>AF33*T33*p_MI*p_MI_HF_old*(1-I33) + AG33*T33*p_MI*p_MI_HF_old*(1-I33) + AJ33*(PREV_FEMALE*p_recur_MI_F + (1-PREV_FEMALE)*p_recur_MI_M)*p_MI_HF_old*(1-I33) + AJ33*p_toHF_old*(1-I33) + AK33*(PREV_FEMALE*p_recur_MI_F + (1-PREV_FEMALE)*p_recur_MI_M)*p_MI_HF_old*(1-I33) + AK33*p_toHF_old*(1-I33) + AL33*(PREV_FEMALE*p_recur_MI_F + (1-PREV_FEMALE)*p_recur_MI_M)*p_MI_HF_old*(1-I33) + AL33*p_toHF_old*(1-I33)</f>
        <v>3.6683757075592024E-5</v>
      </c>
      <c r="AP34">
        <f>AM33*T33*p_Stroke*p_Stroke_rec*(1-I33) + AN33*T33*p_Stroke*p_Stroke_rec*(1-I33) + AO33*(p_recur_Stroke*p_Stroke_rec)*(1-I33) + AP33*(p_recur_Stroke*p_Stroke_rec)*(1-I33) + AQ33*(p_recur_Stroke*p_Stroke_rec)*(1-I33)</f>
        <v>5.0744917892822887E-5</v>
      </c>
      <c r="AQ34">
        <f>AO33*(1-p_recur_Stroke-H33*rr_Stroke*rr_HF)*(1-I33) + AP33*(1-p_recur_Stroke-H33*rr_Stroke*rr_HF)*(1-I33) + AQ33*(1-p_recur_Stroke-H33*rr_Stroke*rr_HF)*(1-I33)</f>
        <v>1.7519922090132296E-4</v>
      </c>
      <c r="AR34">
        <f>AR33*(1-AC33-H33*rr_DM) + AD33*(1-T33-H33)*I33</f>
        <v>0.26632653426328778</v>
      </c>
      <c r="AS34">
        <f>AR33*AC33*p_Other + AD33*T33*p_Other*I33 + AE33*(1-T33*p_Stroke-T33*p_MI-H33*rr_Other)*I33 + AS33*(1-AC33*p_Stroke-AC33*p_MI-H33*rr_Other*rr_DM)</f>
        <v>0.1025327355562439</v>
      </c>
      <c r="AT34">
        <f>AR33*AC33*p_Stroke*p_Stroke_rec + AD33*T33*p_Stroke*p_Stroke_rec*I33 + AE33*T33*p_Stroke*p_Stroke_rec*I33 + AF33*p_recur_Stroke*p_Stroke_rec*I33 + AG33*p_recur_Stroke*p_Stroke_rec*I33 + AS33*AC33*p_Stroke*p_Stroke_rec + AT33*p_recur_Stroke*p_Stroke_rec + AU33*p_recur_Stroke*p_Stroke_rec</f>
        <v>7.4506618359508458E-3</v>
      </c>
      <c r="AU34">
        <f>AF33*(1-p_recur_Stroke-T33*p_MI-H33*rr_Stroke)*I33 + AG33*(1-p_recur_Stroke-T33*p_MI-H33*rr_Stroke)*I33 + AT33*(1-p_recur_Stroke-AC33*p_MI-H33*rr_Stroke*rr_DM) + AU33*(1-p_recur_Stroke-AC33*p_MI-H33*rr_Stroke*rr_DM)</f>
        <v>2.9246934344062257E-2</v>
      </c>
      <c r="AV34">
        <f>AR33*AC33*p_MI*p_MI_rec_old + AD33*T33*p_MI*p_MI_rec_old*I33 + AE33*T33*p_MI*p_MI_rec_old*I33 +AH33*(PREV_FEMALE*p_recur_MI_F + (1-PREV_FEMALE)*p_recur_MI_M)*p_MI_rec_old*I33 + AI33*(PREV_FEMALE*p_recur_MI_F + (1-PREV_FEMALE)*p_recur_MI_M)*p_MI_rec_old*I33 + AS33*AC33*p_MI*p_MI_rec_old + AV33*(PREV_FEMALE*p_recur_MI_F + (1-PREV_FEMALE)*p_recur_MI_M)*p_MI_rec_old + AW33*(PREV_FEMALE*p_recur_MI_F + (1-PREV_FEMALE)*p_recur_MI_M)*p_MI_rec_old</f>
        <v>3.4164877719732815E-3</v>
      </c>
      <c r="AW34">
        <f>AH33*(1-(PREV_FEMALE*p_recur_MI_F + (1-PREV_FEMALE)*p_recur_MI_M) - T33*p_Stroke - p_toHF_old - H33*rr_MI)*I33 + AI33*(1-(PREV_FEMALE*p_recur_MI_F + (1-PREV_FEMALE)*p_recur_MI_M) - T33*p_Stroke - p_toHF_old - H33*rr_MI)*I33 + AV33*(1-(PREV_FEMALE*p_recur_MI_F + (1-PREV_FEMALE)*p_recur_MI_M) - AC33*p_Stroke - p_toHF_old - H33*rr_MI*rr_DM) + AW33*(1-(PREV_FEMALE*p_recur_MI_F + (1-PREV_FEMALE)*p_recur_MI_M) - AC33*p_Stroke - p_toHF_old - H33*rr_MI*rr_DM)</f>
        <v>1.9451270315217765E-2</v>
      </c>
      <c r="AX34">
        <f>AH33*T33*p_Stroke*p_Stroke_rec*I33 + AI33*T33*p_Stroke*p_Stroke_rec*I33 + AJ33*p_recur_Stroke*p_Stroke_rec*I33 + AK33*p_recur_Stroke*p_Stroke_rec*I33 + AL33*p_recur_Stroke*p_Stroke_rec*I33 + AV33*AC33*p_Stroke*p_Stroke_rec + AW33*AC33*p_Stroke*p_Stroke_rec + AX33*p_recur_Stroke*p_Stroke_rec + AY33*p_recur_Stroke*p_Stroke_rec + AZ33*p_recur_Stroke*p_Stroke_rec</f>
        <v>4.37297708210877E-4</v>
      </c>
      <c r="AY34">
        <f>AF33*T33*p_MI*p_MI_rec_old*I33 + AG33*T33*p_MI*p_MI_rec_old*I33 + AJ33*(PREV_FEMALE*p_recur_MI_F+(1-PREV_FEMALE)*p_recur_MI_M)*p_MI_rec_old*I33 + AK33*(PREV_FEMALE*p_recur_MI_F+(1-PREV_FEMALE)*p_recur_MI_M)*p_MI_rec_old*I33 + AL33*(PREV_FEMALE*p_recur_MI_F+(1-PREV_FEMALE)*p_recur_MI_M)*p_MI_rec_old*I33 + AT33*AC33*p_MI*p_MI_rec_old + AU33*AC33*p_MI*p_MI_rec_old + AX33*(PREV_FEMALE*p_recur_MI_F+(1-PREV_FEMALE)*p_recur_MI_M)*p_MI_rec_old + AY33*(PREV_FEMALE*p_recur_MI_F+(1-PREV_FEMALE)*p_recur_MI_M)*p_MI_rec_old + AZ33*(PREV_FEMALE*p_recur_MI_F+(1-PREV_FEMALE)*p_recur_MI_M)*p_MI_rec_old</f>
        <v>3.1589229780473846E-4</v>
      </c>
      <c r="AZ34">
        <f>AJ33*(1-p_recur_Stroke-(PREV_FEMALE*p_recur_MI_F + (1-PREV_FEMALE)*p_recur_MI_M) - p_toHF_old - H33*rr_MI*rr_Stroke)*I33 + AK33*(1-p_recur_Stroke-(PREV_FEMALE*p_recur_MI_F + (1-PREV_FEMALE)*p_recur_MI_M) - p_toHF_old - H33*rr_MI*rr_Stroke)*I33 + AL33*(1-p_recur_Stroke-(PREV_FEMALE*p_recur_MI_F + (1-PREV_FEMALE)*p_recur_MI_M) - p_toHF_old - H33*rr_MI*rr_Stroke)*I33 + AX33*(1-p_recur_Stroke-(PREV_FEMALE*p_recur_MI_F + (1-PREV_FEMALE)*p_recur_MI_M) - p_toHF_old - H33*rr_MI*rr_Stroke*rr_DM) + AY33*(1-p_recur_Stroke-(PREV_FEMALE*p_recur_MI_F + (1-PREV_FEMALE)*p_recur_MI_M) - p_toHF_old - H33*rr_MI*rr_Stroke*rr_DM) + AZ33*(1-p_recur_Stroke-(PREV_FEMALE*p_recur_MI_F + (1-PREV_FEMALE)*p_recur_MI_M) - p_toHF_old - H33*rr_MI*rr_Stroke*rr_DM)</f>
        <v>1.1902335509733229E-3</v>
      </c>
      <c r="BA34">
        <f>AR33*AC33*p_MI*p_MI_HF_old + AD33*T33*p_MI*p_MI_HF_old*I33 + AE33*T33*p_MI*p_MI_HF_old*I33 + AH33*p_toHF_old*I33 + AH33*(PREV_FEMALE*p_recur_MI_F + (1-PREV_FEMALE)*p_recur_MI_M)*p_MI_HF_old*I33 + AI33*p_toHF_old*I33 + AI33*(PREV_FEMALE*p_recur_MI_F + (1-PREV_FEMALE)*p_recur_MI_M)*p_MI_HF_old*I33 + AS33*AC33*p_MI*p_MI_HF_old + AV33*(PREV_FEMALE*p_recur_MI_F + (1-PREV_FEMALE)*p_recur_MI_M)*p_MI_HF_old + AV33*p_toHF_old + AW33*(PREV_FEMALE*p_recur_MI_F + (1-PREV_FEMALE)*p_recur_MI_M)*p_MI_HF_old + AW33*p_toHF_old</f>
        <v>3.3796600988692835E-3</v>
      </c>
      <c r="BB34">
        <f>AM33*(1-T33*p_Stroke - H33*rr_HF)*I33 + AN33*(1-T33*p_Stroke - H33*rr_HF)*I33 + BA33*(1-AC33*p_Stroke - H33*rr_HF*rr_DM) + BB33*(1-AC33*p_Stroke - H33*rr_HF*rr_DM)</f>
        <v>2.2068588738599494E-2</v>
      </c>
      <c r="BC34">
        <f>AF33*T33*p_MI*p_MI_HF_old*I33 + AG33*T33*p_MI*p_MI_HF_old*I33 + AJ33*(PREV_FEMALE*p_recur_MI_F + (1-PREV_FEMALE)*p_recur_MI_M)*p_MI_HF_old*I33 + AJ33*p_toHF_old*I33 + AK33*(PREV_FEMALE*p_recur_MI_F + (1-PREV_FEMALE)*p_recur_MI_M)*p_MI_HF_old*I33 + AK33*p_toHF_old*I33 + AL33*(PREV_FEMALE*p_recur_MI_F + (1-PREV_FEMALE)*p_recur_MI_M)*p_MI_HF_old*I33 + AL33*p_toHF_old*I33 + AT33*AC33*p_MI*p_MI_HF_old + AU33*AC33*p_MI*p_MI_HF_old + AX33*(PREV_FEMALE*p_recur_MI_F + (1-PREV_FEMALE)*p_recur_MI_M)*p_MI_HF_old + AX33*p_toHF_old + AY33*(PREV_FEMALE*p_recur_MI_F + (1-PREV_FEMALE)*p_recur_MI_M)*p_MI_HF_old + AY33*p_toHF_old + AZ33*(PREV_FEMALE*p_recur_MI_F + (1-PREV_FEMALE)*p_recur_MI_M)*p_MI_HF_old + AZ33*p_toHF_old</f>
        <v>2.9616792158623101E-4</v>
      </c>
      <c r="BD34">
        <f>AM33*T33*p_Stroke*p_Stroke_rec*I33 + AN33*T33*p_Stroke*p_Stroke_rec*I33 + AO33*(p_recur_Stroke*p_Stroke_rec)*I33 + AP33*(p_recur_Stroke*p_Stroke_rec)*I33 + AQ33*(p_recur_Stroke*p_Stroke_rec)*I33 + BA33*AC33*p_Stroke*p_Stroke_rec + BB33*AC33*p_Stroke*p_Stroke_rec + BC33*(p_recur_Stroke*p_Stroke_rec) + BD33*(p_recur_Stroke*p_Stroke_rec) + BE33*(p_recur_Stroke*p_Stroke_rec)</f>
        <v>4.0007070333986366E-4</v>
      </c>
      <c r="BE34">
        <f>AO33*(1-p_recur_Stroke - H33*rr_Stroke*rr_HF)*I33 + AP33*(1-p_recur_Stroke-H33*rr_Stroke*rr_HF)*I33 + AQ33*(1-p_recur_Stroke-H33*rr_Stroke*rr_HF)*I33 + BC33*(1-p_recur_Stroke - H33*rr_Stroke*rr_HF*rr_DM) + BD33*(1-p_recur_Stroke-H33*rr_Stroke*rr_HF*rr_DM) + BE33*(1-p_recur_Stroke-H33*rr_Stroke*rr_HF*rr_DM)</f>
        <v>1.2829021275457843E-3</v>
      </c>
      <c r="BF34">
        <f>AD33*H33 + AE33*H33*rr_Other + AF33*H33*rr_Stroke + AG33*H33*rr_Stroke + AH33*H33*rr_MI + AI33*H33*rr_MI + AJ33*H33*rr_Stroke*rr_MI + AK33*H33*rr_Stroke*rr_MI + AL33*H33*rr_Stroke*rr_MI + AM33*H33*rr_HF + AN33*H33*rr_HF + AO33*H33*rr_Stroke*rr_HF + AP33*H33*rr_Stroke*rr_HF + AR33*H33*rr_DM + AS33*H33*rr_DM*rr_Other + AT33*H33*rr_DM*rr_Stroke + AU33*H33*rr_DM*rr_Stroke + AV33*H33*rr_DM*rr_MI + AW33*H33*rr_DM*rr_MI + AX33*H33*rr_DM*rr_Stroke*rr_MI + AY33*H33*rr_DM*rr_Stroke*rr_MI + AZ33*H33*rr_DM*rr_Stroke*rr_MI + BA33*H33*rr_DM*rr_HF + BB33*H33*rr_DM*rr_HF + BC33*H33*rr_DM*rr_Stroke*rr_HF + BD33*H33*rr_DM*rr_Stroke*rr_HF + AQ33*H33*rr_Stroke*rr_HF + BE33*H33*rr_DM*rr_Stroke*rr_HF
+ AD33*T33*p_MI*p_MI_mort + AD33*T33*p_Stroke*p_Stroke_mort + AE33*T33*p_MI*p_MI_mort + AE33*T33*p_Stroke*p_Stroke_mort + AF33*T33*p_MI*p_MI_mort + AF33*p_recur_Stroke*p_Stroke_mort + AG33*T33*p_MI*p_MI_mort + AG33*p_recur_Stroke*p_Stroke_mort + AH33*(PREV_FEMALE*p_recur_MI_F + (1-PREV_FEMALE)*p_recur_MI_M)*p_MI_mort + AH33*T33*p_Stroke*p_Stroke_mort + AI33*(PREV_FEMALE*p_recur_MI_F + (1-PREV_FEMALE)*p_recur_MI_M)*p_MI_mort + AI33*T33*p_Stroke*p_Stroke_mort + AJ33*(PREV_FEMALE*p_recur_MI_F + (1-PREV_FEMALE)*p_recur_MI_M)*p_MI_mort + AJ33*p_recur_Stroke*p_Stroke_mort + AK33*(PREV_FEMALE*p_recur_MI_F + (1-PREV_FEMALE)*p_recur_MI_M)*p_MI_mort + AK33*p_recur_Stroke*p_Stroke_mort + AL33*(PREV_FEMALE*p_recur_MI_F + (1-PREV_FEMALE)*p_recur_MI_M)*p_MI_mort + AL33*p_recur_Stroke*p_Stroke_mort + AM33*T33*p_Stroke*p_Stroke_mort + AN33*T33*p_Stroke*p_Stroke_mort + AO33*p_recur_Stroke*p_Stroke_mort + AP33*p_recur_Stroke*p_Stroke_mort + AQ33*p_recur_Stroke*p_Stroke_mort
+ AR33*AC33*p_MI*p_MI_mort + AR33*AC33*p_Stroke*p_Stroke_mort + AS33*AC33*p_MI*p_MI_mort + AS33*AC33*p_Stroke*p_Stroke_mort + AT33*AC33*p_MI*p_MI_mort + AT33*p_recur_Stroke*p_Stroke_mort + AU33*AC33*p_MI*p_MI_mort + AU33*p_recur_Stroke*p_Stroke_mort + AV33*(PREV_FEMALE*p_recur_MI_F + (1-PREV_FEMALE)*p_recur_MI_M)*p_MI_mort + AV33*AC33*p_Stroke*p_Stroke_mort + AW33*(PREV_FEMALE*p_recur_MI_F + (1-PREV_FEMALE)*p_recur_MI_M)*p_MI_mort + AW33*AC33*p_Stroke*p_Stroke_mort + AX33*(PREV_FEMALE*p_recur_MI_F + (1-PREV_FEMALE)*p_recur_MI_M)*p_MI_mort + AX33*p_recur_Stroke*p_Stroke_mort + AY33*(PREV_FEMALE*p_recur_MI_F + (1-PREV_FEMALE)*p_recur_MI_M)*p_MI_mort + AY33*p_recur_Stroke*p_Stroke_mort + AZ33*(PREV_FEMALE*p_recur_MI_F + (1-PREV_FEMALE)*p_recur_MI_M)*p_MI_mort + AZ33*p_recur_Stroke*p_Stroke_mort + BA33*AC33*p_Stroke*p_Stroke_mort + BB33*AC33*p_Stroke*p_Stroke_mort + BC33*p_recur_Stroke*p_Stroke_mort + BD33*p_recur_Stroke*p_Stroke_mort + BE33*p_recur_Stroke*p_Stroke_mort
+BF33</f>
        <v>0.3498153789721038</v>
      </c>
      <c r="BG34">
        <f t="shared" si="17"/>
        <v>0.94700000000000029</v>
      </c>
      <c r="BH34">
        <f>(0.9442 - 0.0007*$B34 - dis_BMI*($C34-21.75))*AD34</f>
        <v>8.2962880672887152E-2</v>
      </c>
      <c r="BI34">
        <f>0.959*(0.9442 - 0.0007*$B34 - dis_BMI*($C34-21.75))*AE34</f>
        <v>1.8610174860382044E-2</v>
      </c>
      <c r="BJ34">
        <f>(0.943*(0.9442 - 0.0007*$B34 - dis_BMI*($C34-21.75)) - 0.19*0.5)*AF34</f>
        <v>1.0354670297312593E-3</v>
      </c>
      <c r="BK34">
        <f>(0.943*(0.9442 - 0.0007*$B34 - dis_BMI*($C34-21.75)))*AG34</f>
        <v>4.8767753944940657E-3</v>
      </c>
      <c r="BL34">
        <f>(0.955*(0.9442 - 0.0007*$B34 - dis_BMI*($C34-21.75)) - 0.15*0.5)*AH34</f>
        <v>4.8023093698919121E-4</v>
      </c>
      <c r="BM34">
        <f>(0.955*(0.9442 - 0.0007*$B34 - dis_BMI*($C34-21.75)))*AI34</f>
        <v>3.1357228435279286E-3</v>
      </c>
      <c r="BN34">
        <f>(0.955*0.943*(0.9442 - 0.0007*$B34 - dis_BMI*($C34-21.75)) - 0.19*0.5)*AJ34</f>
        <v>3.5065597030663681E-5</v>
      </c>
      <c r="BO34">
        <f>(0.955*0.943*(0.9442 - 0.0007*$B34 - dis_BMI*($C34-21.75)) - 0.15*0.5)*AK34</f>
        <v>2.630836973134149E-5</v>
      </c>
      <c r="BP34">
        <f>(0.955*0.943*(0.9442 - 0.0007*$B34 - dis_BMI*($C34-21.75)))*AL34</f>
        <v>1.1740585459877322E-4</v>
      </c>
      <c r="BQ34">
        <f>(0.93*(0.9442 - 0.0007*$B34 - dis_BMI*($C34-21.75)))*AM34</f>
        <v>5.1813625892878227E-4</v>
      </c>
      <c r="BR34">
        <f>(0.93*(0.9442 - 0.0007*$B34 - dis_BMI*($C34-21.75)))*AN34</f>
        <v>3.6399413672548427E-3</v>
      </c>
      <c r="BS34">
        <f>(0.93*0.943*(0.9442 - 0.0007*$B34 - dis_BMI*($C34-21.75)))*AO34</f>
        <v>2.7125009245956948E-5</v>
      </c>
      <c r="BT34">
        <f>(0.93*0.943*(0.9442 - 0.0007*$B34 - dis_BMI*($C34-21.75))-0.19*0.5)*AP34</f>
        <v>3.2701462712231612E-5</v>
      </c>
      <c r="BU34">
        <f>(0.93*0.943*(0.9442 - 0.0007*$B34 - dis_BMI*($C34-21.75)))*AQ34</f>
        <v>1.2954726739248924E-4</v>
      </c>
      <c r="BV34">
        <f>0.962*(0.9442 - 0.0007*$B34 - dis_BMI*($C34-21.75))*AR34</f>
        <v>0.21601850414382429</v>
      </c>
      <c r="BW34">
        <f>0.962*0.959*(0.9442 - 0.0007*$B34 - dis_BMI*($C34-21.75))*AS34</f>
        <v>7.9754953913265009E-2</v>
      </c>
      <c r="BX34">
        <f>0.962*(0.943*(0.9442 - 0.0007*$B34 - dis_BMI*($C34-21.75)) - 0.19*0.5)*AT34</f>
        <v>5.0178793747077373E-3</v>
      </c>
      <c r="BY34">
        <f>0.962*(0.943*(0.9442 - 0.0007*$B34 - dis_BMI*($C34-21.75)))*AU34</f>
        <v>2.2370132667527444E-2</v>
      </c>
      <c r="BZ34">
        <f>0.962*(0.955*(0.9442 - 0.0007*$B34 - dis_BMI*($C34-21.75)) - 0.15*0.5)*AV34</f>
        <v>2.3999264341227119E-3</v>
      </c>
      <c r="CA34">
        <f>0.962*(0.955*(0.9442 - 0.0007*$B34 - dis_BMI*($C34-21.75)))*AW34</f>
        <v>1.5067037101718054E-2</v>
      </c>
      <c r="CB34">
        <f>0.962*(0.955*0.943*(0.9442 - 0.0007*$B34 - dis_BMI*($C34-21.75)) - 0.19*0.5)*AX34</f>
        <v>2.794602734244983E-4</v>
      </c>
      <c r="CC34">
        <f>0.962*(0.955*0.943*(0.9442 - 0.0007*$B34 - dis_BMI*($C34-21.75)) - 0.15*0.5)*AY34</f>
        <v>2.0795247755471912E-4</v>
      </c>
      <c r="CD34">
        <f>0.962*(0.955*0.943*(0.9442 - 0.0007*$B34 - dis_BMI*($C34-21.75)))*AZ34</f>
        <v>8.6940827478385442E-4</v>
      </c>
      <c r="CE34">
        <f>0.962*(0.93*(0.9442 - 0.0007*$B34 - dis_BMI*($C34-21.75)))*BA34</f>
        <v>2.5493677624552147E-3</v>
      </c>
      <c r="CF34">
        <f>0.962*(0.93*(0.9442 - 0.0007*$B34 - dis_BMI*($C34-21.75)))*BB34</f>
        <v>1.6646925148446349E-2</v>
      </c>
      <c r="CG34">
        <f>0.962*(0.93*0.943*(0.9442 - 0.0007*$B34 - dis_BMI*($C34-21.75)))*BC34</f>
        <v>2.1067314359934911E-4</v>
      </c>
      <c r="CH34">
        <f>0.962*(0.93*0.943*(0.9442 - 0.0007*$B34 - dis_BMI*($C34-21.75))-0.19*0.5)*BD34</f>
        <v>2.4801985335715657E-4</v>
      </c>
      <c r="CI34">
        <f>0.962*(0.93*0.943*(0.9442 - 0.0007*$B34 - dis_BMI*($C34-21.75)))*BE34</f>
        <v>9.1256683942278992E-4</v>
      </c>
      <c r="CJ34">
        <f t="shared" si="18"/>
        <v>0</v>
      </c>
      <c r="CK34">
        <f t="shared" si="19"/>
        <v>0.47818029033311593</v>
      </c>
      <c r="CL34">
        <f>CK34/(1+r_)^A34</f>
        <v>0.19126596920263683</v>
      </c>
      <c r="CM34">
        <f>AD34*c_BN_2</f>
        <v>206.14196233961931</v>
      </c>
      <c r="CN34">
        <f>AE34*(c_Other+c_BN_2)</f>
        <v>376.86446381933598</v>
      </c>
      <c r="CO34">
        <f>AF34*(c_Stroke1+c_Stroke2+c_BN_2)</f>
        <v>38.323940467845752</v>
      </c>
      <c r="CP34">
        <f>AG34*(c_Stroke2 + c_BN_2)</f>
        <v>52.718797750532573</v>
      </c>
      <c r="CQ34">
        <f>AH34*(c_MI1+c_MI2 + c_BN_2)</f>
        <v>20.549514992137194</v>
      </c>
      <c r="CR34">
        <f>AI34*(c_MI2+c_BN_2)</f>
        <v>20.297252784049174</v>
      </c>
      <c r="CS34">
        <f>AJ34*(c_Stroke1+c_Stroke2+c_MI2+c_BN_2)</f>
        <v>1.532253230837521</v>
      </c>
      <c r="CT34">
        <f>AK34*(c_Stroke2+c_MI1+c_MI2+c_BN_2)</f>
        <v>1.4511586078482379</v>
      </c>
      <c r="CU34">
        <f>AL34*(c_Stroke2+c_MI2+c_BN_2)</f>
        <v>1.8109410308802296</v>
      </c>
      <c r="CV34">
        <f>AM34*(c_HF1+c_BN_2)</f>
        <v>19.245337242357003</v>
      </c>
      <c r="CW34">
        <f>AN34*(c_HF2+c_BN_2)</f>
        <v>82.164319190901395</v>
      </c>
      <c r="CX34">
        <f>AO34*(c_Stroke2+c_HF1+c_BN_2)</f>
        <v>1.306858845817966</v>
      </c>
      <c r="CY34">
        <f>AP34*(c_Stroke1+c_Stroke2+c_HF2+c_BN_2)</f>
        <v>2.1067260112384352</v>
      </c>
      <c r="CZ34">
        <f>AQ34*(c_Stroke2+c_HF2+c_BN_2)</f>
        <v>4.2398211458120159</v>
      </c>
      <c r="DA34">
        <f>AR34*(c_DM+c_BN_2)</f>
        <v>3600.7347432396509</v>
      </c>
      <c r="DB34">
        <f>AS34*(c_Other+c_DM+c_BN_2)</f>
        <v>2850.3075157280241</v>
      </c>
      <c r="DC34">
        <f>AT34*(c_Stroke1+c_Stroke2+c_DM+c_BN_2)</f>
        <v>278.17791030706076</v>
      </c>
      <c r="DD34">
        <f>AU34*(c_Stroke2+c_DM+c_BN_2)</f>
        <v>585.52362556812636</v>
      </c>
      <c r="DE34">
        <f>AV34*(c_MI1+c_MI2+c_DM+c_BN_2)</f>
        <v>145.78494971787188</v>
      </c>
      <c r="DF34">
        <f>AW34*(c_MI2+c_DM+c_BN_2)</f>
        <v>323.61078423427796</v>
      </c>
      <c r="DG34">
        <f>AX34*(c_Stroke1+c_Stroke2+c_MI2+c_DM+c_BN_2)</f>
        <v>17.690004190254609</v>
      </c>
      <c r="DH34">
        <f>AY34*(c_Stroke2+c_MI1+c_MI2+c_DM+c_BN_2)</f>
        <v>15.532740175356794</v>
      </c>
      <c r="DI34">
        <f>AZ34*(c_Stroke2+c_MI2+c_DM+c_BN_2)</f>
        <v>27.538433668869772</v>
      </c>
      <c r="DJ34">
        <f>BA34*(c_HF1+c_DM+c_BN_2)</f>
        <v>137.04521700914944</v>
      </c>
      <c r="DK34">
        <f>BB34*(c_HF2+c_DM+c_BN_2)</f>
        <v>642.74764701171023</v>
      </c>
      <c r="DL34">
        <f>BC34*(c_Stroke2+c_HF1+c_DM+c_BN_2)</f>
        <v>13.934700710632169</v>
      </c>
      <c r="DM34">
        <f>BD34*(c_Stroke1+c_Stroke2+c_HF2+c_DM+c_BN_2)</f>
        <v>21.180143105515722</v>
      </c>
      <c r="DN34">
        <f>BE34*(c_Stroke2+c_HF2+c_DM+c_BN_2)</f>
        <v>45.703388293818563</v>
      </c>
      <c r="DO34">
        <f t="shared" si="5"/>
        <v>0</v>
      </c>
      <c r="DP34">
        <f t="shared" si="38"/>
        <v>9534.2651504195328</v>
      </c>
      <c r="DQ34">
        <f>DP34/(1+r_)^A34</f>
        <v>3813.5834987250323</v>
      </c>
    </row>
    <row r="35" spans="1:121" x14ac:dyDescent="0.3">
      <c r="A35">
        <v>32</v>
      </c>
      <c r="B35">
        <v>77</v>
      </c>
      <c r="C35">
        <f t="shared" si="39"/>
        <v>36.251999999999995</v>
      </c>
      <c r="D35">
        <f t="shared" si="1"/>
        <v>125</v>
      </c>
      <c r="E35">
        <f t="shared" si="40"/>
        <v>5.7</v>
      </c>
      <c r="F35">
        <v>2.8809999999999999E-2</v>
      </c>
      <c r="G35">
        <v>4.1300000000000003E-2</v>
      </c>
      <c r="H35">
        <f t="shared" si="3"/>
        <v>3.1307999999999996E-2</v>
      </c>
      <c r="I35">
        <f t="shared" si="20"/>
        <v>4.7655426853004217E-2</v>
      </c>
      <c r="J35">
        <f t="shared" si="21"/>
        <v>0.30045307435313373</v>
      </c>
      <c r="K35">
        <f t="shared" si="22"/>
        <v>0.39372824174146726</v>
      </c>
      <c r="L35">
        <f t="shared" si="23"/>
        <v>0.15562284034182039</v>
      </c>
      <c r="M35">
        <f t="shared" si="24"/>
        <v>0.21093102312680356</v>
      </c>
      <c r="N35">
        <f t="shared" si="25"/>
        <v>0.6191048450319776</v>
      </c>
      <c r="O35">
        <f t="shared" si="26"/>
        <v>0.74432825094563082</v>
      </c>
      <c r="P35">
        <f t="shared" si="27"/>
        <v>0.37798285141359955</v>
      </c>
      <c r="Q35">
        <f t="shared" si="28"/>
        <v>0.48873623228378615</v>
      </c>
      <c r="R35">
        <f>IF(C35&lt;25, HT_f_low, IF(C35&lt;30, HT_f_mod, HT_f_high))</f>
        <v>0.42</v>
      </c>
      <c r="S35">
        <f>IF(C35&lt;25, HT_m_low, IF(C35&lt;30, HT_m_mod, HT_m_high))</f>
        <v>0.43099999999999999</v>
      </c>
      <c r="T35">
        <f>PREV_FEMALE*PREV_SMOKE*(1-$R35)*(1-EXP(-J35/10))+PREV_FEMALE*PREV_SMOKE*$R35*(1-EXP(-K35/10))+PREV_FEMALE*(1-PREV_SMOKE)*(1-$R35)*(1-EXP(-L35/10))+PREV_FEMALE*(1-PREV_SMOKE)*$R35*(1-EXP(-M35/10))+(1-PREV_FEMALE)*PREV_SMOKE*(1-$S35)*(1-EXP(-N35/10))+(1-PREV_FEMALE)*PREV_SMOKE*$S35*(1-EXP(-O35/10))+(1-PREV_FEMALE)*(1-PREV_SMOKE)*(1-$S35)*(1-EXP(-P35/10))+(1-PREV_FEMALE)*(1-PREV_SMOKE)*$S35*(1-EXP(-Q35/10))</f>
        <v>2.4662083929813696E-2</v>
      </c>
      <c r="U35">
        <f t="shared" si="29"/>
        <v>0.54051257752419435</v>
      </c>
      <c r="V35">
        <f t="shared" si="30"/>
        <v>0.66347516147455721</v>
      </c>
      <c r="W35">
        <f t="shared" si="31"/>
        <v>0.30797668643231768</v>
      </c>
      <c r="X35">
        <f t="shared" si="32"/>
        <v>0.40284035225551307</v>
      </c>
      <c r="Y35">
        <f t="shared" si="33"/>
        <v>0.80650202358157919</v>
      </c>
      <c r="Z35">
        <f t="shared" si="34"/>
        <v>0.90180673647042986</v>
      </c>
      <c r="AA35">
        <f t="shared" si="35"/>
        <v>0.55421730015032455</v>
      </c>
      <c r="AB35">
        <f t="shared" si="36"/>
        <v>0.6806881889550076</v>
      </c>
      <c r="AC35">
        <f>PREV_FEMALE*PREV_SMOKE*(1-$R35)*(1-EXP(-U35/10))+PREV_FEMALE*PREV_SMOKE*$R35*(1-EXP(-V35/10))+PREV_FEMALE*(1-PREV_SMOKE)*(1-$R35)*(1-EXP(-W35/10))+PREV_FEMALE*(1-PREV_SMOKE)*$R35*(1-EXP(-X35/10))+(1-PREV_FEMALE)*PREV_SMOKE*(1-$S35)*(1-EXP(-Y35/10))+(1-PREV_FEMALE)*PREV_SMOKE*$S35*(1-EXP(-Z35/10))+(1-PREV_FEMALE)*(1-PREV_SMOKE)*(1-$S35)*(1-EXP(-AA35/10))+(1-PREV_FEMALE)*(1-PREV_SMOKE)*$S35*(1-EXP(-AB35/10))</f>
        <v>4.2032423225480425E-2</v>
      </c>
      <c r="AD35">
        <f t="shared" si="37"/>
        <v>8.8811500693568593E-2</v>
      </c>
      <c r="AE35">
        <f t="shared" si="6"/>
        <v>2.1737161044484404E-2</v>
      </c>
      <c r="AF35">
        <f t="shared" si="7"/>
        <v>1.3859381311481062E-3</v>
      </c>
      <c r="AG35">
        <f t="shared" si="8"/>
        <v>5.6991229298340579E-3</v>
      </c>
      <c r="AH35">
        <f>AD34*T34*p_MI*p_MI_rec_old*(1-I34)+AE34*T34*p_MI*p_MI_rec_old*(1-I34) + AH34*(PREV_FEMALE*p_recur_MI_F + (1-PREV_FEMALE)*p_recur_MI_M)*p_MI_rec_old*(1-I34) + AI34*(PREV_FEMALE*p_recur_MI_F + (1-PREV_FEMALE)*p_recur_MI_M)*p_MI_rec_old*(1-I34)</f>
        <v>6.0637251402449461E-4</v>
      </c>
      <c r="AI35">
        <f>AH34*(1-(PREV_FEMALE*p_recur_MI_F + (1-PREV_FEMALE)*p_recur_MI_M) - T34*p_Stroke - p_toHF_old - H34*rr_MI)*(1-I34) + AI34*(1-(PREV_FEMALE*p_recur_MI_F + (1-PREV_FEMALE)*p_recur_MI_M) - T34*p_Stroke - p_toHF_old - H34*rr_MI)*(1-I34)</f>
        <v>3.4491999488455776E-3</v>
      </c>
      <c r="AJ35">
        <f t="shared" si="11"/>
        <v>4.7801912672233116E-5</v>
      </c>
      <c r="AK35">
        <f>AF34*T34*p_MI*p_MI_rec_old*(1-I34) + AG34*T34*p_MI*p_MI_rec_old*(1-I34) + AJ34*(PREV_FEMALE*p_recur_MI_F + (1-PREV_FEMALE)*p_recur_MI_M)*p_MI_rec_old*(1-I34) + AK34*(PREV_FEMALE*p_recur_MI_F + (1-PREV_FEMALE)*p_recur_MI_M)*p_MI_rec_old*(1-I34) + AL34*(PREV_FEMALE*p_recur_MI_F + (1-PREV_FEMALE)*p_recur_MI_M)*p_MI_rec_old*(1-I34)</f>
        <v>3.6199885058582721E-5</v>
      </c>
      <c r="AL35">
        <f>AJ34*(1-p_recur_Stroke-(PREV_FEMALE*p_recur_MI_F + (1-PREV_FEMALE)*p_recur_MI_M) - p_toHF_old - H34*rr_MI*rr_Stroke)*(1-I34) + AK34*(1-p_recur_Stroke-(PREV_FEMALE*p_recur_MI_F + (1-PREV_FEMALE)*p_recur_MI_M) - p_toHF_old - H34*rr_MI*rr_Stroke)*(1-I34) + AL34*(1-p_recur_Stroke-(PREV_FEMALE*p_recur_MI_F + (1-PREV_FEMALE)*p_recur_MI_M) - p_toHF_old - H34*rr_MI*rr_Stroke)*(1-I34)</f>
        <v>1.3716838376999927E-4</v>
      </c>
      <c r="AM35">
        <f>AD34*T34*p_MI*p_MI_HF_old*(1-I34) + AE34*T34*p_MI*p_MI_HF_old*(1-I34) + AH34*p_toHF_old*(1-I34) + AH34*(PREV_FEMALE*p_recur_MI_F + (1-PREV_FEMALE)*p_recur_MI_M)*p_MI_HF_old*(1-I34) + AI34*p_toHF_old*(1-I34) + AI34*(PREV_FEMALE*p_recur_MI_F + (1-PREV_FEMALE)*p_recur_MI_M)*p_MI_HF_old*(1-I34)</f>
        <v>5.9605091208582569E-4</v>
      </c>
      <c r="AN35">
        <f t="shared" si="15"/>
        <v>4.7620333371706635E-3</v>
      </c>
      <c r="AO35">
        <f>AF34*T34*p_MI*p_MI_HF_old*(1-I34) + AG34*T34*p_MI*p_MI_HF_old*(1-I34) + AJ34*(PREV_FEMALE*p_recur_MI_F + (1-PREV_FEMALE)*p_recur_MI_M)*p_MI_HF_old*(1-I34) + AJ34*p_toHF_old*(1-I34) + AK34*(PREV_FEMALE*p_recur_MI_F + (1-PREV_FEMALE)*p_recur_MI_M)*p_MI_HF_old*(1-I34) + AK34*p_toHF_old*(1-I34) + AL34*(PREV_FEMALE*p_recur_MI_F + (1-PREV_FEMALE)*p_recur_MI_M)*p_MI_HF_old*(1-I34) + AL34*p_toHF_old*(1-I34)</f>
        <v>3.3610680353008155E-5</v>
      </c>
      <c r="AP35">
        <f>AM34*T34*p_Stroke*p_Stroke_rec*(1-I34) + AN34*T34*p_Stroke*p_Stroke_rec*(1-I34) + AO34*(p_recur_Stroke*p_Stroke_rec)*(1-I34) + AP34*(p_recur_Stroke*p_Stroke_rec)*(1-I34) + AQ34*(p_recur_Stroke*p_Stroke_rec)*(1-I34)</f>
        <v>5.3186661304835899E-5</v>
      </c>
      <c r="AQ35">
        <f>AO34*(1-p_recur_Stroke-H34*rr_Stroke*rr_HF)*(1-I34) + AP34*(1-p_recur_Stroke-H34*rr_Stroke*rr_HF)*(1-I34) + AQ34*(1-p_recur_Stroke-H34*rr_Stroke*rr_HF)*(1-I34)</f>
        <v>1.7974874396224703E-4</v>
      </c>
      <c r="AR35">
        <f>AR34*(1-AC34-H34*rr_DM) + AD34*(1-T34-H34)*I34</f>
        <v>0.25118214214972895</v>
      </c>
      <c r="AS35">
        <f>AR34*AC34*p_Other + AD34*T34*p_Other*I34 + AE34*(1-T34*p_Stroke-T34*p_MI-H34*rr_Other)*I34 + AS34*(1-AC34*p_Stroke-AC34*p_MI-H34*rr_Other*rr_DM)</f>
        <v>0.10138803024191805</v>
      </c>
      <c r="AT35">
        <f>AR34*AC34*p_Stroke*p_Stroke_rec + AD34*T34*p_Stroke*p_Stroke_rec*I34 + AE34*T34*p_Stroke*p_Stroke_rec*I34 + AF34*p_recur_Stroke*p_Stroke_rec*I34 + AG34*p_recur_Stroke*p_Stroke_rec*I34 + AS34*AC34*p_Stroke*p_Stroke_rec + AT34*p_recur_Stroke*p_Stroke_rec + AU34*p_recur_Stroke*p_Stroke_rec</f>
        <v>7.3195000337349875E-3</v>
      </c>
      <c r="AU35">
        <f>AF34*(1-p_recur_Stroke-T34*p_MI-H34*rr_Stroke)*I34 + AG34*(1-p_recur_Stroke-T34*p_MI-H34*rr_Stroke)*I34 + AT34*(1-p_recur_Stroke-AC34*p_MI-H34*rr_Stroke*rr_DM) + AU34*(1-p_recur_Stroke-AC34*p_MI-H34*rr_Stroke*rr_DM)</f>
        <v>2.8507322242462007E-2</v>
      </c>
      <c r="AV35">
        <f>AR34*AC34*p_MI*p_MI_rec_old + AD34*T34*p_MI*p_MI_rec_old*I34 + AE34*T34*p_MI*p_MI_rec_old*I34 +AH34*(PREV_FEMALE*p_recur_MI_F + (1-PREV_FEMALE)*p_recur_MI_M)*p_MI_rec_old*I34 + AI34*(PREV_FEMALE*p_recur_MI_F + (1-PREV_FEMALE)*p_recur_MI_M)*p_MI_rec_old*I34 + AS34*AC34*p_MI*p_MI_rec_old + AV34*(PREV_FEMALE*p_recur_MI_F + (1-PREV_FEMALE)*p_recur_MI_M)*p_MI_rec_old + AW34*(PREV_FEMALE*p_recur_MI_F + (1-PREV_FEMALE)*p_recur_MI_M)*p_MI_rec_old</f>
        <v>3.3035235377190018E-3</v>
      </c>
      <c r="AW35">
        <f>AH34*(1-(PREV_FEMALE*p_recur_MI_F + (1-PREV_FEMALE)*p_recur_MI_M) - T34*p_Stroke - p_toHF_old - H34*rr_MI)*I34 + AI34*(1-(PREV_FEMALE*p_recur_MI_F + (1-PREV_FEMALE)*p_recur_MI_M) - T34*p_Stroke - p_toHF_old - H34*rr_MI)*I34 + AV34*(1-(PREV_FEMALE*p_recur_MI_F + (1-PREV_FEMALE)*p_recur_MI_M) - AC34*p_Stroke - p_toHF_old - H34*rr_MI*rr_DM) + AW34*(1-(PREV_FEMALE*p_recur_MI_F + (1-PREV_FEMALE)*p_recur_MI_M) - AC34*p_Stroke - p_toHF_old - H34*rr_MI*rr_DM)</f>
        <v>1.8124166132080483E-2</v>
      </c>
      <c r="AX35">
        <f>AH34*T34*p_Stroke*p_Stroke_rec*I34 + AI34*T34*p_Stroke*p_Stroke_rec*I34 + AJ34*p_recur_Stroke*p_Stroke_rec*I34 + AK34*p_recur_Stroke*p_Stroke_rec*I34 + AL34*p_recur_Stroke*p_Stroke_rec*I34 + AV34*AC34*p_Stroke*p_Stroke_rec + AW34*AC34*p_Stroke*p_Stroke_rec + AX34*p_recur_Stroke*p_Stroke_rec + AY34*p_recur_Stroke*p_Stroke_rec + AZ34*p_recur_Stroke*p_Stroke_rec</f>
        <v>4.152542623913041E-4</v>
      </c>
      <c r="AY35">
        <f>AF34*T34*p_MI*p_MI_rec_old*I34 + AG34*T34*p_MI*p_MI_rec_old*I34 + AJ34*(PREV_FEMALE*p_recur_MI_F+(1-PREV_FEMALE)*p_recur_MI_M)*p_MI_rec_old*I34 + AK34*(PREV_FEMALE*p_recur_MI_F+(1-PREV_FEMALE)*p_recur_MI_M)*p_MI_rec_old*I34 + AL34*(PREV_FEMALE*p_recur_MI_F+(1-PREV_FEMALE)*p_recur_MI_M)*p_MI_rec_old*I34 + AT34*AC34*p_MI*p_MI_rec_old + AU34*AC34*p_MI*p_MI_rec_old + AX34*(PREV_FEMALE*p_recur_MI_F+(1-PREV_FEMALE)*p_recur_MI_M)*p_MI_rec_old + AY34*(PREV_FEMALE*p_recur_MI_F+(1-PREV_FEMALE)*p_recur_MI_M)*p_MI_rec_old + AZ34*(PREV_FEMALE*p_recur_MI_F+(1-PREV_FEMALE)*p_recur_MI_M)*p_MI_rec_old</f>
        <v>3.1143394296833711E-4</v>
      </c>
      <c r="AZ35">
        <f>AJ34*(1-p_recur_Stroke-(PREV_FEMALE*p_recur_MI_F + (1-PREV_FEMALE)*p_recur_MI_M) - p_toHF_old - H34*rr_MI*rr_Stroke)*I34 + AK34*(1-p_recur_Stroke-(PREV_FEMALE*p_recur_MI_F + (1-PREV_FEMALE)*p_recur_MI_M) - p_toHF_old - H34*rr_MI*rr_Stroke)*I34 + AL34*(1-p_recur_Stroke-(PREV_FEMALE*p_recur_MI_F + (1-PREV_FEMALE)*p_recur_MI_M) - p_toHF_old - H34*rr_MI*rr_Stroke)*I34 + AX34*(1-p_recur_Stroke-(PREV_FEMALE*p_recur_MI_F + (1-PREV_FEMALE)*p_recur_MI_M) - p_toHF_old - H34*rr_MI*rr_Stroke*rr_DM) + AY34*(1-p_recur_Stroke-(PREV_FEMALE*p_recur_MI_F + (1-PREV_FEMALE)*p_recur_MI_M) - p_toHF_old - H34*rr_MI*rr_Stroke*rr_DM) + AZ34*(1-p_recur_Stroke-(PREV_FEMALE*p_recur_MI_F + (1-PREV_FEMALE)*p_recur_MI_M) - p_toHF_old - H34*rr_MI*rr_Stroke*rr_DM)</f>
        <v>1.1045838096057079E-3</v>
      </c>
      <c r="BA35">
        <f>AR34*AC34*p_MI*p_MI_HF_old + AD34*T34*p_MI*p_MI_HF_old*I34 + AE34*T34*p_MI*p_MI_HF_old*I34 + AH34*p_toHF_old*I34 + AH34*(PREV_FEMALE*p_recur_MI_F + (1-PREV_FEMALE)*p_recur_MI_M)*p_MI_HF_old*I34 + AI34*p_toHF_old*I34 + AI34*(PREV_FEMALE*p_recur_MI_F + (1-PREV_FEMALE)*p_recur_MI_M)*p_MI_HF_old*I34 + AS34*AC34*p_MI*p_MI_HF_old + AV34*(PREV_FEMALE*p_recur_MI_F + (1-PREV_FEMALE)*p_recur_MI_M)*p_MI_HF_old + AV34*p_toHF_old + AW34*(PREV_FEMALE*p_recur_MI_F + (1-PREV_FEMALE)*p_recur_MI_M)*p_MI_HF_old + AW34*p_toHF_old</f>
        <v>3.2046648887546596E-3</v>
      </c>
      <c r="BB35">
        <f>AM34*(1-T34*p_Stroke - H34*rr_HF)*I34 + AN34*(1-T34*p_Stroke - H34*rr_HF)*I34 + BA34*(1-AC34*p_Stroke - H34*rr_HF*rr_DM) + BB34*(1-AC34*p_Stroke - H34*rr_HF*rr_DM)</f>
        <v>2.3938251807314979E-2</v>
      </c>
      <c r="BC35">
        <f>AF34*T34*p_MI*p_MI_HF_old*I34 + AG34*T34*p_MI*p_MI_HF_old*I34 + AJ34*(PREV_FEMALE*p_recur_MI_F + (1-PREV_FEMALE)*p_recur_MI_M)*p_MI_HF_old*I34 + AJ34*p_toHF_old*I34 + AK34*(PREV_FEMALE*p_recur_MI_F + (1-PREV_FEMALE)*p_recur_MI_M)*p_MI_HF_old*I34 + AK34*p_toHF_old*I34 + AL34*(PREV_FEMALE*p_recur_MI_F + (1-PREV_FEMALE)*p_recur_MI_M)*p_MI_HF_old*I34 + AL34*p_toHF_old*I34 + AT34*AC34*p_MI*p_MI_HF_old + AU34*AC34*p_MI*p_MI_HF_old + AX34*(PREV_FEMALE*p_recur_MI_F + (1-PREV_FEMALE)*p_recur_MI_M)*p_MI_HF_old + AX34*p_toHF_old + AY34*(PREV_FEMALE*p_recur_MI_F + (1-PREV_FEMALE)*p_recur_MI_M)*p_MI_HF_old + AY34*p_toHF_old + AZ34*(PREV_FEMALE*p_recur_MI_F + (1-PREV_FEMALE)*p_recur_MI_M)*p_MI_HF_old + AZ34*p_toHF_old</f>
        <v>2.8442390952533001E-4</v>
      </c>
      <c r="BD35">
        <f>AM34*T34*p_Stroke*p_Stroke_rec*I34 + AN34*T34*p_Stroke*p_Stroke_rec*I34 + AO34*(p_recur_Stroke*p_Stroke_rec)*I34 + AP34*(p_recur_Stroke*p_Stroke_rec)*I34 + AQ34*(p_recur_Stroke*p_Stroke_rec)*I34 + BA34*AC34*p_Stroke*p_Stroke_rec + BB34*AC34*p_Stroke*p_Stroke_rec + BC34*(p_recur_Stroke*p_Stroke_rec) + BD34*(p_recur_Stroke*p_Stroke_rec) + BE34*(p_recur_Stroke*p_Stroke_rec)</f>
        <v>4.4184480735245707E-4</v>
      </c>
      <c r="BE35">
        <f>AO34*(1-p_recur_Stroke - H34*rr_Stroke*rr_HF)*I34 + AP34*(1-p_recur_Stroke-H34*rr_Stroke*rr_HF)*I34 + AQ34*(1-p_recur_Stroke-H34*rr_Stroke*rr_HF)*I34 + BC34*(1-p_recur_Stroke - H34*rr_Stroke*rr_HF*rr_DM) + BD34*(1-p_recur_Stroke-H34*rr_Stroke*rr_HF*rr_DM) + BE34*(1-p_recur_Stroke-H34*rr_Stroke*rr_HF*rr_DM)</f>
        <v>1.3834547223097533E-3</v>
      </c>
      <c r="BF35">
        <f>AD34*H34 + AE34*H34*rr_Other + AF34*H34*rr_Stroke + AG34*H34*rr_Stroke + AH34*H34*rr_MI + AI34*H34*rr_MI + AJ34*H34*rr_Stroke*rr_MI + AK34*H34*rr_Stroke*rr_MI + AL34*H34*rr_Stroke*rr_MI + AM34*H34*rr_HF + AN34*H34*rr_HF + AO34*H34*rr_Stroke*rr_HF + AP34*H34*rr_Stroke*rr_HF + AR34*H34*rr_DM + AS34*H34*rr_DM*rr_Other + AT34*H34*rr_DM*rr_Stroke + AU34*H34*rr_DM*rr_Stroke + AV34*H34*rr_DM*rr_MI + AW34*H34*rr_DM*rr_MI + AX34*H34*rr_DM*rr_Stroke*rr_MI + AY34*H34*rr_DM*rr_Stroke*rr_MI + AZ34*H34*rr_DM*rr_Stroke*rr_MI + BA34*H34*rr_DM*rr_HF + BB34*H34*rr_DM*rr_HF + BC34*H34*rr_DM*rr_Stroke*rr_HF + BD34*H34*rr_DM*rr_Stroke*rr_HF + AQ34*H34*rr_Stroke*rr_HF + BE34*H34*rr_DM*rr_Stroke*rr_HF
+ AD34*T34*p_MI*p_MI_mort + AD34*T34*p_Stroke*p_Stroke_mort + AE34*T34*p_MI*p_MI_mort + AE34*T34*p_Stroke*p_Stroke_mort + AF34*T34*p_MI*p_MI_mort + AF34*p_recur_Stroke*p_Stroke_mort + AG34*T34*p_MI*p_MI_mort + AG34*p_recur_Stroke*p_Stroke_mort + AH34*(PREV_FEMALE*p_recur_MI_F + (1-PREV_FEMALE)*p_recur_MI_M)*p_MI_mort + AH34*T34*p_Stroke*p_Stroke_mort + AI34*(PREV_FEMALE*p_recur_MI_F + (1-PREV_FEMALE)*p_recur_MI_M)*p_MI_mort + AI34*T34*p_Stroke*p_Stroke_mort + AJ34*(PREV_FEMALE*p_recur_MI_F + (1-PREV_FEMALE)*p_recur_MI_M)*p_MI_mort + AJ34*p_recur_Stroke*p_Stroke_mort + AK34*(PREV_FEMALE*p_recur_MI_F + (1-PREV_FEMALE)*p_recur_MI_M)*p_MI_mort + AK34*p_recur_Stroke*p_Stroke_mort + AL34*(PREV_FEMALE*p_recur_MI_F + (1-PREV_FEMALE)*p_recur_MI_M)*p_MI_mort + AL34*p_recur_Stroke*p_Stroke_mort + AM34*T34*p_Stroke*p_Stroke_mort + AN34*T34*p_Stroke*p_Stroke_mort + AO34*p_recur_Stroke*p_Stroke_mort + AP34*p_recur_Stroke*p_Stroke_mort + AQ34*p_recur_Stroke*p_Stroke_mort
+ AR34*AC34*p_MI*p_MI_mort + AR34*AC34*p_Stroke*p_Stroke_mort + AS34*AC34*p_MI*p_MI_mort + AS34*AC34*p_Stroke*p_Stroke_mort + AT34*AC34*p_MI*p_MI_mort + AT34*p_recur_Stroke*p_Stroke_mort + AU34*AC34*p_MI*p_MI_mort + AU34*p_recur_Stroke*p_Stroke_mort + AV34*(PREV_FEMALE*p_recur_MI_F + (1-PREV_FEMALE)*p_recur_MI_M)*p_MI_mort + AV34*AC34*p_Stroke*p_Stroke_mort + AW34*(PREV_FEMALE*p_recur_MI_F + (1-PREV_FEMALE)*p_recur_MI_M)*p_MI_mort + AW34*AC34*p_Stroke*p_Stroke_mort + AX34*(PREV_FEMALE*p_recur_MI_F + (1-PREV_FEMALE)*p_recur_MI_M)*p_MI_mort + AX34*p_recur_Stroke*p_Stroke_mort + AY34*(PREV_FEMALE*p_recur_MI_F + (1-PREV_FEMALE)*p_recur_MI_M)*p_MI_mort + AY34*p_recur_Stroke*p_Stroke_mort + AZ34*(PREV_FEMALE*p_recur_MI_F + (1-PREV_FEMALE)*p_recur_MI_M)*p_MI_mort + AZ34*p_recur_Stroke*p_Stroke_mort + BA34*AC34*p_Stroke*p_Stroke_mort + BB34*AC34*p_Stroke*p_Stroke_mort + BC34*p_recur_Stroke*p_Stroke_mort + BD34*p_recur_Stroke*p_Stroke_mort + BE34*p_recur_Stroke*p_Stroke_mort
+BF34</f>
        <v>0.37855630773385163</v>
      </c>
      <c r="BG35">
        <f t="shared" si="17"/>
        <v>0.94700000000000017</v>
      </c>
      <c r="BH35">
        <f>(0.9442 - 0.0007*$B35 - dis_BMI*($C35-21.75))*AD35</f>
        <v>7.4818662603392289E-2</v>
      </c>
      <c r="BI35">
        <f>0.959*(0.9442 - 0.0007*$B35 - dis_BMI*($C35-21.75))*AE35</f>
        <v>1.7561522414539812E-2</v>
      </c>
      <c r="BJ35">
        <f>(0.943*(0.9442 - 0.0007*$B35 - dis_BMI*($C35-21.75)) - 0.19*0.5)*AF35</f>
        <v>9.693585663455253E-4</v>
      </c>
      <c r="BK35">
        <f>(0.943*(0.9442 - 0.0007*$B35 - dis_BMI*($C35-21.75)))*AG35</f>
        <v>4.5275207536398052E-3</v>
      </c>
      <c r="BL35">
        <f>(0.955*(0.9442 - 0.0007*$B35 - dis_BMI*($C35-21.75)) - 0.15*0.5)*AH35</f>
        <v>4.4236903032234546E-4</v>
      </c>
      <c r="BM35">
        <f>(0.955*(0.9442 - 0.0007*$B35 - dis_BMI*($C35-21.75)))*AI35</f>
        <v>2.7749967242369565E-3</v>
      </c>
      <c r="BN35">
        <f>(0.955*0.943*(0.9442 - 0.0007*$B35 - dis_BMI*($C35-21.75)) - 0.19*0.5)*AJ35</f>
        <v>3.1724936329725617E-5</v>
      </c>
      <c r="BO35">
        <f>(0.955*0.943*(0.9442 - 0.0007*$B35 - dis_BMI*($C35-21.75)) - 0.15*0.5)*AK35</f>
        <v>2.4748957884282084E-5</v>
      </c>
      <c r="BP35">
        <f>(0.955*0.943*(0.9442 - 0.0007*$B35 - dis_BMI*($C35-21.75)))*AL35</f>
        <v>1.0406622911490427E-4</v>
      </c>
      <c r="BQ35">
        <f>(0.93*(0.9442 - 0.0007*$B35 - dis_BMI*($C35-21.75)))*AM35</f>
        <v>4.669894159641363E-4</v>
      </c>
      <c r="BR35">
        <f>(0.93*(0.9442 - 0.0007*$B35 - dis_BMI*($C35-21.75)))*AN35</f>
        <v>3.7309215065958429E-3</v>
      </c>
      <c r="BS35">
        <f>(0.93*0.943*(0.9442 - 0.0007*$B35 - dis_BMI*($C35-21.75)))*AO35</f>
        <v>2.4832055894496194E-5</v>
      </c>
      <c r="BT35">
        <f>(0.93*0.943*(0.9442 - 0.0007*$B35 - dis_BMI*($C35-21.75))-0.19*0.5)*AP35</f>
        <v>3.4242340423348929E-5</v>
      </c>
      <c r="BU35">
        <f>(0.93*0.943*(0.9442 - 0.0007*$B35 - dis_BMI*($C35-21.75)))*AQ35</f>
        <v>1.3280096713771275E-4</v>
      </c>
      <c r="BV35">
        <f>0.962*(0.9442 - 0.0007*$B35 - dis_BMI*($C35-21.75))*AR35</f>
        <v>0.20356568181352874</v>
      </c>
      <c r="BW35">
        <f>0.962*0.959*(0.9442 - 0.0007*$B35 - dis_BMI*($C35-21.75))*AS35</f>
        <v>7.8799070948551833E-2</v>
      </c>
      <c r="BX35">
        <f>0.962*(0.943*(0.9442 - 0.0007*$B35 - dis_BMI*($C35-21.75)) - 0.19*0.5)*AT35</f>
        <v>4.9248963885339574E-3</v>
      </c>
      <c r="BY35">
        <f>0.962*(0.943*(0.9442 - 0.0007*$B35 - dis_BMI*($C35-21.75)))*AU35</f>
        <v>2.1786322189384453E-2</v>
      </c>
      <c r="BZ35">
        <f>0.962*(0.955*(0.9442 - 0.0007*$B35 - dis_BMI*($C35-21.75)) - 0.15*0.5)*AV35</f>
        <v>2.3184497389965027E-3</v>
      </c>
      <c r="CA35">
        <f>0.962*(0.955*(0.9442 - 0.0007*$B35 - dis_BMI*($C35-21.75)))*AW35</f>
        <v>1.4027400933858122E-2</v>
      </c>
      <c r="CB35">
        <f>0.962*(0.955*0.943*(0.9442 - 0.0007*$B35 - dis_BMI*($C35-21.75)) - 0.19*0.5)*AX35</f>
        <v>2.6512132162114221E-4</v>
      </c>
      <c r="CC35">
        <f>0.962*(0.955*0.943*(0.9442 - 0.0007*$B35 - dis_BMI*($C35-21.75)) - 0.15*0.5)*AY35</f>
        <v>2.0482866826250997E-4</v>
      </c>
      <c r="CD35">
        <f>0.962*(0.955*0.943*(0.9442 - 0.0007*$B35 - dis_BMI*($C35-21.75)))*AZ35</f>
        <v>8.0617540018401582E-4</v>
      </c>
      <c r="CE35">
        <f>0.962*(0.93*(0.9442 - 0.0007*$B35 - dis_BMI*($C35-21.75)))*BA35</f>
        <v>2.4153572477582596E-3</v>
      </c>
      <c r="CF35">
        <f>0.962*(0.93*(0.9442 - 0.0007*$B35 - dis_BMI*($C35-21.75)))*BB35</f>
        <v>1.8042270255573981E-2</v>
      </c>
      <c r="CG35">
        <f>0.962*(0.93*0.943*(0.9442 - 0.0007*$B35 - dis_BMI*($C35-21.75)))*BC35</f>
        <v>2.0215130404319779E-4</v>
      </c>
      <c r="CH35">
        <f>0.962*(0.93*0.943*(0.9442 - 0.0007*$B35 - dis_BMI*($C35-21.75))-0.19*0.5)*BD35</f>
        <v>2.7365635553885985E-4</v>
      </c>
      <c r="CI35">
        <f>0.962*(0.93*0.943*(0.9442 - 0.0007*$B35 - dis_BMI*($C35-21.75)))*BE35</f>
        <v>9.8327590203780083E-4</v>
      </c>
      <c r="CJ35">
        <f t="shared" si="18"/>
        <v>0</v>
      </c>
      <c r="CK35">
        <f t="shared" si="19"/>
        <v>0.45425941496969457</v>
      </c>
      <c r="CL35">
        <f>CK35/(1+r_)^A35</f>
        <v>0.17640575393812435</v>
      </c>
      <c r="CM35">
        <f>AD35*c_BN_2</f>
        <v>186.06009395302621</v>
      </c>
      <c r="CN35">
        <f>AE35*(c_Other+c_BN_2)</f>
        <v>355.92427494238763</v>
      </c>
      <c r="CO35">
        <f>AF35*(c_Stroke1+c_Stroke2+c_BN_2)</f>
        <v>35.91104291617858</v>
      </c>
      <c r="CP35">
        <f>AG35*(c_Stroke2 + c_BN_2)</f>
        <v>48.98396158192373</v>
      </c>
      <c r="CQ35">
        <f>AH35*(c_MI1+c_MI2 + c_BN_2)</f>
        <v>18.94671557320936</v>
      </c>
      <c r="CR35">
        <f>AI35*(c_MI2+c_BN_2)</f>
        <v>17.977230133383152</v>
      </c>
      <c r="CS35">
        <f>AJ35*(c_Stroke1+c_Stroke2+c_MI2+c_BN_2)</f>
        <v>1.3875939210495829</v>
      </c>
      <c r="CT35">
        <f>AK35*(c_Stroke2+c_MI1+c_MI2+c_BN_2)</f>
        <v>1.3664008614212635</v>
      </c>
      <c r="CU35">
        <f>AL35*(c_Stroke2+c_MI2+c_BN_2)</f>
        <v>1.6065161107142314</v>
      </c>
      <c r="CV35">
        <f>AM35*(c_HF1+c_BN_2)</f>
        <v>17.359982814499674</v>
      </c>
      <c r="CW35">
        <f>AN35*(c_HF2+c_BN_2)</f>
        <v>84.287990067920745</v>
      </c>
      <c r="CX35">
        <f>AO35*(c_Stroke2+c_HF1+c_BN_2)</f>
        <v>1.1973804875759155</v>
      </c>
      <c r="CY35">
        <f>AP35*(c_Stroke1+c_Stroke2+c_HF2+c_BN_2)</f>
        <v>2.2080974307315673</v>
      </c>
      <c r="CZ35">
        <f>AQ35*(c_Stroke2+c_HF2+c_BN_2)</f>
        <v>4.3499196038863781</v>
      </c>
      <c r="DA35">
        <f>AR35*(c_DM+c_BN_2)</f>
        <v>3395.9825618643354</v>
      </c>
      <c r="DB35">
        <f>AS35*(c_Other+c_DM+c_BN_2)</f>
        <v>2818.4858526950798</v>
      </c>
      <c r="DC35">
        <f>AT35*(c_Stroke1+c_Stroke2+c_DM+c_BN_2)</f>
        <v>273.28085325952952</v>
      </c>
      <c r="DD35">
        <f>AU35*(c_Stroke2+c_DM+c_BN_2)</f>
        <v>570.71659129408943</v>
      </c>
      <c r="DE35">
        <f>AV35*(c_MI1+c_MI2+c_DM+c_BN_2)</f>
        <v>140.96465287800751</v>
      </c>
      <c r="DF35">
        <f>AW35*(c_MI2+c_DM+c_BN_2)</f>
        <v>301.53175193942297</v>
      </c>
      <c r="DG35">
        <f>AX35*(c_Stroke1+c_Stroke2+c_MI2+c_DM+c_BN_2)</f>
        <v>16.798280676515425</v>
      </c>
      <c r="DH35">
        <f>AY35*(c_Stroke2+c_MI1+c_MI2+c_DM+c_BN_2)</f>
        <v>15.313518409696103</v>
      </c>
      <c r="DI35">
        <f>AZ35*(c_Stroke2+c_MI2+c_DM+c_BN_2)</f>
        <v>25.556755602847264</v>
      </c>
      <c r="DJ35">
        <f>BA35*(c_HF1+c_DM+c_BN_2)</f>
        <v>129.94916123900146</v>
      </c>
      <c r="DK35">
        <f>BB35*(c_HF2+c_DM+c_BN_2)</f>
        <v>697.20158388804873</v>
      </c>
      <c r="DL35">
        <f>BC35*(c_Stroke2+c_HF1+c_DM+c_BN_2)</f>
        <v>13.382144943166777</v>
      </c>
      <c r="DM35">
        <f>BD35*(c_Stroke1+c_Stroke2+c_HF2+c_DM+c_BN_2)</f>
        <v>23.391705946046429</v>
      </c>
      <c r="DN35">
        <f>BE35*(c_Stroke2+c_HF2+c_DM+c_BN_2)</f>
        <v>49.285574482284964</v>
      </c>
      <c r="DO35">
        <f t="shared" si="5"/>
        <v>0</v>
      </c>
      <c r="DP35">
        <f t="shared" si="38"/>
        <v>9249.4081895159816</v>
      </c>
      <c r="DQ35">
        <f>DP35/(1+r_)^A35</f>
        <v>3591.8877438387981</v>
      </c>
    </row>
    <row r="36" spans="1:121" x14ac:dyDescent="0.3">
      <c r="A36">
        <v>33</v>
      </c>
      <c r="B36">
        <v>78</v>
      </c>
      <c r="C36">
        <f t="shared" si="39"/>
        <v>36.251999999999995</v>
      </c>
      <c r="D36">
        <f t="shared" si="1"/>
        <v>125</v>
      </c>
      <c r="E36">
        <f t="shared" si="40"/>
        <v>5.7</v>
      </c>
      <c r="F36">
        <v>3.175E-2</v>
      </c>
      <c r="G36">
        <v>4.4229999999999998E-2</v>
      </c>
      <c r="H36">
        <f t="shared" si="3"/>
        <v>3.4245999999999999E-2</v>
      </c>
      <c r="I36">
        <f t="shared" si="20"/>
        <v>4.7655426853004217E-2</v>
      </c>
      <c r="J36">
        <f t="shared" si="21"/>
        <v>0.3093286790264711</v>
      </c>
      <c r="K36">
        <f t="shared" si="22"/>
        <v>0.40447360907434327</v>
      </c>
      <c r="L36">
        <f t="shared" si="23"/>
        <v>0.16071149049935729</v>
      </c>
      <c r="M36">
        <f t="shared" si="24"/>
        <v>0.21758278171987522</v>
      </c>
      <c r="N36">
        <f t="shared" si="25"/>
        <v>0.63387923704219196</v>
      </c>
      <c r="O36">
        <f t="shared" si="26"/>
        <v>0.75822797219413018</v>
      </c>
      <c r="P36">
        <f t="shared" si="27"/>
        <v>0.38997006008994173</v>
      </c>
      <c r="Q36">
        <f t="shared" si="28"/>
        <v>0.5026025511153841</v>
      </c>
      <c r="R36">
        <f>IF(C36&lt;25, HT_f_low, IF(C36&lt;30, HT_f_mod, HT_f_high))</f>
        <v>0.42</v>
      </c>
      <c r="S36">
        <f>IF(C36&lt;25, HT_m_low, IF(C36&lt;30, HT_m_mod, HT_m_high))</f>
        <v>0.43099999999999999</v>
      </c>
      <c r="T36">
        <f>PREV_FEMALE*PREV_SMOKE*(1-$R36)*(1-EXP(-J36/10))+PREV_FEMALE*PREV_SMOKE*$R36*(1-EXP(-K36/10))+PREV_FEMALE*(1-PREV_SMOKE)*(1-$R36)*(1-EXP(-L36/10))+PREV_FEMALE*(1-PREV_SMOKE)*$R36*(1-EXP(-M36/10))+(1-PREV_FEMALE)*PREV_SMOKE*(1-$S36)*(1-EXP(-N36/10))+(1-PREV_FEMALE)*PREV_SMOKE*$S36*(1-EXP(-O36/10))+(1-PREV_FEMALE)*(1-PREV_SMOKE)*(1-$S36)*(1-EXP(-P36/10))+(1-PREV_FEMALE)*(1-PREV_SMOKE)*$S36*(1-EXP(-Q36/10))</f>
        <v>2.5398183474475918E-2</v>
      </c>
      <c r="U36">
        <f t="shared" si="29"/>
        <v>0.55310544404149464</v>
      </c>
      <c r="V36">
        <f t="shared" si="30"/>
        <v>0.676320492333224</v>
      </c>
      <c r="W36">
        <f t="shared" si="31"/>
        <v>0.31702079379152681</v>
      </c>
      <c r="X36">
        <f t="shared" si="32"/>
        <v>0.41374156555058472</v>
      </c>
      <c r="Y36">
        <f t="shared" si="33"/>
        <v>0.81909932865510249</v>
      </c>
      <c r="Z36">
        <f t="shared" si="34"/>
        <v>0.91071650169632901</v>
      </c>
      <c r="AA36">
        <f t="shared" si="35"/>
        <v>0.56873701030996204</v>
      </c>
      <c r="AB36">
        <f t="shared" si="36"/>
        <v>0.69528435006577616</v>
      </c>
      <c r="AC36">
        <f>PREV_FEMALE*PREV_SMOKE*(1-$R36)*(1-EXP(-U36/10))+PREV_FEMALE*PREV_SMOKE*$R36*(1-EXP(-V36/10))+PREV_FEMALE*(1-PREV_SMOKE)*(1-$R36)*(1-EXP(-W36/10))+PREV_FEMALE*(1-PREV_SMOKE)*$R36*(1-EXP(-X36/10))+(1-PREV_FEMALE)*PREV_SMOKE*(1-$S36)*(1-EXP(-Y36/10))+(1-PREV_FEMALE)*PREV_SMOKE*$S36*(1-EXP(-Z36/10))+(1-PREV_FEMALE)*(1-PREV_SMOKE)*(1-$S36)*(1-EXP(-AA36/10))+(1-PREV_FEMALE)*(1-PREV_SMOKE)*$S36*(1-EXP(-AB36/10))</f>
        <v>4.3080344383192901E-2</v>
      </c>
      <c r="AD36">
        <f t="shared" si="37"/>
        <v>7.9845248554130499E-2</v>
      </c>
      <c r="AE36">
        <f t="shared" si="6"/>
        <v>2.0387350913097284E-2</v>
      </c>
      <c r="AF36">
        <f t="shared" si="7"/>
        <v>1.2943206491071542E-3</v>
      </c>
      <c r="AG36">
        <f t="shared" si="8"/>
        <v>5.2399130324971427E-3</v>
      </c>
      <c r="AH36">
        <f>AD35*T35*p_MI*p_MI_rec_old*(1-I35)+AE35*T35*p_MI*p_MI_rec_old*(1-I35) + AH35*(PREV_FEMALE*p_recur_MI_F + (1-PREV_FEMALE)*p_recur_MI_M)*p_MI_rec_old*(1-I35) + AI35*(PREV_FEMALE*p_recur_MI_F + (1-PREV_FEMALE)*p_recur_MI_M)*p_MI_rec_old*(1-I35)</f>
        <v>5.5903275521393522E-4</v>
      </c>
      <c r="AI36">
        <f>AH35*(1-(PREV_FEMALE*p_recur_MI_F + (1-PREV_FEMALE)*p_recur_MI_M) - T35*p_Stroke - p_toHF_old - H35*rr_MI)*(1-I35) + AI35*(1-(PREV_FEMALE*p_recur_MI_F + (1-PREV_FEMALE)*p_recur_MI_M) - T35*p_Stroke - p_toHF_old - H35*rr_MI)*(1-I35)</f>
        <v>3.0541584403738888E-3</v>
      </c>
      <c r="AJ36">
        <f t="shared" si="11"/>
        <v>4.340898998623954E-5</v>
      </c>
      <c r="AK36">
        <f>AF35*T35*p_MI*p_MI_rec_old*(1-I35) + AG35*T35*p_MI*p_MI_rec_old*(1-I35) + AJ35*(PREV_FEMALE*p_recur_MI_F + (1-PREV_FEMALE)*p_recur_MI_M)*p_MI_rec_old*(1-I35) + AK35*(PREV_FEMALE*p_recur_MI_F + (1-PREV_FEMALE)*p_recur_MI_M)*p_MI_rec_old*(1-I35) + AL35*(PREV_FEMALE*p_recur_MI_F + (1-PREV_FEMALE)*p_recur_MI_M)*p_MI_rec_old*(1-I35)</f>
        <v>3.4045414183837879E-5</v>
      </c>
      <c r="AL36">
        <f>AJ35*(1-p_recur_Stroke-(PREV_FEMALE*p_recur_MI_F + (1-PREV_FEMALE)*p_recur_MI_M) - p_toHF_old - H35*rr_MI*rr_Stroke)*(1-I35) + AK35*(1-p_recur_Stroke-(PREV_FEMALE*p_recur_MI_F + (1-PREV_FEMALE)*p_recur_MI_M) - p_toHF_old - H35*rr_MI*rr_Stroke)*(1-I35) + AL35*(1-p_recur_Stroke-(PREV_FEMALE*p_recur_MI_F + (1-PREV_FEMALE)*p_recur_MI_M) - p_toHF_old - H35*rr_MI*rr_Stroke)*(1-I35)</f>
        <v>1.2028447809181062E-4</v>
      </c>
      <c r="AM36">
        <f>AD35*T35*p_MI*p_MI_HF_old*(1-I35) + AE35*T35*p_MI*p_MI_HF_old*(1-I35) + AH35*p_toHF_old*(1-I35) + AH35*(PREV_FEMALE*p_recur_MI_F + (1-PREV_FEMALE)*p_recur_MI_M)*p_MI_HF_old*(1-I35) + AI35*p_toHF_old*(1-I35) + AI35*(PREV_FEMALE*p_recur_MI_F + (1-PREV_FEMALE)*p_recur_MI_M)*p_MI_HF_old*(1-I35)</f>
        <v>5.3877066401605909E-4</v>
      </c>
      <c r="AN36">
        <f t="shared" si="15"/>
        <v>4.7830411540611467E-3</v>
      </c>
      <c r="AO36">
        <f>AF35*T35*p_MI*p_MI_HF_old*(1-I35) + AG35*T35*p_MI*p_MI_HF_old*(1-I35) + AJ35*(PREV_FEMALE*p_recur_MI_F + (1-PREV_FEMALE)*p_recur_MI_M)*p_MI_HF_old*(1-I35) + AJ35*p_toHF_old*(1-I35) + AK35*(PREV_FEMALE*p_recur_MI_F + (1-PREV_FEMALE)*p_recur_MI_M)*p_MI_HF_old*(1-I35) + AK35*p_toHF_old*(1-I35) + AL35*(PREV_FEMALE*p_recur_MI_F + (1-PREV_FEMALE)*p_recur_MI_M)*p_MI_HF_old*(1-I35) + AL35*p_toHF_old*(1-I35)</f>
        <v>3.0844545070098118E-5</v>
      </c>
      <c r="AP36">
        <f>AM35*T35*p_Stroke*p_Stroke_rec*(1-I35) + AN35*T35*p_Stroke*p_Stroke_rec*(1-I35) + AO35*(p_recur_Stroke*p_Stroke_rec)*(1-I35) + AP35*(p_recur_Stroke*p_Stroke_rec)*(1-I35) + AQ35*(p_recur_Stroke*p_Stroke_rec)*(1-I35)</f>
        <v>5.4652992480465336E-5</v>
      </c>
      <c r="AQ36">
        <f>AO35*(1-p_recur_Stroke-H35*rr_Stroke*rr_HF)*(1-I35) + AP35*(1-p_recur_Stroke-H35*rr_Stroke*rr_HF)*(1-I35) + AQ35*(1-p_recur_Stroke-H35*rr_Stroke*rr_HF)*(1-I35)</f>
        <v>1.7810965988502669E-4</v>
      </c>
      <c r="AR36">
        <f>AR35*(1-AC35-H35*rr_DM) + AD35*(1-T35-H35)*I35</f>
        <v>0.23557620095350784</v>
      </c>
      <c r="AS36">
        <f>AR35*AC35*p_Other + AD35*T35*p_Other*I35 + AE35*(1-T35*p_Stroke-T35*p_MI-H35*rr_Other)*I35 + AS35*(1-AC35*p_Stroke-AC35*p_MI-H35*rr_Other*rr_DM)</f>
        <v>9.9361538861129528E-2</v>
      </c>
      <c r="AT36">
        <f>AR35*AC35*p_Stroke*p_Stroke_rec + AD35*T35*p_Stroke*p_Stroke_rec*I35 + AE35*T35*p_Stroke*p_Stroke_rec*I35 + AF35*p_recur_Stroke*p_Stroke_rec*I35 + AG35*p_recur_Stroke*p_Stroke_rec*I35 + AS35*AC35*p_Stroke*p_Stroke_rec + AT35*p_recur_Stroke*p_Stroke_rec + AU35*p_recur_Stroke*p_Stroke_rec</f>
        <v>7.1558296599595755E-3</v>
      </c>
      <c r="AU36">
        <f>AF35*(1-p_recur_Stroke-T35*p_MI-H35*rr_Stroke)*I35 + AG35*(1-p_recur_Stroke-T35*p_MI-H35*rr_Stroke)*I35 + AT35*(1-p_recur_Stroke-AC35*p_MI-H35*rr_Stroke*rr_DM) + AU35*(1-p_recur_Stroke-AC35*p_MI-H35*rr_Stroke*rr_DM)</f>
        <v>2.7421076717721055E-2</v>
      </c>
      <c r="AV36">
        <f>AR35*AC35*p_MI*p_MI_rec_old + AD35*T35*p_MI*p_MI_rec_old*I35 + AE35*T35*p_MI*p_MI_rec_old*I35 +AH35*(PREV_FEMALE*p_recur_MI_F + (1-PREV_FEMALE)*p_recur_MI_M)*p_MI_rec_old*I35 + AI35*(PREV_FEMALE*p_recur_MI_F + (1-PREV_FEMALE)*p_recur_MI_M)*p_MI_rec_old*I35 + AS35*AC35*p_MI*p_MI_rec_old + AV35*(PREV_FEMALE*p_recur_MI_F + (1-PREV_FEMALE)*p_recur_MI_M)*p_MI_rec_old + AW35*(PREV_FEMALE*p_recur_MI_F + (1-PREV_FEMALE)*p_recur_MI_M)*p_MI_rec_old</f>
        <v>3.188905998024431E-3</v>
      </c>
      <c r="AW36">
        <f>AH35*(1-(PREV_FEMALE*p_recur_MI_F + (1-PREV_FEMALE)*p_recur_MI_M) - T35*p_Stroke - p_toHF_old - H35*rr_MI)*I35 + AI35*(1-(PREV_FEMALE*p_recur_MI_F + (1-PREV_FEMALE)*p_recur_MI_M) - T35*p_Stroke - p_toHF_old - H35*rr_MI)*I35 + AV35*(1-(PREV_FEMALE*p_recur_MI_F + (1-PREV_FEMALE)*p_recur_MI_M) - AC35*p_Stroke - p_toHF_old - H35*rr_MI*rr_DM) + AW35*(1-(PREV_FEMALE*p_recur_MI_F + (1-PREV_FEMALE)*p_recur_MI_M) - AC35*p_Stroke - p_toHF_old - H35*rr_MI*rr_DM)</f>
        <v>1.6852412656505895E-2</v>
      </c>
      <c r="AX36">
        <f>AH35*T35*p_Stroke*p_Stroke_rec*I35 + AI35*T35*p_Stroke*p_Stroke_rec*I35 + AJ35*p_recur_Stroke*p_Stroke_rec*I35 + AK35*p_recur_Stroke*p_Stroke_rec*I35 + AL35*p_recur_Stroke*p_Stroke_rec*I35 + AV35*AC35*p_Stroke*p_Stroke_rec + AW35*AC35*p_Stroke*p_Stroke_rec + AX35*p_recur_Stroke*p_Stroke_rec + AY35*p_recur_Stroke*p_Stroke_rec + AZ35*p_recur_Stroke*p_Stroke_rec</f>
        <v>3.9492379482235988E-4</v>
      </c>
      <c r="AY36">
        <f>AF35*T35*p_MI*p_MI_rec_old*I35 + AG35*T35*p_MI*p_MI_rec_old*I35 + AJ35*(PREV_FEMALE*p_recur_MI_F+(1-PREV_FEMALE)*p_recur_MI_M)*p_MI_rec_old*I35 + AK35*(PREV_FEMALE*p_recur_MI_F+(1-PREV_FEMALE)*p_recur_MI_M)*p_MI_rec_old*I35 + AL35*(PREV_FEMALE*p_recur_MI_F+(1-PREV_FEMALE)*p_recur_MI_M)*p_MI_rec_old*I35 + AT35*AC35*p_MI*p_MI_rec_old + AU35*AC35*p_MI*p_MI_rec_old + AX35*(PREV_FEMALE*p_recur_MI_F+(1-PREV_FEMALE)*p_recur_MI_M)*p_MI_rec_old + AY35*(PREV_FEMALE*p_recur_MI_F+(1-PREV_FEMALE)*p_recur_MI_M)*p_MI_rec_old + AZ35*(PREV_FEMALE*p_recur_MI_F+(1-PREV_FEMALE)*p_recur_MI_M)*p_MI_rec_old</f>
        <v>3.0618284457422046E-4</v>
      </c>
      <c r="AZ36">
        <f>AJ35*(1-p_recur_Stroke-(PREV_FEMALE*p_recur_MI_F + (1-PREV_FEMALE)*p_recur_MI_M) - p_toHF_old - H35*rr_MI*rr_Stroke)*I35 + AK35*(1-p_recur_Stroke-(PREV_FEMALE*p_recur_MI_F + (1-PREV_FEMALE)*p_recur_MI_M) - p_toHF_old - H35*rr_MI*rr_Stroke)*I35 + AL35*(1-p_recur_Stroke-(PREV_FEMALE*p_recur_MI_F + (1-PREV_FEMALE)*p_recur_MI_M) - p_toHF_old - H35*rr_MI*rr_Stroke)*I35 + AX35*(1-p_recur_Stroke-(PREV_FEMALE*p_recur_MI_F + (1-PREV_FEMALE)*p_recur_MI_M) - p_toHF_old - H35*rr_MI*rr_Stroke*rr_DM) + AY35*(1-p_recur_Stroke-(PREV_FEMALE*p_recur_MI_F + (1-PREV_FEMALE)*p_recur_MI_M) - p_toHF_old - H35*rr_MI*rr_Stroke*rr_DM) + AZ35*(1-p_recur_Stroke-(PREV_FEMALE*p_recur_MI_F + (1-PREV_FEMALE)*p_recur_MI_M) - p_toHF_old - H35*rr_MI*rr_Stroke*rr_DM)</f>
        <v>1.0092719529485943E-3</v>
      </c>
      <c r="BA36">
        <f>AR35*AC35*p_MI*p_MI_HF_old + AD35*T35*p_MI*p_MI_HF_old*I35 + AE35*T35*p_MI*p_MI_HF_old*I35 + AH35*p_toHF_old*I35 + AH35*(PREV_FEMALE*p_recur_MI_F + (1-PREV_FEMALE)*p_recur_MI_M)*p_MI_HF_old*I35 + AI35*p_toHF_old*I35 + AI35*(PREV_FEMALE*p_recur_MI_F + (1-PREV_FEMALE)*p_recur_MI_M)*p_MI_HF_old*I35 + AS35*AC35*p_MI*p_MI_HF_old + AV35*(PREV_FEMALE*p_recur_MI_F + (1-PREV_FEMALE)*p_recur_MI_M)*p_MI_HF_old + AV35*p_toHF_old + AW35*(PREV_FEMALE*p_recur_MI_F + (1-PREV_FEMALE)*p_recur_MI_M)*p_MI_HF_old + AW35*p_toHF_old</f>
        <v>3.0404540886034594E-3</v>
      </c>
      <c r="BB36">
        <f>AM35*(1-T35*p_Stroke - H35*rr_HF)*I35 + AN35*(1-T35*p_Stroke - H35*rr_HF)*I35 + BA35*(1-AC35*p_Stroke - H35*rr_HF*rr_DM) + BB35*(1-AC35*p_Stroke - H35*rr_HF*rr_DM)</f>
        <v>2.5341246228145153E-2</v>
      </c>
      <c r="BC36">
        <f>AF35*T35*p_MI*p_MI_HF_old*I35 + AG35*T35*p_MI*p_MI_HF_old*I35 + AJ35*(PREV_FEMALE*p_recur_MI_F + (1-PREV_FEMALE)*p_recur_MI_M)*p_MI_HF_old*I35 + AJ35*p_toHF_old*I35 + AK35*(PREV_FEMALE*p_recur_MI_F + (1-PREV_FEMALE)*p_recur_MI_M)*p_MI_HF_old*I35 + AK35*p_toHF_old*I35 + AL35*(PREV_FEMALE*p_recur_MI_F + (1-PREV_FEMALE)*p_recur_MI_M)*p_MI_HF_old*I35 + AL35*p_toHF_old*I35 + AT35*AC35*p_MI*p_MI_HF_old + AU35*AC35*p_MI*p_MI_HF_old + AX35*(PREV_FEMALE*p_recur_MI_F + (1-PREV_FEMALE)*p_recur_MI_M)*p_MI_HF_old + AX35*p_toHF_old + AY35*(PREV_FEMALE*p_recur_MI_F + (1-PREV_FEMALE)*p_recur_MI_M)*p_MI_HF_old + AY35*p_toHF_old + AZ35*(PREV_FEMALE*p_recur_MI_F + (1-PREV_FEMALE)*p_recur_MI_M)*p_MI_HF_old + AZ35*p_toHF_old</f>
        <v>2.7319925602627419E-4</v>
      </c>
      <c r="BD36">
        <f>AM35*T35*p_Stroke*p_Stroke_rec*I35 + AN35*T35*p_Stroke*p_Stroke_rec*I35 + AO35*(p_recur_Stroke*p_Stroke_rec)*I35 + AP35*(p_recur_Stroke*p_Stroke_rec)*I35 + AQ35*(p_recur_Stroke*p_Stroke_rec)*I35 + BA35*AC35*p_Stroke*p_Stroke_rec + BB35*AC35*p_Stroke*p_Stroke_rec + BC35*(p_recur_Stroke*p_Stroke_rec) + BD35*(p_recur_Stroke*p_Stroke_rec) + BE35*(p_recur_Stroke*p_Stroke_rec)</f>
        <v>4.7705905957153954E-4</v>
      </c>
      <c r="BE36">
        <f>AO35*(1-p_recur_Stroke - H35*rr_Stroke*rr_HF)*I35 + AP35*(1-p_recur_Stroke-H35*rr_Stroke*rr_HF)*I35 + AQ35*(1-p_recur_Stroke-H35*rr_Stroke*rr_HF)*I35 + BC35*(1-p_recur_Stroke - H35*rr_Stroke*rr_HF*rr_DM) + BD35*(1-p_recur_Stroke-H35*rr_Stroke*rr_HF*rr_DM) + BE35*(1-p_recur_Stroke-H35*rr_Stroke*rr_HF*rr_DM)</f>
        <v>1.4327617571685794E-3</v>
      </c>
      <c r="BF36">
        <f>AD35*H35 + AE35*H35*rr_Other + AF35*H35*rr_Stroke + AG35*H35*rr_Stroke + AH35*H35*rr_MI + AI35*H35*rr_MI + AJ35*H35*rr_Stroke*rr_MI + AK35*H35*rr_Stroke*rr_MI + AL35*H35*rr_Stroke*rr_MI + AM35*H35*rr_HF + AN35*H35*rr_HF + AO35*H35*rr_Stroke*rr_HF + AP35*H35*rr_Stroke*rr_HF + AR35*H35*rr_DM + AS35*H35*rr_DM*rr_Other + AT35*H35*rr_DM*rr_Stroke + AU35*H35*rr_DM*rr_Stroke + AV35*H35*rr_DM*rr_MI + AW35*H35*rr_DM*rr_MI + AX35*H35*rr_DM*rr_Stroke*rr_MI + AY35*H35*rr_DM*rr_Stroke*rr_MI + AZ35*H35*rr_DM*rr_Stroke*rr_MI + BA35*H35*rr_DM*rr_HF + BB35*H35*rr_DM*rr_HF + BC35*H35*rr_DM*rr_Stroke*rr_HF + BD35*H35*rr_DM*rr_Stroke*rr_HF + AQ35*H35*rr_Stroke*rr_HF + BE35*H35*rr_DM*rr_Stroke*rr_HF
+ AD35*T35*p_MI*p_MI_mort + AD35*T35*p_Stroke*p_Stroke_mort + AE35*T35*p_MI*p_MI_mort + AE35*T35*p_Stroke*p_Stroke_mort + AF35*T35*p_MI*p_MI_mort + AF35*p_recur_Stroke*p_Stroke_mort + AG35*T35*p_MI*p_MI_mort + AG35*p_recur_Stroke*p_Stroke_mort + AH35*(PREV_FEMALE*p_recur_MI_F + (1-PREV_FEMALE)*p_recur_MI_M)*p_MI_mort + AH35*T35*p_Stroke*p_Stroke_mort + AI35*(PREV_FEMALE*p_recur_MI_F + (1-PREV_FEMALE)*p_recur_MI_M)*p_MI_mort + AI35*T35*p_Stroke*p_Stroke_mort + AJ35*(PREV_FEMALE*p_recur_MI_F + (1-PREV_FEMALE)*p_recur_MI_M)*p_MI_mort + AJ35*p_recur_Stroke*p_Stroke_mort + AK35*(PREV_FEMALE*p_recur_MI_F + (1-PREV_FEMALE)*p_recur_MI_M)*p_MI_mort + AK35*p_recur_Stroke*p_Stroke_mort + AL35*(PREV_FEMALE*p_recur_MI_F + (1-PREV_FEMALE)*p_recur_MI_M)*p_MI_mort + AL35*p_recur_Stroke*p_Stroke_mort + AM35*T35*p_Stroke*p_Stroke_mort + AN35*T35*p_Stroke*p_Stroke_mort + AO35*p_recur_Stroke*p_Stroke_mort + AP35*p_recur_Stroke*p_Stroke_mort + AQ35*p_recur_Stroke*p_Stroke_mort
+ AR35*AC35*p_MI*p_MI_mort + AR35*AC35*p_Stroke*p_Stroke_mort + AS35*AC35*p_MI*p_MI_mort + AS35*AC35*p_Stroke*p_Stroke_mort + AT35*AC35*p_MI*p_MI_mort + AT35*p_recur_Stroke*p_Stroke_mort + AU35*AC35*p_MI*p_MI_mort + AU35*p_recur_Stroke*p_Stroke_mort + AV35*(PREV_FEMALE*p_recur_MI_F + (1-PREV_FEMALE)*p_recur_MI_M)*p_MI_mort + AV35*AC35*p_Stroke*p_Stroke_mort + AW35*(PREV_FEMALE*p_recur_MI_F + (1-PREV_FEMALE)*p_recur_MI_M)*p_MI_mort + AW35*AC35*p_Stroke*p_Stroke_mort + AX35*(PREV_FEMALE*p_recur_MI_F + (1-PREV_FEMALE)*p_recur_MI_M)*p_MI_mort + AX35*p_recur_Stroke*p_Stroke_mort + AY35*(PREV_FEMALE*p_recur_MI_F + (1-PREV_FEMALE)*p_recur_MI_M)*p_MI_mort + AY35*p_recur_Stroke*p_Stroke_mort + AZ35*(PREV_FEMALE*p_recur_MI_F + (1-PREV_FEMALE)*p_recur_MI_M)*p_MI_mort + AZ35*p_recur_Stroke*p_Stroke_mort + BA35*AC35*p_Stroke*p_Stroke_mort + BB35*AC35*p_Stroke*p_Stroke_mort + BC35*p_recur_Stroke*p_Stroke_mort + BD35*p_recur_Stroke*p_Stroke_mort + BE35*p_recur_Stroke*p_Stroke_mort
+BF35</f>
        <v>0.40900575392909716</v>
      </c>
      <c r="BG36">
        <f t="shared" si="17"/>
        <v>0.94700000000000006</v>
      </c>
      <c r="BH36">
        <f>(0.9442 - 0.0007*$B36 - dis_BMI*($C36-21.75))*AD36</f>
        <v>6.7209210991798898E-2</v>
      </c>
      <c r="BI36">
        <f>0.959*(0.9442 - 0.0007*$B36 - dis_BMI*($C36-21.75))*AE36</f>
        <v>1.6457320433525685E-2</v>
      </c>
      <c r="BJ36">
        <f>(0.943*(0.9442 - 0.0007*$B36 - dis_BMI*($C36-21.75)) - 0.19*0.5)*AF36</f>
        <v>9.0442470796391246E-4</v>
      </c>
      <c r="BK36">
        <f>(0.943*(0.9442 - 0.0007*$B36 - dis_BMI*($C36-21.75)))*AG36</f>
        <v>4.159254465612783E-3</v>
      </c>
      <c r="BL36">
        <f>(0.955*(0.9442 - 0.0007*$B36 - dis_BMI*($C36-21.75)) - 0.15*0.5)*AH36</f>
        <v>4.0745937950026887E-4</v>
      </c>
      <c r="BM36">
        <f>(0.955*(0.9442 - 0.0007*$B36 - dis_BMI*($C36-21.75)))*AI36</f>
        <v>2.4551309128007588E-3</v>
      </c>
      <c r="BN36">
        <f>(0.955*0.943*(0.9442 - 0.0007*$B36 - dis_BMI*($C36-21.75)) - 0.19*0.5)*AJ36</f>
        <v>2.8782098356146341E-5</v>
      </c>
      <c r="BO36">
        <f>(0.955*0.943*(0.9442 - 0.0007*$B36 - dis_BMI*($C36-21.75)) - 0.15*0.5)*AK36</f>
        <v>2.3254537845792464E-5</v>
      </c>
      <c r="BP36">
        <f>(0.955*0.943*(0.9442 - 0.0007*$B36 - dis_BMI*($C36-21.75)))*AL36</f>
        <v>9.1181004496642838E-5</v>
      </c>
      <c r="BQ36">
        <f>(0.93*(0.9442 - 0.0007*$B36 - dis_BMI*($C36-21.75)))*AM36</f>
        <v>4.2176118501069583E-4</v>
      </c>
      <c r="BR36">
        <f>(0.93*(0.9442 - 0.0007*$B36 - dis_BMI*($C36-21.75)))*AN36</f>
        <v>3.7442667907241992E-3</v>
      </c>
      <c r="BS36">
        <f>(0.93*0.943*(0.9442 - 0.0007*$B36 - dis_BMI*($C36-21.75)))*AO36</f>
        <v>2.2769459961468055E-5</v>
      </c>
      <c r="BT36">
        <f>(0.93*0.943*(0.9442 - 0.0007*$B36 - dis_BMI*($C36-21.75))-0.19*0.5)*AP36</f>
        <v>3.515283451466621E-5</v>
      </c>
      <c r="BU36">
        <f>(0.93*0.943*(0.9442 - 0.0007*$B36 - dis_BMI*($C36-21.75)))*AQ36</f>
        <v>1.3148064788396982E-4</v>
      </c>
      <c r="BV36">
        <f>0.962*(0.9442 - 0.0007*$B36 - dis_BMI*($C36-21.75))*AR36</f>
        <v>0.19075951328040075</v>
      </c>
      <c r="BW36">
        <f>0.962*0.959*(0.9442 - 0.0007*$B36 - dis_BMI*($C36-21.75))*AS36</f>
        <v>7.7159909226392751E-2</v>
      </c>
      <c r="BX36">
        <f>0.962*(0.943*(0.9442 - 0.0007*$B36 - dis_BMI*($C36-21.75)) - 0.19*0.5)*AT36</f>
        <v>4.8102273629229298E-3</v>
      </c>
      <c r="BY36">
        <f>0.962*(0.943*(0.9442 - 0.0007*$B36 - dis_BMI*($C36-21.75)))*AU36</f>
        <v>2.0938761416385843E-2</v>
      </c>
      <c r="BZ36">
        <f>0.962*(0.955*(0.9442 - 0.0007*$B36 - dis_BMI*($C36-21.75)) - 0.15*0.5)*AV36</f>
        <v>2.2359590927910128E-3</v>
      </c>
      <c r="CA36">
        <f>0.962*(0.955*(0.9442 - 0.0007*$B36 - dis_BMI*($C36-21.75)))*AW36</f>
        <v>1.303227538228036E-2</v>
      </c>
      <c r="CB36">
        <f>0.962*(0.955*0.943*(0.9442 - 0.0007*$B36 - dis_BMI*($C36-21.75)) - 0.19*0.5)*AX36</f>
        <v>2.5190172726910102E-4</v>
      </c>
      <c r="CC36">
        <f>0.962*(0.955*0.943*(0.9442 - 0.0007*$B36 - dis_BMI*($C36-21.75)) - 0.15*0.5)*AY36</f>
        <v>2.0118936339313714E-4</v>
      </c>
      <c r="CD36">
        <f>0.962*(0.955*0.943*(0.9442 - 0.0007*$B36 - dis_BMI*($C36-21.75)))*AZ36</f>
        <v>7.3600041772907095E-4</v>
      </c>
      <c r="CE36">
        <f>0.962*(0.93*(0.9442 - 0.0007*$B36 - dis_BMI*($C36-21.75)))*BA36</f>
        <v>2.2896873791309457E-3</v>
      </c>
      <c r="CF36">
        <f>0.962*(0.93*(0.9442 - 0.0007*$B36 - dis_BMI*($C36-21.75)))*BB36</f>
        <v>1.9083837469384381E-2</v>
      </c>
      <c r="CG36">
        <f>0.962*(0.93*0.943*(0.9442 - 0.0007*$B36 - dis_BMI*($C36-21.75)))*BC36</f>
        <v>1.940121576172605E-4</v>
      </c>
      <c r="CH36">
        <f>0.962*(0.93*0.943*(0.9442 - 0.0007*$B36 - dis_BMI*($C36-21.75))-0.19*0.5)*BD36</f>
        <v>2.9518455023232269E-4</v>
      </c>
      <c r="CI36">
        <f>0.962*(0.93*0.943*(0.9442 - 0.0007*$B36 - dis_BMI*($C36-21.75)))*BE36</f>
        <v>1.0174742197432639E-3</v>
      </c>
      <c r="CJ36">
        <f t="shared" si="18"/>
        <v>0</v>
      </c>
      <c r="CK36">
        <f t="shared" si="19"/>
        <v>0.42909738249566898</v>
      </c>
      <c r="CL36">
        <f>CK36/(1+r_)^A36</f>
        <v>0.16178097560611965</v>
      </c>
      <c r="CM36">
        <f>AD36*c_BN_2</f>
        <v>167.2757957209034</v>
      </c>
      <c r="CN36">
        <f>AE36*(c_Other+c_BN_2)</f>
        <v>333.82248385105493</v>
      </c>
      <c r="CO36">
        <f>AF36*(c_Stroke1+c_Stroke2+c_BN_2)</f>
        <v>33.537142339015475</v>
      </c>
      <c r="CP36">
        <f>AG36*(c_Stroke2 + c_BN_2)</f>
        <v>45.03705251431294</v>
      </c>
      <c r="CQ36">
        <f>AH36*(c_MI1+c_MI2 + c_BN_2)</f>
        <v>17.467537469414619</v>
      </c>
      <c r="CR36">
        <f>AI36*(c_MI2+c_BN_2)</f>
        <v>15.918273791228708</v>
      </c>
      <c r="CS36">
        <f>AJ36*(c_Stroke1+c_Stroke2+c_MI2+c_BN_2)</f>
        <v>1.2600761613205613</v>
      </c>
      <c r="CT36">
        <f>AK36*(c_Stroke2+c_MI1+c_MI2+c_BN_2)</f>
        <v>1.2850782037831445</v>
      </c>
      <c r="CU36">
        <f>AL36*(c_Stroke2+c_MI2+c_BN_2)</f>
        <v>1.408771807411286</v>
      </c>
      <c r="CV36">
        <f>AM36*(c_HF1+c_BN_2)</f>
        <v>15.69169558946772</v>
      </c>
      <c r="CW36">
        <f>AN36*(c_HF2+c_BN_2)</f>
        <v>84.659828426882299</v>
      </c>
      <c r="CX36">
        <f>AO36*(c_Stroke2+c_HF1+c_BN_2)</f>
        <v>1.0988369181222455</v>
      </c>
      <c r="CY36">
        <f>AP36*(c_Stroke1+c_Stroke2+c_HF2+c_BN_2)</f>
        <v>2.2689736358189987</v>
      </c>
      <c r="CZ36">
        <f>AQ36*(c_Stroke2+c_HF2+c_BN_2)</f>
        <v>4.3102537692176464</v>
      </c>
      <c r="DA36">
        <f>AR36*(c_DM+c_BN_2)</f>
        <v>3184.9902368914259</v>
      </c>
      <c r="DB36">
        <f>AS36*(c_Other+c_DM+c_BN_2)</f>
        <v>2762.1514188005399</v>
      </c>
      <c r="DC36">
        <f>AT36*(c_Stroke1+c_Stroke2+c_DM+c_BN_2)</f>
        <v>267.17005618425071</v>
      </c>
      <c r="DD36">
        <f>AU36*(c_Stroke2+c_DM+c_BN_2)</f>
        <v>548.96995588877553</v>
      </c>
      <c r="DE36">
        <f>AV36*(c_MI1+c_MI2+c_DM+c_BN_2)</f>
        <v>136.0738078417005</v>
      </c>
      <c r="DF36">
        <f>AW36*(c_MI2+c_DM+c_BN_2)</f>
        <v>280.37358936628857</v>
      </c>
      <c r="DG36">
        <f>AX36*(c_Stroke1+c_Stroke2+c_MI2+c_DM+c_BN_2)</f>
        <v>15.975852271948924</v>
      </c>
      <c r="DH36">
        <f>AY36*(c_Stroke2+c_MI1+c_MI2+c_DM+c_BN_2)</f>
        <v>15.055316650558995</v>
      </c>
      <c r="DI36">
        <f>AZ36*(c_Stroke2+c_MI2+c_DM+c_BN_2)</f>
        <v>23.351525175371627</v>
      </c>
      <c r="DJ36">
        <f>BA36*(c_HF1+c_DM+c_BN_2)</f>
        <v>123.29041329287028</v>
      </c>
      <c r="DK36">
        <f>BB36*(c_HF2+c_DM+c_BN_2)</f>
        <v>738.06379639472755</v>
      </c>
      <c r="DL36">
        <f>BC36*(c_Stroke2+c_HF1+c_DM+c_BN_2)</f>
        <v>12.8540249960362</v>
      </c>
      <c r="DM36">
        <f>BD36*(c_Stroke1+c_Stroke2+c_HF2+c_DM+c_BN_2)</f>
        <v>25.255983672776875</v>
      </c>
      <c r="DN36">
        <f>BE36*(c_Stroke2+c_HF2+c_DM+c_BN_2)</f>
        <v>51.042137599130641</v>
      </c>
      <c r="DO36">
        <f t="shared" si="5"/>
        <v>0</v>
      </c>
      <c r="DP36">
        <f t="shared" si="38"/>
        <v>8909.6599152243562</v>
      </c>
      <c r="DQ36">
        <f>DP36/(1+r_)^A36</f>
        <v>3359.1756375215882</v>
      </c>
    </row>
    <row r="37" spans="1:121" x14ac:dyDescent="0.3">
      <c r="A37">
        <v>34</v>
      </c>
      <c r="B37">
        <v>79</v>
      </c>
      <c r="C37">
        <f t="shared" si="39"/>
        <v>36.251999999999995</v>
      </c>
      <c r="D37">
        <f t="shared" si="1"/>
        <v>125</v>
      </c>
      <c r="E37">
        <f t="shared" si="40"/>
        <v>5.7</v>
      </c>
      <c r="F37">
        <v>3.5380000000000002E-2</v>
      </c>
      <c r="G37">
        <v>4.9230000000000003E-2</v>
      </c>
      <c r="H37">
        <f t="shared" si="3"/>
        <v>3.8150000000000003E-2</v>
      </c>
      <c r="I37">
        <f t="shared" si="20"/>
        <v>4.7655426853004217E-2</v>
      </c>
      <c r="J37">
        <f t="shared" si="21"/>
        <v>0.31828590515272837</v>
      </c>
      <c r="K37">
        <f t="shared" si="22"/>
        <v>0.41526186676072174</v>
      </c>
      <c r="L37">
        <f t="shared" si="23"/>
        <v>0.16588197075662936</v>
      </c>
      <c r="M37">
        <f t="shared" si="24"/>
        <v>0.22432498278291901</v>
      </c>
      <c r="N37">
        <f t="shared" si="25"/>
        <v>0.64846264808685095</v>
      </c>
      <c r="O37">
        <f t="shared" si="26"/>
        <v>0.77172270029738321</v>
      </c>
      <c r="P37">
        <f t="shared" si="27"/>
        <v>0.40204586567894351</v>
      </c>
      <c r="Q37">
        <f t="shared" si="28"/>
        <v>0.51645802654831585</v>
      </c>
      <c r="R37">
        <f>IF(C37&lt;25, HT_f_low, IF(C37&lt;30, HT_f_mod, HT_f_high))</f>
        <v>0.42</v>
      </c>
      <c r="S37">
        <f>IF(C37&lt;25, HT_m_low, IF(C37&lt;30, HT_m_mod, HT_m_high))</f>
        <v>0.43099999999999999</v>
      </c>
      <c r="T37">
        <f>PREV_FEMALE*PREV_SMOKE*(1-$R37)*(1-EXP(-J37/10))+PREV_FEMALE*PREV_SMOKE*$R37*(1-EXP(-K37/10))+PREV_FEMALE*(1-PREV_SMOKE)*(1-$R37)*(1-EXP(-L37/10))+PREV_FEMALE*(1-PREV_SMOKE)*$R37*(1-EXP(-M37/10))+(1-PREV_FEMALE)*PREV_SMOKE*(1-$S37)*(1-EXP(-N37/10))+(1-PREV_FEMALE)*PREV_SMOKE*$S37*(1-EXP(-O37/10))+(1-PREV_FEMALE)*(1-PREV_SMOKE)*(1-$S37)*(1-EXP(-P37/10))+(1-PREV_FEMALE)*(1-PREV_SMOKE)*$S37*(1-EXP(-Q37/10))</f>
        <v>2.6140247728647203E-2</v>
      </c>
      <c r="U37">
        <f t="shared" si="29"/>
        <v>0.56562257465914145</v>
      </c>
      <c r="V37">
        <f t="shared" si="30"/>
        <v>0.6889457082025795</v>
      </c>
      <c r="W37">
        <f t="shared" si="31"/>
        <v>0.32614450685322183</v>
      </c>
      <c r="X37">
        <f t="shared" si="32"/>
        <v>0.42468030437384863</v>
      </c>
      <c r="Y37">
        <f t="shared" si="33"/>
        <v>0.83118885978855661</v>
      </c>
      <c r="Z37">
        <f t="shared" si="34"/>
        <v>0.91902959383598359</v>
      </c>
      <c r="AA37">
        <f t="shared" si="35"/>
        <v>0.58316299568889574</v>
      </c>
      <c r="AB37">
        <f t="shared" si="36"/>
        <v>0.70958667176504431</v>
      </c>
      <c r="AC37">
        <f>PREV_FEMALE*PREV_SMOKE*(1-$R37)*(1-EXP(-U37/10))+PREV_FEMALE*PREV_SMOKE*$R37*(1-EXP(-V37/10))+PREV_FEMALE*(1-PREV_SMOKE)*(1-$R37)*(1-EXP(-W37/10))+PREV_FEMALE*(1-PREV_SMOKE)*$R37*(1-EXP(-X37/10))+(1-PREV_FEMALE)*PREV_SMOKE*(1-$S37)*(1-EXP(-Y37/10))+(1-PREV_FEMALE)*PREV_SMOKE*$S37*(1-EXP(-Z37/10))+(1-PREV_FEMALE)*(1-PREV_SMOKE)*(1-$S37)*(1-EXP(-AA37/10))+(1-PREV_FEMALE)*(1-PREV_SMOKE)*$S37*(1-EXP(-AB37/10))</f>
        <v>4.412579165166812E-2</v>
      </c>
      <c r="AD37">
        <f t="shared" si="37"/>
        <v>7.1504834158877539E-2</v>
      </c>
      <c r="AE37">
        <f t="shared" si="6"/>
        <v>1.8992747426947988E-2</v>
      </c>
      <c r="AF37">
        <f t="shared" si="7"/>
        <v>1.2000065504151702E-3</v>
      </c>
      <c r="AG37">
        <f t="shared" si="8"/>
        <v>4.774303885777674E-3</v>
      </c>
      <c r="AH37">
        <f>AD36*T36*p_MI*p_MI_rec_old*(1-I36)+AE36*T36*p_MI*p_MI_rec_old*(1-I36) + AH36*(PREV_FEMALE*p_recur_MI_F + (1-PREV_FEMALE)*p_recur_MI_M)*p_MI_rec_old*(1-I36) + AI36*(PREV_FEMALE*p_recur_MI_F + (1-PREV_FEMALE)*p_recur_MI_M)*p_MI_rec_old*(1-I36)</f>
        <v>5.1400299320440756E-4</v>
      </c>
      <c r="AI37">
        <f>AH36*(1-(PREV_FEMALE*p_recur_MI_F + (1-PREV_FEMALE)*p_recur_MI_M) - T36*p_Stroke - p_toHF_old - H36*rr_MI)*(1-I36) + AI36*(1-(PREV_FEMALE*p_recur_MI_F + (1-PREV_FEMALE)*p_recur_MI_M) - T36*p_Stroke - p_toHF_old - H36*rr_MI)*(1-I36)</f>
        <v>2.704455426733067E-3</v>
      </c>
      <c r="AJ37">
        <f t="shared" si="11"/>
        <v>3.9282866743568269E-5</v>
      </c>
      <c r="AK37">
        <f>AF36*T36*p_MI*p_MI_rec_old*(1-I36) + AG36*T36*p_MI*p_MI_rec_old*(1-I36) + AJ36*(PREV_FEMALE*p_recur_MI_F + (1-PREV_FEMALE)*p_recur_MI_M)*p_MI_rec_old*(1-I36) + AK36*(PREV_FEMALE*p_recur_MI_F + (1-PREV_FEMALE)*p_recur_MI_M)*p_MI_rec_old*(1-I36) + AL36*(PREV_FEMALE*p_recur_MI_F + (1-PREV_FEMALE)*p_recur_MI_M)*p_MI_rec_old*(1-I36)</f>
        <v>3.1768658605059993E-5</v>
      </c>
      <c r="AL37">
        <f>AJ36*(1-p_recur_Stroke-(PREV_FEMALE*p_recur_MI_F + (1-PREV_FEMALE)*p_recur_MI_M) - p_toHF_old - H36*rr_MI*rr_Stroke)*(1-I36) + AK36*(1-p_recur_Stroke-(PREV_FEMALE*p_recur_MI_F + (1-PREV_FEMALE)*p_recur_MI_M) - p_toHF_old - H36*rr_MI*rr_Stroke)*(1-I36) + AL36*(1-p_recur_Stroke-(PREV_FEMALE*p_recur_MI_F + (1-PREV_FEMALE)*p_recur_MI_M) - p_toHF_old - H36*rr_MI*rr_Stroke)*(1-I36)</f>
        <v>1.0480510527620676E-4</v>
      </c>
      <c r="AM37">
        <f>AD36*T36*p_MI*p_MI_HF_old*(1-I36) + AE36*T36*p_MI*p_MI_HF_old*(1-I36) + AH36*p_toHF_old*(1-I36) + AH36*(PREV_FEMALE*p_recur_MI_F + (1-PREV_FEMALE)*p_recur_MI_M)*p_MI_HF_old*(1-I36) + AI36*p_toHF_old*(1-I36) + AI36*(PREV_FEMALE*p_recur_MI_F + (1-PREV_FEMALE)*p_recur_MI_M)*p_MI_HF_old*(1-I36)</f>
        <v>4.8655754610403145E-4</v>
      </c>
      <c r="AN37">
        <f t="shared" si="15"/>
        <v>4.7227030419966839E-3</v>
      </c>
      <c r="AO37">
        <f>AF36*T36*p_MI*p_MI_HF_old*(1-I36) + AG36*T36*p_MI*p_MI_HF_old*(1-I36) + AJ36*(PREV_FEMALE*p_recur_MI_F + (1-PREV_FEMALE)*p_recur_MI_M)*p_MI_HF_old*(1-I36) + AJ36*p_toHF_old*(1-I36) + AK36*(PREV_FEMALE*p_recur_MI_F + (1-PREV_FEMALE)*p_recur_MI_M)*p_MI_HF_old*(1-I36) + AK36*p_toHF_old*(1-I36) + AL36*(PREV_FEMALE*p_recur_MI_F + (1-PREV_FEMALE)*p_recur_MI_M)*p_MI_HF_old*(1-I36) + AL36*p_toHF_old*(1-I36)</f>
        <v>2.8123527098682913E-5</v>
      </c>
      <c r="AP37">
        <f>AM36*T36*p_Stroke*p_Stroke_rec*(1-I36) + AN36*T36*p_Stroke*p_Stroke_rec*(1-I36) + AO36*(p_recur_Stroke*p_Stroke_rec)*(1-I36) + AP36*(p_recur_Stroke*p_Stroke_rec)*(1-I36) + AQ36*(p_recur_Stroke*p_Stroke_rec)*(1-I36)</f>
        <v>5.495315003320743E-5</v>
      </c>
      <c r="AQ37">
        <f>AO36*(1-p_recur_Stroke-H36*rr_Stroke*rr_HF)*(1-I36) + AP36*(1-p_recur_Stroke-H36*rr_Stroke*rr_HF)*(1-I36) + AQ36*(1-p_recur_Stroke-H36*rr_Stroke*rr_HF)*(1-I36)</f>
        <v>1.7194421497238038E-4</v>
      </c>
      <c r="AR37">
        <f>AR36*(1-AC36-H36*rr_DM) + AD36*(1-T36-H36)*I36</f>
        <v>0.21972793286433984</v>
      </c>
      <c r="AS37">
        <f>AR36*AC36*p_Other + AD36*T36*p_Other*I36 + AE36*(1-T36*p_Stroke-T36*p_MI-H36*rr_Other)*I36 + AS36*(1-AC36*p_Stroke-AC36*p_MI-H36*rr_Other*rr_DM)</f>
        <v>9.6532510417342898E-2</v>
      </c>
      <c r="AT37">
        <f>AR36*AC36*p_Stroke*p_Stroke_rec + AD36*T36*p_Stroke*p_Stroke_rec*I36 + AE36*T36*p_Stroke*p_Stroke_rec*I36 + AF36*p_recur_Stroke*p_Stroke_rec*I36 + AG36*p_recur_Stroke*p_Stroke_rec*I36 + AS36*AC36*p_Stroke*p_Stroke_rec + AT36*p_recur_Stroke*p_Stroke_rec + AU36*p_recur_Stroke*p_Stroke_rec</f>
        <v>6.9305646639395225E-3</v>
      </c>
      <c r="AU37">
        <f>AF36*(1-p_recur_Stroke-T36*p_MI-H36*rr_Stroke)*I36 + AG36*(1-p_recur_Stroke-T36*p_MI-H36*rr_Stroke)*I36 + AT36*(1-p_recur_Stroke-AC36*p_MI-H36*rr_Stroke*rr_DM) + AU36*(1-p_recur_Stroke-AC36*p_MI-H36*rr_Stroke*rr_DM)</f>
        <v>2.6076633006117688E-2</v>
      </c>
      <c r="AV37">
        <f>AR36*AC36*p_MI*p_MI_rec_old + AD36*T36*p_MI*p_MI_rec_old*I36 + AE36*T36*p_MI*p_MI_rec_old*I36 +AH36*(PREV_FEMALE*p_recur_MI_F + (1-PREV_FEMALE)*p_recur_MI_M)*p_MI_rec_old*I36 + AI36*(PREV_FEMALE*p_recur_MI_F + (1-PREV_FEMALE)*p_recur_MI_M)*p_MI_rec_old*I36 + AS36*AC36*p_MI*p_MI_rec_old + AV36*(PREV_FEMALE*p_recur_MI_F + (1-PREV_FEMALE)*p_recur_MI_M)*p_MI_rec_old + AW36*(PREV_FEMALE*p_recur_MI_F + (1-PREV_FEMALE)*p_recur_MI_M)*p_MI_rec_old</f>
        <v>3.0637102096268427E-3</v>
      </c>
      <c r="AW37">
        <f>AH36*(1-(PREV_FEMALE*p_recur_MI_F + (1-PREV_FEMALE)*p_recur_MI_M) - T36*p_Stroke - p_toHF_old - H36*rr_MI)*I36 + AI36*(1-(PREV_FEMALE*p_recur_MI_F + (1-PREV_FEMALE)*p_recur_MI_M) - T36*p_Stroke - p_toHF_old - H36*rr_MI)*I36 + AV36*(1-(PREV_FEMALE*p_recur_MI_F + (1-PREV_FEMALE)*p_recur_MI_M) - AC36*p_Stroke - p_toHF_old - H36*rr_MI*rr_DM) + AW36*(1-(PREV_FEMALE*p_recur_MI_F + (1-PREV_FEMALE)*p_recur_MI_M) - AC36*p_Stroke - p_toHF_old - H36*rr_MI*rr_DM)</f>
        <v>1.5642633014204377E-2</v>
      </c>
      <c r="AX37">
        <f>AH36*T36*p_Stroke*p_Stroke_rec*I36 + AI36*T36*p_Stroke*p_Stroke_rec*I36 + AJ36*p_recur_Stroke*p_Stroke_rec*I36 + AK36*p_recur_Stroke*p_Stroke_rec*I36 + AL36*p_recur_Stroke*p_Stroke_rec*I36 + AV36*AC36*p_Stroke*p_Stroke_rec + AW36*AC36*p_Stroke*p_Stroke_rec + AX36*p_recur_Stroke*p_Stroke_rec + AY36*p_recur_Stroke*p_Stroke_rec + AZ36*p_recur_Stroke*p_Stroke_rec</f>
        <v>3.7348418561028131E-4</v>
      </c>
      <c r="AY37">
        <f>AF36*T36*p_MI*p_MI_rec_old*I36 + AG36*T36*p_MI*p_MI_rec_old*I36 + AJ36*(PREV_FEMALE*p_recur_MI_F+(1-PREV_FEMALE)*p_recur_MI_M)*p_MI_rec_old*I36 + AK36*(PREV_FEMALE*p_recur_MI_F+(1-PREV_FEMALE)*p_recur_MI_M)*p_MI_rec_old*I36 + AL36*(PREV_FEMALE*p_recur_MI_F+(1-PREV_FEMALE)*p_recur_MI_M)*p_MI_rec_old*I36 + AT36*AC36*p_MI*p_MI_rec_old + AU36*AC36*p_MI*p_MI_rec_old + AX36*(PREV_FEMALE*p_recur_MI_F+(1-PREV_FEMALE)*p_recur_MI_M)*p_MI_rec_old + AY36*(PREV_FEMALE*p_recur_MI_F+(1-PREV_FEMALE)*p_recur_MI_M)*p_MI_rec_old + AZ36*(PREV_FEMALE*p_recur_MI_F+(1-PREV_FEMALE)*p_recur_MI_M)*p_MI_rec_old</f>
        <v>2.978896475096805E-4</v>
      </c>
      <c r="AZ37">
        <f>AJ36*(1-p_recur_Stroke-(PREV_FEMALE*p_recur_MI_F + (1-PREV_FEMALE)*p_recur_MI_M) - p_toHF_old - H36*rr_MI*rr_Stroke)*I36 + AK36*(1-p_recur_Stroke-(PREV_FEMALE*p_recur_MI_F + (1-PREV_FEMALE)*p_recur_MI_M) - p_toHF_old - H36*rr_MI*rr_Stroke)*I36 + AL36*(1-p_recur_Stroke-(PREV_FEMALE*p_recur_MI_F + (1-PREV_FEMALE)*p_recur_MI_M) - p_toHF_old - H36*rr_MI*rr_Stroke)*I36 + AX36*(1-p_recur_Stroke-(PREV_FEMALE*p_recur_MI_F + (1-PREV_FEMALE)*p_recur_MI_M) - p_toHF_old - H36*rr_MI*rr_Stroke*rr_DM) + AY36*(1-p_recur_Stroke-(PREV_FEMALE*p_recur_MI_F + (1-PREV_FEMALE)*p_recur_MI_M) - p_toHF_old - H36*rr_MI*rr_Stroke*rr_DM) + AZ36*(1-p_recur_Stroke-(PREV_FEMALE*p_recur_MI_F + (1-PREV_FEMALE)*p_recur_MI_M) - p_toHF_old - H36*rr_MI*rr_Stroke*rr_DM)</f>
        <v>9.1368777175052541E-4</v>
      </c>
      <c r="BA37">
        <f>AR36*AC36*p_MI*p_MI_HF_old + AD36*T36*p_MI*p_MI_HF_old*I36 + AE36*T36*p_MI*p_MI_HF_old*I36 + AH36*p_toHF_old*I36 + AH36*(PREV_FEMALE*p_recur_MI_F + (1-PREV_FEMALE)*p_recur_MI_M)*p_MI_HF_old*I36 + AI36*p_toHF_old*I36 + AI36*(PREV_FEMALE*p_recur_MI_F + (1-PREV_FEMALE)*p_recur_MI_M)*p_MI_HF_old*I36 + AS36*AC36*p_MI*p_MI_HF_old + AV36*(PREV_FEMALE*p_recur_MI_F + (1-PREV_FEMALE)*p_recur_MI_M)*p_MI_HF_old + AV36*p_toHF_old + AW36*(PREV_FEMALE*p_recur_MI_F + (1-PREV_FEMALE)*p_recur_MI_M)*p_MI_HF_old + AW36*p_toHF_old</f>
        <v>2.8763970123943392E-3</v>
      </c>
      <c r="BB37">
        <f>AM36*(1-T36*p_Stroke - H36*rr_HF)*I36 + AN36*(1-T36*p_Stroke - H36*rr_HF)*I36 + BA36*(1-AC36*p_Stroke - H36*rr_HF*rr_DM) + BB36*(1-AC36*p_Stroke - H36*rr_HF*rr_DM)</f>
        <v>2.6302493736239576E-2</v>
      </c>
      <c r="BC37">
        <f>AF36*T36*p_MI*p_MI_HF_old*I36 + AG36*T36*p_MI*p_MI_HF_old*I36 + AJ36*(PREV_FEMALE*p_recur_MI_F + (1-PREV_FEMALE)*p_recur_MI_M)*p_MI_HF_old*I36 + AJ36*p_toHF_old*I36 + AK36*(PREV_FEMALE*p_recur_MI_F + (1-PREV_FEMALE)*p_recur_MI_M)*p_MI_HF_old*I36 + AK36*p_toHF_old*I36 + AL36*(PREV_FEMALE*p_recur_MI_F + (1-PREV_FEMALE)*p_recur_MI_M)*p_MI_HF_old*I36 + AL36*p_toHF_old*I36 + AT36*AC36*p_MI*p_MI_HF_old + AU36*AC36*p_MI*p_MI_HF_old + AX36*(PREV_FEMALE*p_recur_MI_F + (1-PREV_FEMALE)*p_recur_MI_M)*p_MI_HF_old + AX36*p_toHF_old + AY36*(PREV_FEMALE*p_recur_MI_F + (1-PREV_FEMALE)*p_recur_MI_M)*p_MI_HF_old + AY36*p_toHF_old + AZ36*(PREV_FEMALE*p_recur_MI_F + (1-PREV_FEMALE)*p_recur_MI_M)*p_MI_HF_old + AZ36*p_toHF_old</f>
        <v>2.6002959178821099E-4</v>
      </c>
      <c r="BD37">
        <f>AM36*T36*p_Stroke*p_Stroke_rec*I36 + AN36*T36*p_Stroke*p_Stroke_rec*I36 + AO36*(p_recur_Stroke*p_Stroke_rec)*I36 + AP36*(p_recur_Stroke*p_Stroke_rec)*I36 + AQ36*(p_recur_Stroke*p_Stroke_rec)*I36 + BA36*AC36*p_Stroke*p_Stroke_rec + BB36*AC36*p_Stroke*p_Stroke_rec + BC36*(p_recur_Stroke*p_Stroke_rec) + BD36*(p_recur_Stroke*p_Stroke_rec) + BE36*(p_recur_Stroke*p_Stroke_rec)</f>
        <v>5.0247720616760434E-4</v>
      </c>
      <c r="BE37">
        <f>AO36*(1-p_recur_Stroke - H36*rr_Stroke*rr_HF)*I36 + AP36*(1-p_recur_Stroke-H36*rr_Stroke*rr_HF)*I36 + AQ36*(1-p_recur_Stroke-H36*rr_Stroke*rr_HF)*I36 + BC36*(1-p_recur_Stroke - H36*rr_Stroke*rr_HF*rr_DM) + BD36*(1-p_recur_Stroke-H36*rr_Stroke*rr_HF*rr_DM) + BE36*(1-p_recur_Stroke-H36*rr_Stroke*rr_HF*rr_DM)</f>
        <v>1.4399042128759635E-3</v>
      </c>
      <c r="BF37">
        <f>AD36*H36 + AE36*H36*rr_Other + AF36*H36*rr_Stroke + AG36*H36*rr_Stroke + AH36*H36*rr_MI + AI36*H36*rr_MI + AJ36*H36*rr_Stroke*rr_MI + AK36*H36*rr_Stroke*rr_MI + AL36*H36*rr_Stroke*rr_MI + AM36*H36*rr_HF + AN36*H36*rr_HF + AO36*H36*rr_Stroke*rr_HF + AP36*H36*rr_Stroke*rr_HF + AR36*H36*rr_DM + AS36*H36*rr_DM*rr_Other + AT36*H36*rr_DM*rr_Stroke + AU36*H36*rr_DM*rr_Stroke + AV36*H36*rr_DM*rr_MI + AW36*H36*rr_DM*rr_MI + AX36*H36*rr_DM*rr_Stroke*rr_MI + AY36*H36*rr_DM*rr_Stroke*rr_MI + AZ36*H36*rr_DM*rr_Stroke*rr_MI + BA36*H36*rr_DM*rr_HF + BB36*H36*rr_DM*rr_HF + BC36*H36*rr_DM*rr_Stroke*rr_HF + BD36*H36*rr_DM*rr_Stroke*rr_HF + AQ36*H36*rr_Stroke*rr_HF + BE36*H36*rr_DM*rr_Stroke*rr_HF
+ AD36*T36*p_MI*p_MI_mort + AD36*T36*p_Stroke*p_Stroke_mort + AE36*T36*p_MI*p_MI_mort + AE36*T36*p_Stroke*p_Stroke_mort + AF36*T36*p_MI*p_MI_mort + AF36*p_recur_Stroke*p_Stroke_mort + AG36*T36*p_MI*p_MI_mort + AG36*p_recur_Stroke*p_Stroke_mort + AH36*(PREV_FEMALE*p_recur_MI_F + (1-PREV_FEMALE)*p_recur_MI_M)*p_MI_mort + AH36*T36*p_Stroke*p_Stroke_mort + AI36*(PREV_FEMALE*p_recur_MI_F + (1-PREV_FEMALE)*p_recur_MI_M)*p_MI_mort + AI36*T36*p_Stroke*p_Stroke_mort + AJ36*(PREV_FEMALE*p_recur_MI_F + (1-PREV_FEMALE)*p_recur_MI_M)*p_MI_mort + AJ36*p_recur_Stroke*p_Stroke_mort + AK36*(PREV_FEMALE*p_recur_MI_F + (1-PREV_FEMALE)*p_recur_MI_M)*p_MI_mort + AK36*p_recur_Stroke*p_Stroke_mort + AL36*(PREV_FEMALE*p_recur_MI_F + (1-PREV_FEMALE)*p_recur_MI_M)*p_MI_mort + AL36*p_recur_Stroke*p_Stroke_mort + AM36*T36*p_Stroke*p_Stroke_mort + AN36*T36*p_Stroke*p_Stroke_mort + AO36*p_recur_Stroke*p_Stroke_mort + AP36*p_recur_Stroke*p_Stroke_mort + AQ36*p_recur_Stroke*p_Stroke_mort
+ AR36*AC36*p_MI*p_MI_mort + AR36*AC36*p_Stroke*p_Stroke_mort + AS36*AC36*p_MI*p_MI_mort + AS36*AC36*p_Stroke*p_Stroke_mort + AT36*AC36*p_MI*p_MI_mort + AT36*p_recur_Stroke*p_Stroke_mort + AU36*AC36*p_MI*p_MI_mort + AU36*p_recur_Stroke*p_Stroke_mort + AV36*(PREV_FEMALE*p_recur_MI_F + (1-PREV_FEMALE)*p_recur_MI_M)*p_MI_mort + AV36*AC36*p_Stroke*p_Stroke_mort + AW36*(PREV_FEMALE*p_recur_MI_F + (1-PREV_FEMALE)*p_recur_MI_M)*p_MI_mort + AW36*AC36*p_Stroke*p_Stroke_mort + AX36*(PREV_FEMALE*p_recur_MI_F + (1-PREV_FEMALE)*p_recur_MI_M)*p_MI_mort + AX36*p_recur_Stroke*p_Stroke_mort + AY36*(PREV_FEMALE*p_recur_MI_F + (1-PREV_FEMALE)*p_recur_MI_M)*p_MI_mort + AY36*p_recur_Stroke*p_Stroke_mort + AZ36*(PREV_FEMALE*p_recur_MI_F + (1-PREV_FEMALE)*p_recur_MI_M)*p_MI_mort + AZ36*p_recur_Stroke*p_Stroke_mort + BA36*AC36*p_Stroke*p_Stroke_mort + BB36*AC36*p_Stroke*p_Stroke_mort + BC36*p_recur_Stroke*p_Stroke_mort + BD36*p_recur_Stroke*p_Stroke_mort + BE36*p_recur_Stroke*p_Stroke_mort
+BF36</f>
        <v>0.44072916390730726</v>
      </c>
      <c r="BG37">
        <f t="shared" si="17"/>
        <v>0.94700000000000029</v>
      </c>
      <c r="BH37">
        <f>(0.9442 - 0.0007*$B37 - dis_BMI*($C37-21.75))*AD37</f>
        <v>6.0138668837418509E-2</v>
      </c>
      <c r="BI37">
        <f>0.959*(0.9442 - 0.0007*$B37 - dis_BMI*($C37-21.75))*AE37</f>
        <v>1.5318802151578223E-2</v>
      </c>
      <c r="BJ37">
        <f>(0.943*(0.9442 - 0.0007*$B37 - dis_BMI*($C37-21.75)) - 0.19*0.5)*AF37</f>
        <v>8.3772928431054858E-4</v>
      </c>
      <c r="BK37">
        <f>(0.943*(0.9442 - 0.0007*$B37 - dis_BMI*($C37-21.75)))*AG37</f>
        <v>3.7865191566821893E-3</v>
      </c>
      <c r="BL37">
        <f>(0.955*(0.9442 - 0.0007*$B37 - dis_BMI*($C37-21.75)) - 0.15*0.5)*AH37</f>
        <v>3.7429515339881472E-4</v>
      </c>
      <c r="BM37">
        <f>(0.955*(0.9442 - 0.0007*$B37 - dis_BMI*($C37-21.75)))*AI37</f>
        <v>2.1722089898218678E-3</v>
      </c>
      <c r="BN37">
        <f>(0.955*0.943*(0.9442 - 0.0007*$B37 - dis_BMI*($C37-21.75)) - 0.19*0.5)*AJ37</f>
        <v>2.6021530692974226E-5</v>
      </c>
      <c r="BO37">
        <f>(0.955*0.943*(0.9442 - 0.0007*$B37 - dis_BMI*($C37-21.75)) - 0.15*0.5)*AK37</f>
        <v>2.1679385320260874E-5</v>
      </c>
      <c r="BP37">
        <f>(0.955*0.943*(0.9442 - 0.0007*$B37 - dis_BMI*($C37-21.75)))*AL37</f>
        <v>7.9380880158747537E-5</v>
      </c>
      <c r="BQ37">
        <f>(0.93*(0.9442 - 0.0007*$B37 - dis_BMI*($C37-21.75)))*AM37</f>
        <v>3.8057089197002198E-4</v>
      </c>
      <c r="BR37">
        <f>(0.93*(0.9442 - 0.0007*$B37 - dis_BMI*($C37-21.75)))*AN37</f>
        <v>3.6939583479770476E-3</v>
      </c>
      <c r="BS37">
        <f>(0.93*0.943*(0.9442 - 0.0007*$B37 - dis_BMI*($C37-21.75)))*AO37</f>
        <v>2.0743538177318487E-5</v>
      </c>
      <c r="BT37">
        <f>(0.93*0.943*(0.9442 - 0.0007*$B37 - dis_BMI*($C37-21.75))-0.19*0.5)*AP37</f>
        <v>3.5312160661852152E-5</v>
      </c>
      <c r="BU37">
        <f>(0.93*0.943*(0.9442 - 0.0007*$B37 - dis_BMI*($C37-21.75)))*AQ37</f>
        <v>1.2682375774323369E-4</v>
      </c>
      <c r="BV37">
        <f>0.962*(0.9442 - 0.0007*$B37 - dis_BMI*($C37-21.75))*AR37</f>
        <v>0.17777830007741066</v>
      </c>
      <c r="BW37">
        <f>0.962*0.959*(0.9442 - 0.0007*$B37 - dis_BMI*($C37-21.75))*AS37</f>
        <v>7.4900667292897086E-2</v>
      </c>
      <c r="BX37">
        <f>0.962*(0.943*(0.9442 - 0.0007*$B37 - dis_BMI*($C37-21.75)) - 0.19*0.5)*AT37</f>
        <v>4.6544007353773557E-3</v>
      </c>
      <c r="BY37">
        <f>0.962*(0.943*(0.9442 - 0.0007*$B37 - dis_BMI*($C37-21.75)))*AU37</f>
        <v>1.9895583778497764E-2</v>
      </c>
      <c r="BZ37">
        <f>0.962*(0.955*(0.9442 - 0.0007*$B37 - dis_BMI*($C37-21.75)) - 0.15*0.5)*AV37</f>
        <v>2.1462055394949517E-3</v>
      </c>
      <c r="CA37">
        <f>0.962*(0.955*(0.9442 - 0.0007*$B37 - dis_BMI*($C37-21.75)))*AW37</f>
        <v>1.2086671182901968E-2</v>
      </c>
      <c r="CB37">
        <f>0.962*(0.955*0.943*(0.9442 - 0.0007*$B37 - dis_BMI*($C37-21.75)) - 0.19*0.5)*AX37</f>
        <v>2.3799999915127452E-4</v>
      </c>
      <c r="CC37">
        <f>0.962*(0.955*0.943*(0.9442 - 0.0007*$B37 - dis_BMI*($C37-21.75)) - 0.15*0.5)*AY37</f>
        <v>1.955593429160689E-4</v>
      </c>
      <c r="CD37">
        <f>0.962*(0.955*0.943*(0.9442 - 0.0007*$B37 - dis_BMI*($C37-21.75)))*AZ37</f>
        <v>6.6574261269533521E-4</v>
      </c>
      <c r="CE37">
        <f>0.962*(0.93*(0.9442 - 0.0007*$B37 - dis_BMI*($C37-21.75)))*BA37</f>
        <v>2.1643388577274711E-3</v>
      </c>
      <c r="CF37">
        <f>0.962*(0.93*(0.9442 - 0.0007*$B37 - dis_BMI*($C37-21.75)))*BB37</f>
        <v>1.9791255867384505E-2</v>
      </c>
      <c r="CG37">
        <f>0.962*(0.93*0.943*(0.9442 - 0.0007*$B37 - dis_BMI*($C37-21.75)))*BC37</f>
        <v>1.8450617034033537E-4</v>
      </c>
      <c r="CH37">
        <f>0.962*(0.93*0.943*(0.9442 - 0.0007*$B37 - dis_BMI*($C37-21.75))-0.19*0.5)*BD37</f>
        <v>3.1061550977762271E-4</v>
      </c>
      <c r="CI37">
        <f>0.962*(0.93*0.943*(0.9442 - 0.0007*$B37 - dis_BMI*($C37-21.75)))*BE37</f>
        <v>1.0216960698497847E-3</v>
      </c>
      <c r="CJ37">
        <f t="shared" si="18"/>
        <v>0</v>
      </c>
      <c r="CK37">
        <f t="shared" si="19"/>
        <v>0.40304625710233377</v>
      </c>
      <c r="CL37">
        <f>CK37/(1+r_)^A37</f>
        <v>0.14753302677266969</v>
      </c>
      <c r="CM37">
        <f>AD37*c_BN_2</f>
        <v>149.80262756284844</v>
      </c>
      <c r="CN37">
        <f>AE37*(c_Other+c_BN_2)</f>
        <v>310.98724636884634</v>
      </c>
      <c r="CO37">
        <f>AF37*(c_Stroke1+c_Stroke2+c_BN_2)</f>
        <v>31.093369727807477</v>
      </c>
      <c r="CP37">
        <f>AG37*(c_Stroke2 + c_BN_2)</f>
        <v>41.035141898259106</v>
      </c>
      <c r="CQ37">
        <f>AH37*(c_MI1+c_MI2 + c_BN_2)</f>
        <v>16.06053752566492</v>
      </c>
      <c r="CR37">
        <f>AI37*(c_MI2+c_BN_2)</f>
        <v>14.095621684132745</v>
      </c>
      <c r="CS37">
        <f>AJ37*(c_Stroke1+c_Stroke2+c_MI2+c_BN_2)</f>
        <v>1.1403030558322997</v>
      </c>
      <c r="CT37">
        <f>AK37*(c_Stroke2+c_MI1+c_MI2+c_BN_2)</f>
        <v>1.1991397877065946</v>
      </c>
      <c r="CU37">
        <f>AL37*(c_Stroke2+c_MI2+c_BN_2)</f>
        <v>1.2274773929949336</v>
      </c>
      <c r="CV37">
        <f>AM37*(c_HF1+c_BN_2)</f>
        <v>14.170988530279915</v>
      </c>
      <c r="CW37">
        <f>AN37*(c_HF2+c_BN_2)</f>
        <v>83.591843843341309</v>
      </c>
      <c r="CX37">
        <f>AO37*(c_Stroke2+c_HF1+c_BN_2)</f>
        <v>1.0019006528905787</v>
      </c>
      <c r="CY37">
        <f>AP37*(c_Stroke1+c_Stroke2+c_HF2+c_BN_2)</f>
        <v>2.2814349767786397</v>
      </c>
      <c r="CZ37">
        <f>AQ37*(c_Stroke2+c_HF2+c_BN_2)</f>
        <v>4.1610500023316055</v>
      </c>
      <c r="DA37">
        <f>AR37*(c_DM+c_BN_2)</f>
        <v>2970.7216523258744</v>
      </c>
      <c r="DB37">
        <f>AS37*(c_Other+c_DM+c_BN_2)</f>
        <v>2683.507257091715</v>
      </c>
      <c r="DC37">
        <f>AT37*(c_Stroke1+c_Stroke2+c_DM+c_BN_2)</f>
        <v>258.759562292846</v>
      </c>
      <c r="DD37">
        <f>AU37*(c_Stroke2+c_DM+c_BN_2)</f>
        <v>522.05419278247609</v>
      </c>
      <c r="DE37">
        <f>AV37*(c_MI1+c_MI2+c_DM+c_BN_2)</f>
        <v>130.73157835498699</v>
      </c>
      <c r="DF37">
        <f>AW37*(c_MI2+c_DM+c_BN_2)</f>
        <v>260.24648545731822</v>
      </c>
      <c r="DG37">
        <f>AX37*(c_Stroke1+c_Stroke2+c_MI2+c_DM+c_BN_2)</f>
        <v>15.10855576049271</v>
      </c>
      <c r="DH37">
        <f>AY37*(c_Stroke2+c_MI1+c_MI2+c_DM+c_BN_2)</f>
        <v>14.6475318576985</v>
      </c>
      <c r="DI37">
        <f>AZ37*(c_Stroke2+c_MI2+c_DM+c_BN_2)</f>
        <v>21.139993974991906</v>
      </c>
      <c r="DJ37">
        <f>BA37*(c_HF1+c_DM+c_BN_2)</f>
        <v>116.63789885259045</v>
      </c>
      <c r="DK37">
        <f>BB37*(c_HF2+c_DM+c_BN_2)</f>
        <v>766.06013006797764</v>
      </c>
      <c r="DL37">
        <f>BC37*(c_Stroke2+c_HF1+c_DM+c_BN_2)</f>
        <v>12.234392293635327</v>
      </c>
      <c r="DM37">
        <f>BD37*(c_Stroke1+c_Stroke2+c_HF2+c_DM+c_BN_2)</f>
        <v>26.601645771719141</v>
      </c>
      <c r="DN37">
        <f>BE37*(c_Stroke2+c_HF2+c_DM+c_BN_2)</f>
        <v>51.296587583706199</v>
      </c>
      <c r="DO37">
        <f t="shared" si="5"/>
        <v>0</v>
      </c>
      <c r="DP37">
        <f t="shared" si="38"/>
        <v>8521.5961474777432</v>
      </c>
      <c r="DQ37">
        <f>DP37/(1+r_)^A37</f>
        <v>3119.2868074507496</v>
      </c>
    </row>
    <row r="38" spans="1:121" x14ac:dyDescent="0.3">
      <c r="A38">
        <v>35</v>
      </c>
      <c r="B38">
        <v>80</v>
      </c>
      <c r="C38">
        <f t="shared" si="39"/>
        <v>36.251999999999995</v>
      </c>
      <c r="D38">
        <f t="shared" si="1"/>
        <v>125</v>
      </c>
      <c r="E38">
        <f t="shared" si="40"/>
        <v>5.7</v>
      </c>
      <c r="F38">
        <v>3.9690000000000003E-2</v>
      </c>
      <c r="G38">
        <v>5.457E-2</v>
      </c>
      <c r="H38">
        <f t="shared" si="3"/>
        <v>4.2666000000000003E-2</v>
      </c>
      <c r="I38">
        <f t="shared" si="20"/>
        <v>4.7655426853004217E-2</v>
      </c>
      <c r="J38">
        <f t="shared" si="21"/>
        <v>0.32732039299439253</v>
      </c>
      <c r="K38">
        <f t="shared" si="22"/>
        <v>0.42608582216671353</v>
      </c>
      <c r="L38">
        <f t="shared" si="23"/>
        <v>0.17113341833038687</v>
      </c>
      <c r="M38">
        <f t="shared" si="24"/>
        <v>0.23115565140135219</v>
      </c>
      <c r="N38">
        <f t="shared" si="25"/>
        <v>0.66283687839297012</v>
      </c>
      <c r="O38">
        <f t="shared" si="26"/>
        <v>0.78479951589248342</v>
      </c>
      <c r="P38">
        <f t="shared" si="27"/>
        <v>0.41420020974743643</v>
      </c>
      <c r="Q38">
        <f t="shared" si="28"/>
        <v>0.53028740111639971</v>
      </c>
      <c r="R38">
        <f>IF(C38&lt;25, HT_f_low, IF(C38&lt;30, HT_f_mod, HT_f_high))</f>
        <v>0.42</v>
      </c>
      <c r="S38">
        <f>IF(C38&lt;25, HT_m_low, IF(C38&lt;30, HT_m_mod, HT_m_high))</f>
        <v>0.43099999999999999</v>
      </c>
      <c r="T38">
        <f>PREV_FEMALE*PREV_SMOKE*(1-$R38)*(1-EXP(-J38/10))+PREV_FEMALE*PREV_SMOKE*$R38*(1-EXP(-K38/10))+PREV_FEMALE*(1-PREV_SMOKE)*(1-$R38)*(1-EXP(-L38/10))+PREV_FEMALE*(1-PREV_SMOKE)*$R38*(1-EXP(-M38/10))+(1-PREV_FEMALE)*PREV_SMOKE*(1-$S38)*(1-EXP(-N38/10))+(1-PREV_FEMALE)*PREV_SMOKE*$S38*(1-EXP(-O38/10))+(1-PREV_FEMALE)*(1-PREV_SMOKE)*(1-$S38)*(1-EXP(-P38/10))+(1-PREV_FEMALE)*(1-PREV_SMOKE)*$S38*(1-EXP(-Q38/10))</f>
        <v>2.6887878312303638E-2</v>
      </c>
      <c r="U38">
        <f t="shared" si="29"/>
        <v>0.5780532061250705</v>
      </c>
      <c r="V38">
        <f t="shared" si="30"/>
        <v>0.70134030035179384</v>
      </c>
      <c r="W38">
        <f t="shared" si="31"/>
        <v>0.33534324334689714</v>
      </c>
      <c r="X38">
        <f t="shared" si="32"/>
        <v>0.43564910240732657</v>
      </c>
      <c r="Y38">
        <f t="shared" si="33"/>
        <v>0.84276553848334013</v>
      </c>
      <c r="Z38">
        <f t="shared" si="34"/>
        <v>0.92676294806558679</v>
      </c>
      <c r="AA38">
        <f t="shared" si="35"/>
        <v>0.59747783345287864</v>
      </c>
      <c r="AB38">
        <f t="shared" si="36"/>
        <v>0.72357815092026234</v>
      </c>
      <c r="AC38">
        <f>PREV_FEMALE*PREV_SMOKE*(1-$R38)*(1-EXP(-U38/10))+PREV_FEMALE*PREV_SMOKE*$R38*(1-EXP(-V38/10))+PREV_FEMALE*(1-PREV_SMOKE)*(1-$R38)*(1-EXP(-W38/10))+PREV_FEMALE*(1-PREV_SMOKE)*$R38*(1-EXP(-X38/10))+(1-PREV_FEMALE)*PREV_SMOKE*(1-$S38)*(1-EXP(-Y38/10))+(1-PREV_FEMALE)*PREV_SMOKE*$S38*(1-EXP(-Z38/10))+(1-PREV_FEMALE)*(1-PREV_SMOKE)*(1-$S38)*(1-EXP(-AA38/10))+(1-PREV_FEMALE)*(1-PREV_SMOKE)*$S38*(1-EXP(-AB38/10))</f>
        <v>4.5168012894435013E-2</v>
      </c>
      <c r="AD38">
        <f t="shared" si="37"/>
        <v>6.3719252286564873E-2</v>
      </c>
      <c r="AE38">
        <f t="shared" si="6"/>
        <v>1.7542833743845538E-2</v>
      </c>
      <c r="AF38">
        <f t="shared" si="7"/>
        <v>1.1048444726486596E-3</v>
      </c>
      <c r="AG38">
        <f t="shared" si="8"/>
        <v>4.2947372489585802E-3</v>
      </c>
      <c r="AH38">
        <f>AD37*T37*p_MI*p_MI_rec_old*(1-I37)+AE37*T37*p_MI*p_MI_rec_old*(1-I37) + AH37*(PREV_FEMALE*p_recur_MI_F + (1-PREV_FEMALE)*p_recur_MI_M)*p_MI_rec_old*(1-I37) + AI37*(PREV_FEMALE*p_recur_MI_F + (1-PREV_FEMALE)*p_recur_MI_M)*p_MI_rec_old*(1-I37)</f>
        <v>4.7123902549555329E-4</v>
      </c>
      <c r="AI38">
        <f>AH37*(1-(PREV_FEMALE*p_recur_MI_F + (1-PREV_FEMALE)*p_recur_MI_M) - T37*p_Stroke - p_toHF_old - H37*rr_MI)*(1-I37) + AI37*(1-(PREV_FEMALE*p_recur_MI_F + (1-PREV_FEMALE)*p_recur_MI_M) - T37*p_Stroke - p_toHF_old - H37*rr_MI)*(1-I37)</f>
        <v>2.3895703955730627E-3</v>
      </c>
      <c r="AJ38">
        <f t="shared" si="11"/>
        <v>3.544317483147273E-5</v>
      </c>
      <c r="AK38">
        <f>AF37*T37*p_MI*p_MI_rec_old*(1-I37) + AG37*T37*p_MI*p_MI_rec_old*(1-I37) + AJ37*(PREV_FEMALE*p_recur_MI_F + (1-PREV_FEMALE)*p_recur_MI_M)*p_MI_rec_old*(1-I37) + AK37*(PREV_FEMALE*p_recur_MI_F + (1-PREV_FEMALE)*p_recur_MI_M)*p_MI_rec_old*(1-I37) + AL37*(PREV_FEMALE*p_recur_MI_F + (1-PREV_FEMALE)*p_recur_MI_M)*p_MI_rec_old*(1-I37)</f>
        <v>2.94247949207427E-5</v>
      </c>
      <c r="AL38">
        <f>AJ37*(1-p_recur_Stroke-(PREV_FEMALE*p_recur_MI_F + (1-PREV_FEMALE)*p_recur_MI_M) - p_toHF_old - H37*rr_MI*rr_Stroke)*(1-I37) + AK37*(1-p_recur_Stroke-(PREV_FEMALE*p_recur_MI_F + (1-PREV_FEMALE)*p_recur_MI_M) - p_toHF_old - H37*rr_MI*rr_Stroke)*(1-I37) + AL37*(1-p_recur_Stroke-(PREV_FEMALE*p_recur_MI_F + (1-PREV_FEMALE)*p_recur_MI_M) - p_toHF_old - H37*rr_MI*rr_Stroke)*(1-I37)</f>
        <v>8.9973690161718141E-5</v>
      </c>
      <c r="AM38">
        <f>AD37*T37*p_MI*p_MI_HF_old*(1-I37) + AE37*T37*p_MI*p_MI_HF_old*(1-I37) + AH37*p_toHF_old*(1-I37) + AH37*(PREV_FEMALE*p_recur_MI_F + (1-PREV_FEMALE)*p_recur_MI_M)*p_MI_HF_old*(1-I37) + AI37*p_toHF_old*(1-I37) + AI37*(PREV_FEMALE*p_recur_MI_F + (1-PREV_FEMALE)*p_recur_MI_M)*p_MI_HF_old*(1-I37)</f>
        <v>4.389059895475728E-4</v>
      </c>
      <c r="AN38">
        <f t="shared" si="15"/>
        <v>4.5867262975608399E-3</v>
      </c>
      <c r="AO38">
        <f>AF37*T37*p_MI*p_MI_HF_old*(1-I37) + AG37*T37*p_MI*p_MI_HF_old*(1-I37) + AJ37*(PREV_FEMALE*p_recur_MI_F + (1-PREV_FEMALE)*p_recur_MI_M)*p_MI_HF_old*(1-I37) + AJ37*p_toHF_old*(1-I37) + AK37*(PREV_FEMALE*p_recur_MI_F + (1-PREV_FEMALE)*p_recur_MI_M)*p_MI_HF_old*(1-I37) + AK37*p_toHF_old*(1-I37) + AL37*(PREV_FEMALE*p_recur_MI_F + (1-PREV_FEMALE)*p_recur_MI_M)*p_MI_HF_old*(1-I37) + AL37*p_toHF_old*(1-I37)</f>
        <v>2.549294298012311E-5</v>
      </c>
      <c r="AP38">
        <f>AM37*T37*p_Stroke*p_Stroke_rec*(1-I37) + AN37*T37*p_Stroke*p_Stroke_rec*(1-I37) + AO37*(p_recur_Stroke*p_Stroke_rec)*(1-I37) + AP37*(p_recur_Stroke*p_Stroke_rec)*(1-I37) + AQ37*(p_recur_Stroke*p_Stroke_rec)*(1-I37)</f>
        <v>5.4253324438579433E-5</v>
      </c>
      <c r="AQ38">
        <f>AO37*(1-p_recur_Stroke-H37*rr_Stroke*rr_HF)*(1-I37) + AP37*(1-p_recur_Stroke-H37*rr_Stroke*rr_HF)*(1-I37) + AQ37*(1-p_recur_Stroke-H37*rr_Stroke*rr_HF)*(1-I37)</f>
        <v>1.6094232417223755E-4</v>
      </c>
      <c r="AR38">
        <f>AR37*(1-AC37-H37*rr_DM) + AD37*(1-T37-H37)*I37</f>
        <v>0.20358076851456811</v>
      </c>
      <c r="AS38">
        <f>AR37*AC37*p_Other + AD37*T37*p_Other*I37 + AE37*(1-T37*p_Stroke-T37*p_MI-H37*rr_Other)*I37 + AS37*(1-AC37*p_Stroke-AC37*p_MI-H37*rr_Other*rr_DM)</f>
        <v>9.2779432764060338E-2</v>
      </c>
      <c r="AT38">
        <f>AR37*AC37*p_Stroke*p_Stroke_rec + AD37*T37*p_Stroke*p_Stroke_rec*I37 + AE37*T37*p_Stroke*p_Stroke_rec*I37 + AF37*p_recur_Stroke*p_Stroke_rec*I37 + AG37*p_recur_Stroke*p_Stroke_rec*I37 + AS37*AC37*p_Stroke*p_Stroke_rec + AT37*p_recur_Stroke*p_Stroke_rec + AU37*p_recur_Stroke*p_Stroke_rec</f>
        <v>6.6522104590642228E-3</v>
      </c>
      <c r="AU38">
        <f>AF37*(1-p_recur_Stroke-T37*p_MI-H37*rr_Stroke)*I37 + AG37*(1-p_recur_Stroke-T37*p_MI-H37*rr_Stroke)*I37 + AT37*(1-p_recur_Stroke-AC37*p_MI-H37*rr_Stroke*rr_DM) + AU37*(1-p_recur_Stroke-AC37*p_MI-H37*rr_Stroke*rr_DM)</f>
        <v>2.4408241036715853E-2</v>
      </c>
      <c r="AV38">
        <f>AR37*AC37*p_MI*p_MI_rec_old + AD37*T37*p_MI*p_MI_rec_old*I37 + AE37*T37*p_MI*p_MI_rec_old*I37 +AH37*(PREV_FEMALE*p_recur_MI_F + (1-PREV_FEMALE)*p_recur_MI_M)*p_MI_rec_old*I37 + AI37*(PREV_FEMALE*p_recur_MI_F + (1-PREV_FEMALE)*p_recur_MI_M)*p_MI_rec_old*I37 + AS37*AC37*p_MI*p_MI_rec_old + AV37*(PREV_FEMALE*p_recur_MI_F + (1-PREV_FEMALE)*p_recur_MI_M)*p_MI_rec_old + AW37*(PREV_FEMALE*p_recur_MI_F + (1-PREV_FEMALE)*p_recur_MI_M)*p_MI_rec_old</f>
        <v>2.929084127802553E-3</v>
      </c>
      <c r="AW38">
        <f>AH37*(1-(PREV_FEMALE*p_recur_MI_F + (1-PREV_FEMALE)*p_recur_MI_M) - T37*p_Stroke - p_toHF_old - H37*rr_MI)*I37 + AI37*(1-(PREV_FEMALE*p_recur_MI_F + (1-PREV_FEMALE)*p_recur_MI_M) - T37*p_Stroke - p_toHF_old - H37*rr_MI)*I37 + AV37*(1-(PREV_FEMALE*p_recur_MI_F + (1-PREV_FEMALE)*p_recur_MI_M) - AC37*p_Stroke - p_toHF_old - H37*rr_MI*rr_DM) + AW37*(1-(PREV_FEMALE*p_recur_MI_F + (1-PREV_FEMALE)*p_recur_MI_M) - AC37*p_Stroke - p_toHF_old - H37*rr_MI*rr_DM)</f>
        <v>1.4456724102699995E-2</v>
      </c>
      <c r="AX38">
        <f>AH37*T37*p_Stroke*p_Stroke_rec*I37 + AI37*T37*p_Stroke*p_Stroke_rec*I37 + AJ37*p_recur_Stroke*p_Stroke_rec*I37 + AK37*p_recur_Stroke*p_Stroke_rec*I37 + AL37*p_recur_Stroke*p_Stroke_rec*I37 + AV37*AC37*p_Stroke*p_Stroke_rec + AW37*AC37*p_Stroke*p_Stroke_rec + AX37*p_recur_Stroke*p_Stroke_rec + AY37*p_recur_Stroke*p_Stroke_rec + AZ37*p_recur_Stroke*p_Stroke_rec</f>
        <v>3.5142583582649438E-4</v>
      </c>
      <c r="AY38">
        <f>AF37*T37*p_MI*p_MI_rec_old*I37 + AG37*T37*p_MI*p_MI_rec_old*I37 + AJ37*(PREV_FEMALE*p_recur_MI_F+(1-PREV_FEMALE)*p_recur_MI_M)*p_MI_rec_old*I37 + AK37*(PREV_FEMALE*p_recur_MI_F+(1-PREV_FEMALE)*p_recur_MI_M)*p_MI_rec_old*I37 + AL37*(PREV_FEMALE*p_recur_MI_F+(1-PREV_FEMALE)*p_recur_MI_M)*p_MI_rec_old*I37 + AT37*AC37*p_MI*p_MI_rec_old + AU37*AC37*p_MI*p_MI_rec_old + AX37*(PREV_FEMALE*p_recur_MI_F+(1-PREV_FEMALE)*p_recur_MI_M)*p_MI_rec_old + AY37*(PREV_FEMALE*p_recur_MI_F+(1-PREV_FEMALE)*p_recur_MI_M)*p_MI_rec_old + AZ37*(PREV_FEMALE*p_recur_MI_F+(1-PREV_FEMALE)*p_recur_MI_M)*p_MI_rec_old</f>
        <v>2.8696769254977372E-4</v>
      </c>
      <c r="AZ38">
        <f>AJ37*(1-p_recur_Stroke-(PREV_FEMALE*p_recur_MI_F + (1-PREV_FEMALE)*p_recur_MI_M) - p_toHF_old - H37*rr_MI*rr_Stroke)*I37 + AK37*(1-p_recur_Stroke-(PREV_FEMALE*p_recur_MI_F + (1-PREV_FEMALE)*p_recur_MI_M) - p_toHF_old - H37*rr_MI*rr_Stroke)*I37 + AL37*(1-p_recur_Stroke-(PREV_FEMALE*p_recur_MI_F + (1-PREV_FEMALE)*p_recur_MI_M) - p_toHF_old - H37*rr_MI*rr_Stroke)*I37 + AX37*(1-p_recur_Stroke-(PREV_FEMALE*p_recur_MI_F + (1-PREV_FEMALE)*p_recur_MI_M) - p_toHF_old - H37*rr_MI*rr_Stroke*rr_DM) + AY37*(1-p_recur_Stroke-(PREV_FEMALE*p_recur_MI_F + (1-PREV_FEMALE)*p_recur_MI_M) - p_toHF_old - H37*rr_MI*rr_Stroke*rr_DM) + AZ37*(1-p_recur_Stroke-(PREV_FEMALE*p_recur_MI_F + (1-PREV_FEMALE)*p_recur_MI_M) - p_toHF_old - H37*rr_MI*rr_Stroke*rr_DM)</f>
        <v>8.1119235359045083E-4</v>
      </c>
      <c r="BA38">
        <f>AR37*AC37*p_MI*p_MI_HF_old + AD37*T37*p_MI*p_MI_HF_old*I37 + AE37*T37*p_MI*p_MI_HF_old*I37 + AH37*p_toHF_old*I37 + AH37*(PREV_FEMALE*p_recur_MI_F + (1-PREV_FEMALE)*p_recur_MI_M)*p_MI_HF_old*I37 + AI37*p_toHF_old*I37 + AI37*(PREV_FEMALE*p_recur_MI_F + (1-PREV_FEMALE)*p_recur_MI_M)*p_MI_HF_old*I37 + AS37*AC37*p_MI*p_MI_HF_old + AV37*(PREV_FEMALE*p_recur_MI_F + (1-PREV_FEMALE)*p_recur_MI_M)*p_MI_HF_old + AV37*p_toHF_old + AW37*(PREV_FEMALE*p_recur_MI_F + (1-PREV_FEMALE)*p_recur_MI_M)*p_MI_HF_old + AW37*p_toHF_old</f>
        <v>2.7127569841071319E-3</v>
      </c>
      <c r="BB38">
        <f>AM37*(1-T37*p_Stroke - H37*rr_HF)*I37 + AN37*(1-T37*p_Stroke - H37*rr_HF)*I37 + BA37*(1-AC37*p_Stroke - H37*rr_HF*rr_DM) + BB37*(1-AC37*p_Stroke - H37*rr_HF*rr_DM)</f>
        <v>2.678240184551469E-2</v>
      </c>
      <c r="BC38">
        <f>AF37*T37*p_MI*p_MI_HF_old*I37 + AG37*T37*p_MI*p_MI_HF_old*I37 + AJ37*(PREV_FEMALE*p_recur_MI_F + (1-PREV_FEMALE)*p_recur_MI_M)*p_MI_HF_old*I37 + AJ37*p_toHF_old*I37 + AK37*(PREV_FEMALE*p_recur_MI_F + (1-PREV_FEMALE)*p_recur_MI_M)*p_MI_HF_old*I37 + AK37*p_toHF_old*I37 + AL37*(PREV_FEMALE*p_recur_MI_F + (1-PREV_FEMALE)*p_recur_MI_M)*p_MI_HF_old*I37 + AL37*p_toHF_old*I37 + AT37*AC37*p_MI*p_MI_HF_old + AU37*AC37*p_MI*p_MI_HF_old + AX37*(PREV_FEMALE*p_recur_MI_F + (1-PREV_FEMALE)*p_recur_MI_M)*p_MI_HF_old + AX37*p_toHF_old + AY37*(PREV_FEMALE*p_recur_MI_F + (1-PREV_FEMALE)*p_recur_MI_M)*p_MI_HF_old + AY37*p_toHF_old + AZ37*(PREV_FEMALE*p_recur_MI_F + (1-PREV_FEMALE)*p_recur_MI_M)*p_MI_HF_old + AZ37*p_toHF_old</f>
        <v>2.454314156173223E-4</v>
      </c>
      <c r="BD38">
        <f>AM37*T37*p_Stroke*p_Stroke_rec*I37 + AN37*T37*p_Stroke*p_Stroke_rec*I37 + AO37*(p_recur_Stroke*p_Stroke_rec)*I37 + AP37*(p_recur_Stroke*p_Stroke_rec)*I37 + AQ37*(p_recur_Stroke*p_Stroke_rec)*I37 + BA37*AC37*p_Stroke*p_Stroke_rec + BB37*AC37*p_Stroke*p_Stroke_rec + BC37*(p_recur_Stroke*p_Stroke_rec) + BD37*(p_recur_Stroke*p_Stroke_rec) + BE37*(p_recur_Stroke*p_Stroke_rec)</f>
        <v>5.1830483184322964E-4</v>
      </c>
      <c r="BE38">
        <f>AO37*(1-p_recur_Stroke - H37*rr_Stroke*rr_HF)*I37 + AP37*(1-p_recur_Stroke-H37*rr_Stroke*rr_HF)*I37 + AQ37*(1-p_recur_Stroke-H37*rr_Stroke*rr_HF)*I37 + BC37*(1-p_recur_Stroke - H37*rr_Stroke*rr_HF*rr_DM) + BD37*(1-p_recur_Stroke-H37*rr_Stroke*rr_HF*rr_DM) + BE37*(1-p_recur_Stroke-H37*rr_Stroke*rr_HF*rr_DM)</f>
        <v>1.395739707706426E-3</v>
      </c>
      <c r="BF38">
        <f>AD37*H37 + AE37*H37*rr_Other + AF37*H37*rr_Stroke + AG37*H37*rr_Stroke + AH37*H37*rr_MI + AI37*H37*rr_MI + AJ37*H37*rr_Stroke*rr_MI + AK37*H37*rr_Stroke*rr_MI + AL37*H37*rr_Stroke*rr_MI + AM37*H37*rr_HF + AN37*H37*rr_HF + AO37*H37*rr_Stroke*rr_HF + AP37*H37*rr_Stroke*rr_HF + AR37*H37*rr_DM + AS37*H37*rr_DM*rr_Other + AT37*H37*rr_DM*rr_Stroke + AU37*H37*rr_DM*rr_Stroke + AV37*H37*rr_DM*rr_MI + AW37*H37*rr_DM*rr_MI + AX37*H37*rr_DM*rr_Stroke*rr_MI + AY37*H37*rr_DM*rr_Stroke*rr_MI + AZ37*H37*rr_DM*rr_Stroke*rr_MI + BA37*H37*rr_DM*rr_HF + BB37*H37*rr_DM*rr_HF + BC37*H37*rr_DM*rr_Stroke*rr_HF + BD37*H37*rr_DM*rr_Stroke*rr_HF + AQ37*H37*rr_Stroke*rr_HF + BE37*H37*rr_DM*rr_Stroke*rr_HF
+ AD37*T37*p_MI*p_MI_mort + AD37*T37*p_Stroke*p_Stroke_mort + AE37*T37*p_MI*p_MI_mort + AE37*T37*p_Stroke*p_Stroke_mort + AF37*T37*p_MI*p_MI_mort + AF37*p_recur_Stroke*p_Stroke_mort + AG37*T37*p_MI*p_MI_mort + AG37*p_recur_Stroke*p_Stroke_mort + AH37*(PREV_FEMALE*p_recur_MI_F + (1-PREV_FEMALE)*p_recur_MI_M)*p_MI_mort + AH37*T37*p_Stroke*p_Stroke_mort + AI37*(PREV_FEMALE*p_recur_MI_F + (1-PREV_FEMALE)*p_recur_MI_M)*p_MI_mort + AI37*T37*p_Stroke*p_Stroke_mort + AJ37*(PREV_FEMALE*p_recur_MI_F + (1-PREV_FEMALE)*p_recur_MI_M)*p_MI_mort + AJ37*p_recur_Stroke*p_Stroke_mort + AK37*(PREV_FEMALE*p_recur_MI_F + (1-PREV_FEMALE)*p_recur_MI_M)*p_MI_mort + AK37*p_recur_Stroke*p_Stroke_mort + AL37*(PREV_FEMALE*p_recur_MI_F + (1-PREV_FEMALE)*p_recur_MI_M)*p_MI_mort + AL37*p_recur_Stroke*p_Stroke_mort + AM37*T37*p_Stroke*p_Stroke_mort + AN37*T37*p_Stroke*p_Stroke_mort + AO37*p_recur_Stroke*p_Stroke_mort + AP37*p_recur_Stroke*p_Stroke_mort + AQ37*p_recur_Stroke*p_Stroke_mort
+ AR37*AC37*p_MI*p_MI_mort + AR37*AC37*p_Stroke*p_Stroke_mort + AS37*AC37*p_MI*p_MI_mort + AS37*AC37*p_Stroke*p_Stroke_mort + AT37*AC37*p_MI*p_MI_mort + AT37*p_recur_Stroke*p_Stroke_mort + AU37*AC37*p_MI*p_MI_mort + AU37*p_recur_Stroke*p_Stroke_mort + AV37*(PREV_FEMALE*p_recur_MI_F + (1-PREV_FEMALE)*p_recur_MI_M)*p_MI_mort + AV37*AC37*p_Stroke*p_Stroke_mort + AW37*(PREV_FEMALE*p_recur_MI_F + (1-PREV_FEMALE)*p_recur_MI_M)*p_MI_mort + AW37*AC37*p_Stroke*p_Stroke_mort + AX37*(PREV_FEMALE*p_recur_MI_F + (1-PREV_FEMALE)*p_recur_MI_M)*p_MI_mort + AX37*p_recur_Stroke*p_Stroke_mort + AY37*(PREV_FEMALE*p_recur_MI_F + (1-PREV_FEMALE)*p_recur_MI_M)*p_MI_mort + AY37*p_recur_Stroke*p_Stroke_mort + AZ37*(PREV_FEMALE*p_recur_MI_F + (1-PREV_FEMALE)*p_recur_MI_M)*p_MI_mort + AZ37*p_recur_Stroke*p_Stroke_mort + BA37*AC37*p_Stroke*p_Stroke_mort + BB37*AC37*p_Stroke*p_Stroke_mort + BC37*p_recur_Stroke*p_Stroke_mort + BD37*p_recur_Stroke*p_Stroke_mort + BE37*p_recur_Stroke*p_Stroke_mort
+BF37</f>
        <v>0.47414567861663415</v>
      </c>
      <c r="BG38">
        <f t="shared" si="17"/>
        <v>0.94700000000000029</v>
      </c>
      <c r="BH38">
        <f>(0.9442 - 0.0007*$B38 - dis_BMI*($C38-21.75))*AD38</f>
        <v>5.3546053111949696E-2</v>
      </c>
      <c r="BI38">
        <f>0.959*(0.9442 - 0.0007*$B38 - dis_BMI*($C38-21.75))*AE38</f>
        <v>1.4137582367226434E-2</v>
      </c>
      <c r="BJ38">
        <f>(0.943*(0.9442 - 0.0007*$B38 - dis_BMI*($C38-21.75)) - 0.19*0.5)*AF38</f>
        <v>7.7056695636000224E-4</v>
      </c>
      <c r="BK38">
        <f>(0.943*(0.9442 - 0.0007*$B38 - dis_BMI*($C38-21.75)))*AG38</f>
        <v>3.4033380180883985E-3</v>
      </c>
      <c r="BL38">
        <f>(0.955*(0.9442 - 0.0007*$B38 - dis_BMI*($C38-21.75)) - 0.15*0.5)*AH38</f>
        <v>3.4283956076506053E-4</v>
      </c>
      <c r="BM38">
        <f>(0.955*(0.9442 - 0.0007*$B38 - dis_BMI*($C38-21.75)))*AI38</f>
        <v>1.9176970237712279E-3</v>
      </c>
      <c r="BN38">
        <f>(0.955*0.943*(0.9442 - 0.0007*$B38 - dis_BMI*($C38-21.75)) - 0.19*0.5)*AJ38</f>
        <v>2.3455720838712127E-5</v>
      </c>
      <c r="BO38">
        <f>(0.955*0.943*(0.9442 - 0.0007*$B38 - dis_BMI*($C38-21.75)) - 0.15*0.5)*AK38</f>
        <v>2.0061350084841501E-5</v>
      </c>
      <c r="BP38">
        <f>(0.955*0.943*(0.9442 - 0.0007*$B38 - dis_BMI*($C38-21.75)))*AL38</f>
        <v>6.8090636001076382E-5</v>
      </c>
      <c r="BQ38">
        <f>(0.93*(0.9442 - 0.0007*$B38 - dis_BMI*($C38-21.75)))*AM38</f>
        <v>3.4301352892919778E-4</v>
      </c>
      <c r="BR38">
        <f>(0.93*(0.9442 - 0.0007*$B38 - dis_BMI*($C38-21.75)))*AN38</f>
        <v>3.5846154097383702E-3</v>
      </c>
      <c r="BS38">
        <f>(0.93*0.943*(0.9442 - 0.0007*$B38 - dis_BMI*($C38-21.75)))*AO38</f>
        <v>1.8787604506928484E-5</v>
      </c>
      <c r="BT38">
        <f>(0.93*0.943*(0.9442 - 0.0007*$B38 - dis_BMI*($C38-21.75))-0.19*0.5)*AP38</f>
        <v>3.4829156340360357E-5</v>
      </c>
      <c r="BU38">
        <f>(0.93*0.943*(0.9442 - 0.0007*$B38 - dis_BMI*($C38-21.75)))*AQ38</f>
        <v>1.1861010858304886E-4</v>
      </c>
      <c r="BV38">
        <f>0.962*(0.9442 - 0.0007*$B38 - dis_BMI*($C38-21.75))*AR38</f>
        <v>0.16457680049099557</v>
      </c>
      <c r="BW38">
        <f>0.962*0.959*(0.9442 - 0.0007*$B38 - dis_BMI*($C38-21.75))*AS38</f>
        <v>7.192869578251844E-2</v>
      </c>
      <c r="BX38">
        <f>0.962*(0.943*(0.9442 - 0.0007*$B38 - dis_BMI*($C38-21.75)) - 0.19*0.5)*AT38</f>
        <v>4.4632404768776279E-3</v>
      </c>
      <c r="BY38">
        <f>0.962*(0.943*(0.9442 - 0.0007*$B38 - dis_BMI*($C38-21.75)))*AU38</f>
        <v>1.8607157841064977E-2</v>
      </c>
      <c r="BZ38">
        <f>0.962*(0.955*(0.9442 - 0.0007*$B38 - dis_BMI*($C38-21.75)) - 0.15*0.5)*AV38</f>
        <v>2.0500129207310386E-3</v>
      </c>
      <c r="CA38">
        <f>0.962*(0.955*(0.9442 - 0.0007*$B38 - dis_BMI*($C38-21.75)))*AW38</f>
        <v>1.1161051960134803E-2</v>
      </c>
      <c r="CB38">
        <f>0.962*(0.955*0.943*(0.9442 - 0.0007*$B38 - dis_BMI*($C38-21.75)) - 0.19*0.5)*AX38</f>
        <v>2.237303621624479E-4</v>
      </c>
      <c r="CC38">
        <f>0.962*(0.955*0.943*(0.9442 - 0.0007*$B38 - dis_BMI*($C38-21.75)) - 0.15*0.5)*AY38</f>
        <v>1.8821524170866639E-4</v>
      </c>
      <c r="CD38">
        <f>0.962*(0.955*0.943*(0.9442 - 0.0007*$B38 - dis_BMI*($C38-21.75)))*AZ38</f>
        <v>5.905691792258503E-4</v>
      </c>
      <c r="CE38">
        <f>0.962*(0.93*(0.9442 - 0.0007*$B38 - dis_BMI*($C38-21.75)))*BA38</f>
        <v>2.039509367396193E-3</v>
      </c>
      <c r="CF38">
        <f>0.962*(0.93*(0.9442 - 0.0007*$B38 - dis_BMI*($C38-21.75)))*BB38</f>
        <v>2.0135588910215163E-2</v>
      </c>
      <c r="CG38">
        <f>0.962*(0.93*0.943*(0.9442 - 0.0007*$B38 - dis_BMI*($C38-21.75)))*BC38</f>
        <v>1.740029691975977E-4</v>
      </c>
      <c r="CH38">
        <f>0.962*(0.93*0.943*(0.9442 - 0.0007*$B38 - dis_BMI*($C38-21.75))-0.19*0.5)*BD38</f>
        <v>3.2009355443505659E-4</v>
      </c>
      <c r="CI38">
        <f>0.962*(0.93*0.943*(0.9442 - 0.0007*$B38 - dis_BMI*($C38-21.75)))*BE38</f>
        <v>9.895345009400835E-4</v>
      </c>
      <c r="CJ38">
        <f t="shared" si="18"/>
        <v>0</v>
      </c>
      <c r="CK38">
        <f t="shared" si="19"/>
        <v>0.37577774411078685</v>
      </c>
      <c r="CL38">
        <f>CK38/(1+r_)^A38</f>
        <v>0.13354517152286216</v>
      </c>
      <c r="CM38">
        <f>AD38*c_BN_2</f>
        <v>133.49183354035341</v>
      </c>
      <c r="CN38">
        <f>AE38*(c_Other+c_BN_2)</f>
        <v>287.24635972172683</v>
      </c>
      <c r="CO38">
        <f>AF38*(c_Stroke1+c_Stroke2+c_BN_2)</f>
        <v>28.627625130799419</v>
      </c>
      <c r="CP38">
        <f>AG38*(c_Stroke2 + c_BN_2)</f>
        <v>36.913266654798996</v>
      </c>
      <c r="CQ38">
        <f>AH38*(c_MI1+c_MI2 + c_BN_2)</f>
        <v>14.724334590634058</v>
      </c>
      <c r="CR38">
        <f>AI38*(c_MI2+c_BN_2)</f>
        <v>12.454440901726803</v>
      </c>
      <c r="CS38">
        <f>AJ38*(c_Stroke1+c_Stroke2+c_MI2+c_BN_2)</f>
        <v>1.0288444790079905</v>
      </c>
      <c r="CT38">
        <f>AK38*(c_Stroke2+c_MI1+c_MI2+c_BN_2)</f>
        <v>1.110668309078354</v>
      </c>
      <c r="CU38">
        <f>AL38*(c_Stroke2+c_MI2+c_BN_2)</f>
        <v>1.0537718591740428</v>
      </c>
      <c r="CV38">
        <f>AM38*(c_HF1+c_BN_2)</f>
        <v>12.783136945573057</v>
      </c>
      <c r="CW38">
        <f>AN38*(c_HF2+c_BN_2)</f>
        <v>81.185055466826867</v>
      </c>
      <c r="CX38">
        <f>AO38*(c_Stroke2+c_HF1+c_BN_2)</f>
        <v>0.90818609366688585</v>
      </c>
      <c r="CY38">
        <f>AP38*(c_Stroke1+c_Stroke2+c_HF2+c_BN_2)</f>
        <v>2.252381017392064</v>
      </c>
      <c r="CZ38">
        <f>AQ38*(c_Stroke2+c_HF2+c_BN_2)</f>
        <v>3.8948042449681486</v>
      </c>
      <c r="DA38">
        <f>AR38*(c_DM+c_BN_2)</f>
        <v>2752.4119903169608</v>
      </c>
      <c r="DB38">
        <f>AS38*(c_Other+c_DM+c_BN_2)</f>
        <v>2579.1754514081135</v>
      </c>
      <c r="DC38">
        <f>AT38*(c_Stroke1+c_Stroke2+c_DM+c_BN_2)</f>
        <v>248.36692969962183</v>
      </c>
      <c r="DD38">
        <f>AU38*(c_Stroke2+c_DM+c_BN_2)</f>
        <v>488.65298555505137</v>
      </c>
      <c r="DE38">
        <f>AV38*(c_MI1+c_MI2+c_DM+c_BN_2)</f>
        <v>124.98694881746275</v>
      </c>
      <c r="DF38">
        <f>AW38*(c_MI2+c_DM+c_BN_2)</f>
        <v>240.51651889661983</v>
      </c>
      <c r="DG38">
        <f>AX38*(c_Stroke1+c_Stroke2+c_MI2+c_DM+c_BN_2)</f>
        <v>14.216229336689176</v>
      </c>
      <c r="DH38">
        <f>AY38*(c_Stroke2+c_MI1+c_MI2+c_DM+c_BN_2)</f>
        <v>14.110488410364924</v>
      </c>
      <c r="DI38">
        <f>AZ38*(c_Stroke2+c_MI2+c_DM+c_BN_2)</f>
        <v>18.76855748502226</v>
      </c>
      <c r="DJ38">
        <f>BA38*(c_HF1+c_DM+c_BN_2)</f>
        <v>110.0022957055442</v>
      </c>
      <c r="DK38">
        <f>BB38*(c_HF2+c_DM+c_BN_2)</f>
        <v>780.03745375061533</v>
      </c>
      <c r="DL38">
        <f>BC38*(c_Stroke2+c_HF1+c_DM+c_BN_2)</f>
        <v>11.547548104795014</v>
      </c>
      <c r="DM38">
        <f>BD38*(c_Stroke1+c_Stroke2+c_HF2+c_DM+c_BN_2)</f>
        <v>27.439576102612421</v>
      </c>
      <c r="DN38">
        <f>BE38*(c_Stroke2+c_HF2+c_DM+c_BN_2)</f>
        <v>49.72322708704143</v>
      </c>
      <c r="DO38">
        <f t="shared" si="5"/>
        <v>0</v>
      </c>
      <c r="DP38">
        <f t="shared" si="38"/>
        <v>8077.6309096322429</v>
      </c>
      <c r="DQ38">
        <f>DP38/(1+r_)^A38</f>
        <v>2870.6559189071613</v>
      </c>
    </row>
    <row r="39" spans="1:121" x14ac:dyDescent="0.3">
      <c r="A39">
        <v>36</v>
      </c>
      <c r="B39">
        <v>81</v>
      </c>
      <c r="C39">
        <f t="shared" si="39"/>
        <v>36.251999999999995</v>
      </c>
      <c r="D39">
        <f t="shared" si="1"/>
        <v>125</v>
      </c>
      <c r="E39">
        <f t="shared" si="40"/>
        <v>5.7</v>
      </c>
      <c r="F39">
        <v>4.3880000000000002E-2</v>
      </c>
      <c r="G39">
        <v>5.9290000000000002E-2</v>
      </c>
      <c r="H39">
        <f t="shared" si="3"/>
        <v>4.6962000000000004E-2</v>
      </c>
      <c r="I39">
        <f t="shared" si="20"/>
        <v>4.7655426853004217E-2</v>
      </c>
      <c r="J39">
        <f t="shared" si="21"/>
        <v>0.33642769717105714</v>
      </c>
      <c r="K39">
        <f t="shared" si="22"/>
        <v>0.43693824613727128</v>
      </c>
      <c r="L39">
        <f t="shared" si="23"/>
        <v>0.17646491985158153</v>
      </c>
      <c r="M39">
        <f t="shared" si="24"/>
        <v>0.23807273949752039</v>
      </c>
      <c r="N39">
        <f t="shared" si="25"/>
        <v>0.67698448734723771</v>
      </c>
      <c r="O39">
        <f t="shared" si="26"/>
        <v>0.79744728341047488</v>
      </c>
      <c r="P39">
        <f t="shared" si="27"/>
        <v>0.42642284112617412</v>
      </c>
      <c r="Q39">
        <f t="shared" si="28"/>
        <v>0.54407547306619486</v>
      </c>
      <c r="R39">
        <f>IF(C39&lt;25, HT_f_low, IF(C39&lt;30, HT_f_mod, HT_f_high))</f>
        <v>0.42</v>
      </c>
      <c r="S39">
        <f>IF(C39&lt;25, HT_m_low, IF(C39&lt;30, HT_m_mod, HT_m_high))</f>
        <v>0.43099999999999999</v>
      </c>
      <c r="T39">
        <f>PREV_FEMALE*PREV_SMOKE*(1-$R39)*(1-EXP(-J39/10))+PREV_FEMALE*PREV_SMOKE*$R39*(1-EXP(-K39/10))+PREV_FEMALE*(1-PREV_SMOKE)*(1-$R39)*(1-EXP(-L39/10))+PREV_FEMALE*(1-PREV_SMOKE)*$R39*(1-EXP(-M39/10))+(1-PREV_FEMALE)*PREV_SMOKE*(1-$S39)*(1-EXP(-N39/10))+(1-PREV_FEMALE)*PREV_SMOKE*$S39*(1-EXP(-O39/10))+(1-PREV_FEMALE)*(1-PREV_SMOKE)*(1-$S39)*(1-EXP(-P39/10))+(1-PREV_FEMALE)*(1-PREV_SMOKE)*$S39*(1-EXP(-Q39/10))</f>
        <v>2.7640674926870491E-2</v>
      </c>
      <c r="U39">
        <f t="shared" si="29"/>
        <v>0.59038682071257365</v>
      </c>
      <c r="V39">
        <f t="shared" si="30"/>
        <v>0.71349446565947061</v>
      </c>
      <c r="W39">
        <f t="shared" si="31"/>
        <v>0.34461233650895995</v>
      </c>
      <c r="X39">
        <f t="shared" si="32"/>
        <v>0.44664046629351772</v>
      </c>
      <c r="Y39">
        <f t="shared" si="33"/>
        <v>0.85382651496115147</v>
      </c>
      <c r="Z39">
        <f t="shared" si="34"/>
        <v>0.93393543412945501</v>
      </c>
      <c r="AA39">
        <f t="shared" si="35"/>
        <v>0.61166445085491095</v>
      </c>
      <c r="AB39">
        <f t="shared" si="36"/>
        <v>0.73724302590932766</v>
      </c>
      <c r="AC39">
        <f>PREV_FEMALE*PREV_SMOKE*(1-$R39)*(1-EXP(-U39/10))+PREV_FEMALE*PREV_SMOKE*$R39*(1-EXP(-V39/10))+PREV_FEMALE*(1-PREV_SMOKE)*(1-$R39)*(1-EXP(-W39/10))+PREV_FEMALE*(1-PREV_SMOKE)*$R39*(1-EXP(-X39/10))+(1-PREV_FEMALE)*PREV_SMOKE*(1-$S39)*(1-EXP(-Y39/10))+(1-PREV_FEMALE)*PREV_SMOKE*$S39*(1-EXP(-Z39/10))+(1-PREV_FEMALE)*(1-PREV_SMOKE)*(1-$S39)*(1-EXP(-AA39/10))+(1-PREV_FEMALE)*(1-PREV_SMOKE)*$S39*(1-EXP(-AB39/10))</f>
        <v>4.6206275835535771E-2</v>
      </c>
      <c r="AD39">
        <f t="shared" si="37"/>
        <v>5.6461968093141357E-2</v>
      </c>
      <c r="AE39">
        <f t="shared" si="6"/>
        <v>1.6047728053407845E-2</v>
      </c>
      <c r="AF39">
        <f t="shared" si="7"/>
        <v>1.008011430614355E-3</v>
      </c>
      <c r="AG39">
        <f t="shared" si="8"/>
        <v>3.8080514067485773E-3</v>
      </c>
      <c r="AH39">
        <f>AD38*T38*p_MI*p_MI_rec_old*(1-I38)+AE38*T38*p_MI*p_MI_rec_old*(1-I38) + AH38*(PREV_FEMALE*p_recur_MI_F + (1-PREV_FEMALE)*p_recur_MI_M)*p_MI_rec_old*(1-I38) + AI38*(PREV_FEMALE*p_recur_MI_F + (1-PREV_FEMALE)*p_recur_MI_M)*p_MI_rec_old*(1-I38)</f>
        <v>4.3010380721326719E-4</v>
      </c>
      <c r="AI39">
        <f>AH38*(1-(PREV_FEMALE*p_recur_MI_F + (1-PREV_FEMALE)*p_recur_MI_M) - T38*p_Stroke - p_toHF_old - H38*rr_MI)*(1-I38) + AI38*(1-(PREV_FEMALE*p_recur_MI_F + (1-PREV_FEMALE)*p_recur_MI_M) - T38*p_Stroke - p_toHF_old - H38*rr_MI)*(1-I38)</f>
        <v>2.1041226247438599E-3</v>
      </c>
      <c r="AJ39">
        <f t="shared" si="11"/>
        <v>3.1780712731553956E-5</v>
      </c>
      <c r="AK39">
        <f>AF38*T38*p_MI*p_MI_rec_old*(1-I38) + AG38*T38*p_MI*p_MI_rec_old*(1-I38) + AJ38*(PREV_FEMALE*p_recur_MI_F + (1-PREV_FEMALE)*p_recur_MI_M)*p_MI_rec_old*(1-I38) + AK38*(PREV_FEMALE*p_recur_MI_F + (1-PREV_FEMALE)*p_recur_MI_M)*p_MI_rec_old*(1-I38) + AL38*(PREV_FEMALE*p_recur_MI_F + (1-PREV_FEMALE)*p_recur_MI_M)*p_MI_rec_old*(1-I38)</f>
        <v>2.6957054155001765E-5</v>
      </c>
      <c r="AL39">
        <f>AJ38*(1-p_recur_Stroke-(PREV_FEMALE*p_recur_MI_F + (1-PREV_FEMALE)*p_recur_MI_M) - p_toHF_old - H38*rr_MI*rr_Stroke)*(1-I38) + AK38*(1-p_recur_Stroke-(PREV_FEMALE*p_recur_MI_F + (1-PREV_FEMALE)*p_recur_MI_M) - p_toHF_old - H38*rr_MI*rr_Stroke)*(1-I38) + AL38*(1-p_recur_Stroke-(PREV_FEMALE*p_recur_MI_F + (1-PREV_FEMALE)*p_recur_MI_M) - p_toHF_old - H38*rr_MI*rr_Stroke)*(1-I38)</f>
        <v>7.5928435861658732E-5</v>
      </c>
      <c r="AM39">
        <f>AD38*T38*p_MI*p_MI_HF_old*(1-I38) + AE38*T38*p_MI*p_MI_HF_old*(1-I38) + AH38*p_toHF_old*(1-I38) + AH38*(PREV_FEMALE*p_recur_MI_F + (1-PREV_FEMALE)*p_recur_MI_M)*p_MI_HF_old*(1-I38) + AI38*p_toHF_old*(1-I38) + AI38*(PREV_FEMALE*p_recur_MI_F + (1-PREV_FEMALE)*p_recur_MI_M)*p_MI_HF_old*(1-I38)</f>
        <v>3.947492416372997E-4</v>
      </c>
      <c r="AN39">
        <f t="shared" si="15"/>
        <v>4.3848817467613769E-3</v>
      </c>
      <c r="AO39">
        <f>AF38*T38*p_MI*p_MI_HF_old*(1-I38) + AG38*T38*p_MI*p_MI_HF_old*(1-I38) + AJ38*(PREV_FEMALE*p_recur_MI_F + (1-PREV_FEMALE)*p_recur_MI_M)*p_MI_HF_old*(1-I38) + AJ38*p_toHF_old*(1-I38) + AK38*(PREV_FEMALE*p_recur_MI_F + (1-PREV_FEMALE)*p_recur_MI_M)*p_MI_HF_old*(1-I38) + AK38*p_toHF_old*(1-I38) + AL38*(PREV_FEMALE*p_recur_MI_F + (1-PREV_FEMALE)*p_recur_MI_M)*p_MI_HF_old*(1-I38) + AL38*p_toHF_old*(1-I38)</f>
        <v>2.2877516083896675E-5</v>
      </c>
      <c r="AP39">
        <f>AM38*T38*p_Stroke*p_Stroke_rec*(1-I38) + AN38*T38*p_Stroke*p_Stroke_rec*(1-I38) + AO38*(p_recur_Stroke*p_Stroke_rec)*(1-I38) + AP38*(p_recur_Stroke*p_Stroke_rec)*(1-I38) + AQ38*(p_recur_Stroke*p_Stroke_rec)*(1-I38)</f>
        <v>5.2536307439816816E-5</v>
      </c>
      <c r="AQ39">
        <f>AO38*(1-p_recur_Stroke-H38*rr_Stroke*rr_HF)*(1-I38) + AP38*(1-p_recur_Stroke-H38*rr_Stroke*rr_HF)*(1-I38) + AQ38*(1-p_recur_Stroke-H38*rr_Stroke*rr_HF)*(1-I38)</f>
        <v>1.4600044672655611E-4</v>
      </c>
      <c r="AR39">
        <f>AR38*(1-AC38-H38*rr_DM) + AD38*(1-T38-H38)*I38</f>
        <v>0.18722191918111697</v>
      </c>
      <c r="AS39">
        <f>AR38*AC38*p_Other + AD38*T38*p_Other*I38 + AE38*(1-T38*p_Stroke-T38*p_MI-H38*rr_Other)*I38 + AS38*(1-AC38*p_Stroke-AC38*p_MI-H38*rr_Other*rr_DM)</f>
        <v>8.8104718882763403E-2</v>
      </c>
      <c r="AT39">
        <f>AR38*AC38*p_Stroke*p_Stroke_rec + AD38*T38*p_Stroke*p_Stroke_rec*I38 + AE38*T38*p_Stroke*p_Stroke_rec*I38 + AF38*p_recur_Stroke*p_Stroke_rec*I38 + AG38*p_recur_Stroke*p_Stroke_rec*I38 + AS38*AC38*p_Stroke*p_Stroke_rec + AT38*p_recur_Stroke*p_Stroke_rec + AU38*p_recur_Stroke*p_Stroke_rec</f>
        <v>6.3119927423439639E-3</v>
      </c>
      <c r="AU39">
        <f>AF38*(1-p_recur_Stroke-T38*p_MI-H38*rr_Stroke)*I38 + AG38*(1-p_recur_Stroke-T38*p_MI-H38*rr_Stroke)*I38 + AT38*(1-p_recur_Stroke-AC38*p_MI-H38*rr_Stroke*rr_DM) + AU38*(1-p_recur_Stroke-AC38*p_MI-H38*rr_Stroke*rr_DM)</f>
        <v>2.2444957881922089E-2</v>
      </c>
      <c r="AV39">
        <f>AR38*AC38*p_MI*p_MI_rec_old + AD38*T38*p_MI*p_MI_rec_old*I38 + AE38*T38*p_MI*p_MI_rec_old*I38 +AH38*(PREV_FEMALE*p_recur_MI_F + (1-PREV_FEMALE)*p_recur_MI_M)*p_MI_rec_old*I38 + AI38*(PREV_FEMALE*p_recur_MI_F + (1-PREV_FEMALE)*p_recur_MI_M)*p_MI_rec_old*I38 + AS38*AC38*p_MI*p_MI_rec_old + AV38*(PREV_FEMALE*p_recur_MI_F + (1-PREV_FEMALE)*p_recur_MI_M)*p_MI_rec_old + AW38*(PREV_FEMALE*p_recur_MI_F + (1-PREV_FEMALE)*p_recur_MI_M)*p_MI_rec_old</f>
        <v>2.7815745116465205E-3</v>
      </c>
      <c r="AW39">
        <f>AH38*(1-(PREV_FEMALE*p_recur_MI_F + (1-PREV_FEMALE)*p_recur_MI_M) - T38*p_Stroke - p_toHF_old - H38*rr_MI)*I38 + AI38*(1-(PREV_FEMALE*p_recur_MI_F + (1-PREV_FEMALE)*p_recur_MI_M) - T38*p_Stroke - p_toHF_old - H38*rr_MI)*I38 + AV38*(1-(PREV_FEMALE*p_recur_MI_F + (1-PREV_FEMALE)*p_recur_MI_M) - AC38*p_Stroke - p_toHF_old - H38*rr_MI*rr_DM) + AW38*(1-(PREV_FEMALE*p_recur_MI_F + (1-PREV_FEMALE)*p_recur_MI_M) - AC38*p_Stroke - p_toHF_old - H38*rr_MI*rr_DM)</f>
        <v>1.3283511236307891E-2</v>
      </c>
      <c r="AX39">
        <f>AH38*T38*p_Stroke*p_Stroke_rec*I38 + AI38*T38*p_Stroke*p_Stroke_rec*I38 + AJ38*p_recur_Stroke*p_Stroke_rec*I38 + AK38*p_recur_Stroke*p_Stroke_rec*I38 + AL38*p_recur_Stroke*p_Stroke_rec*I38 + AV38*AC38*p_Stroke*p_Stroke_rec + AW38*AC38*p_Stroke*p_Stroke_rec + AX38*p_recur_Stroke*p_Stroke_rec + AY38*p_recur_Stroke*p_Stroke_rec + AZ38*p_recur_Stroke*p_Stroke_rec</f>
        <v>3.2779034974556693E-4</v>
      </c>
      <c r="AY39">
        <f>AF38*T38*p_MI*p_MI_rec_old*I38 + AG38*T38*p_MI*p_MI_rec_old*I38 + AJ38*(PREV_FEMALE*p_recur_MI_F+(1-PREV_FEMALE)*p_recur_MI_M)*p_MI_rec_old*I38 + AK38*(PREV_FEMALE*p_recur_MI_F+(1-PREV_FEMALE)*p_recur_MI_M)*p_MI_rec_old*I38 + AL38*(PREV_FEMALE*p_recur_MI_F+(1-PREV_FEMALE)*p_recur_MI_M)*p_MI_rec_old*I38 + AT38*AC38*p_MI*p_MI_rec_old + AU38*AC38*p_MI*p_MI_rec_old + AX38*(PREV_FEMALE*p_recur_MI_F+(1-PREV_FEMALE)*p_recur_MI_M)*p_MI_rec_old + AY38*(PREV_FEMALE*p_recur_MI_F+(1-PREV_FEMALE)*p_recur_MI_M)*p_MI_rec_old + AZ38*(PREV_FEMALE*p_recur_MI_F+(1-PREV_FEMALE)*p_recur_MI_M)*p_MI_rec_old</f>
        <v>2.7262061861704691E-4</v>
      </c>
      <c r="AZ39">
        <f>AJ38*(1-p_recur_Stroke-(PREV_FEMALE*p_recur_MI_F + (1-PREV_FEMALE)*p_recur_MI_M) - p_toHF_old - H38*rr_MI*rr_Stroke)*I38 + AK38*(1-p_recur_Stroke-(PREV_FEMALE*p_recur_MI_F + (1-PREV_FEMALE)*p_recur_MI_M) - p_toHF_old - H38*rr_MI*rr_Stroke)*I38 + AL38*(1-p_recur_Stroke-(PREV_FEMALE*p_recur_MI_F + (1-PREV_FEMALE)*p_recur_MI_M) - p_toHF_old - H38*rr_MI*rr_Stroke)*I38 + AX38*(1-p_recur_Stroke-(PREV_FEMALE*p_recur_MI_F + (1-PREV_FEMALE)*p_recur_MI_M) - p_toHF_old - H38*rr_MI*rr_Stroke*rr_DM) + AY38*(1-p_recur_Stroke-(PREV_FEMALE*p_recur_MI_F + (1-PREV_FEMALE)*p_recur_MI_M) - p_toHF_old - H38*rr_MI*rr_Stroke*rr_DM) + AZ38*(1-p_recur_Stroke-(PREV_FEMALE*p_recur_MI_F + (1-PREV_FEMALE)*p_recur_MI_M) - p_toHF_old - H38*rr_MI*rr_Stroke*rr_DM)</f>
        <v>7.0431111722637162E-4</v>
      </c>
      <c r="BA39">
        <f>AR38*AC38*p_MI*p_MI_HF_old + AD38*T38*p_MI*p_MI_HF_old*I38 + AE38*T38*p_MI*p_MI_HF_old*I38 + AH38*p_toHF_old*I38 + AH38*(PREV_FEMALE*p_recur_MI_F + (1-PREV_FEMALE)*p_recur_MI_M)*p_MI_HF_old*I38 + AI38*p_toHF_old*I38 + AI38*(PREV_FEMALE*p_recur_MI_F + (1-PREV_FEMALE)*p_recur_MI_M)*p_MI_HF_old*I38 + AS38*AC38*p_MI*p_MI_HF_old + AV38*(PREV_FEMALE*p_recur_MI_F + (1-PREV_FEMALE)*p_recur_MI_M)*p_MI_HF_old + AV38*p_toHF_old + AW38*(PREV_FEMALE*p_recur_MI_F + (1-PREV_FEMALE)*p_recur_MI_M)*p_MI_HF_old + AW38*p_toHF_old</f>
        <v>2.5451178843755454E-3</v>
      </c>
      <c r="BB39">
        <f>AM38*(1-T38*p_Stroke - H38*rr_HF)*I38 + AN38*(1-T38*p_Stroke - H38*rr_HF)*I38 + BA38*(1-AC38*p_Stroke - H38*rr_HF*rr_DM) + BB38*(1-AC38*p_Stroke - H38*rr_HF*rr_DM)</f>
        <v>2.6774248263893935E-2</v>
      </c>
      <c r="BC39">
        <f>AF38*T38*p_MI*p_MI_HF_old*I38 + AG38*T38*p_MI*p_MI_HF_old*I38 + AJ38*(PREV_FEMALE*p_recur_MI_F + (1-PREV_FEMALE)*p_recur_MI_M)*p_MI_HF_old*I38 + AJ38*p_toHF_old*I38 + AK38*(PREV_FEMALE*p_recur_MI_F + (1-PREV_FEMALE)*p_recur_MI_M)*p_MI_HF_old*I38 + AK38*p_toHF_old*I38 + AL38*(PREV_FEMALE*p_recur_MI_F + (1-PREV_FEMALE)*p_recur_MI_M)*p_MI_HF_old*I38 + AL38*p_toHF_old*I38 + AT38*AC38*p_MI*p_MI_HF_old + AU38*AC38*p_MI*p_MI_HF_old + AX38*(PREV_FEMALE*p_recur_MI_F + (1-PREV_FEMALE)*p_recur_MI_M)*p_MI_HF_old + AX38*p_toHF_old + AY38*(PREV_FEMALE*p_recur_MI_F + (1-PREV_FEMALE)*p_recur_MI_M)*p_MI_HF_old + AY38*p_toHF_old + AZ38*(PREV_FEMALE*p_recur_MI_F + (1-PREV_FEMALE)*p_recur_MI_M)*p_MI_HF_old + AZ38*p_toHF_old</f>
        <v>2.2861597607469822E-4</v>
      </c>
      <c r="BD39">
        <f>AM38*T38*p_Stroke*p_Stroke_rec*I38 + AN38*T38*p_Stroke*p_Stroke_rec*I38 + AO38*(p_recur_Stroke*p_Stroke_rec)*I38 + AP38*(p_recur_Stroke*p_Stroke_rec)*I38 + AQ38*(p_recur_Stroke*p_Stroke_rec)*I38 + BA38*AC38*p_Stroke*p_Stroke_rec + BB38*AC38*p_Stroke*p_Stroke_rec + BC38*(p_recur_Stroke*p_Stroke_rec) + BD38*(p_recur_Stroke*p_Stroke_rec) + BE38*(p_recur_Stroke*p_Stroke_rec)</f>
        <v>5.2293656838896978E-4</v>
      </c>
      <c r="BE39">
        <f>AO38*(1-p_recur_Stroke - H38*rr_Stroke*rr_HF)*I38 + AP38*(1-p_recur_Stroke-H38*rr_Stroke*rr_HF)*I38 + AQ38*(1-p_recur_Stroke-H38*rr_Stroke*rr_HF)*I38 + BC38*(1-p_recur_Stroke - H38*rr_Stroke*rr_HF*rr_DM) + BD38*(1-p_recur_Stroke-H38*rr_Stroke*rr_HF*rr_DM) + BE38*(1-p_recur_Stroke-H38*rr_Stroke*rr_HF*rr_DM)</f>
        <v>1.3040521732234061E-3</v>
      </c>
      <c r="BF39">
        <f>AD38*H38 + AE38*H38*rr_Other + AF38*H38*rr_Stroke + AG38*H38*rr_Stroke + AH38*H38*rr_MI + AI38*H38*rr_MI + AJ38*H38*rr_Stroke*rr_MI + AK38*H38*rr_Stroke*rr_MI + AL38*H38*rr_Stroke*rr_MI + AM38*H38*rr_HF + AN38*H38*rr_HF + AO38*H38*rr_Stroke*rr_HF + AP38*H38*rr_Stroke*rr_HF + AR38*H38*rr_DM + AS38*H38*rr_DM*rr_Other + AT38*H38*rr_DM*rr_Stroke + AU38*H38*rr_DM*rr_Stroke + AV38*H38*rr_DM*rr_MI + AW38*H38*rr_DM*rr_MI + AX38*H38*rr_DM*rr_Stroke*rr_MI + AY38*H38*rr_DM*rr_Stroke*rr_MI + AZ38*H38*rr_DM*rr_Stroke*rr_MI + BA38*H38*rr_DM*rr_HF + BB38*H38*rr_DM*rr_HF + BC38*H38*rr_DM*rr_Stroke*rr_HF + BD38*H38*rr_DM*rr_Stroke*rr_HF + AQ38*H38*rr_Stroke*rr_HF + BE38*H38*rr_DM*rr_Stroke*rr_HF
+ AD38*T38*p_MI*p_MI_mort + AD38*T38*p_Stroke*p_Stroke_mort + AE38*T38*p_MI*p_MI_mort + AE38*T38*p_Stroke*p_Stroke_mort + AF38*T38*p_MI*p_MI_mort + AF38*p_recur_Stroke*p_Stroke_mort + AG38*T38*p_MI*p_MI_mort + AG38*p_recur_Stroke*p_Stroke_mort + AH38*(PREV_FEMALE*p_recur_MI_F + (1-PREV_FEMALE)*p_recur_MI_M)*p_MI_mort + AH38*T38*p_Stroke*p_Stroke_mort + AI38*(PREV_FEMALE*p_recur_MI_F + (1-PREV_FEMALE)*p_recur_MI_M)*p_MI_mort + AI38*T38*p_Stroke*p_Stroke_mort + AJ38*(PREV_FEMALE*p_recur_MI_F + (1-PREV_FEMALE)*p_recur_MI_M)*p_MI_mort + AJ38*p_recur_Stroke*p_Stroke_mort + AK38*(PREV_FEMALE*p_recur_MI_F + (1-PREV_FEMALE)*p_recur_MI_M)*p_MI_mort + AK38*p_recur_Stroke*p_Stroke_mort + AL38*(PREV_FEMALE*p_recur_MI_F + (1-PREV_FEMALE)*p_recur_MI_M)*p_MI_mort + AL38*p_recur_Stroke*p_Stroke_mort + AM38*T38*p_Stroke*p_Stroke_mort + AN38*T38*p_Stroke*p_Stroke_mort + AO38*p_recur_Stroke*p_Stroke_mort + AP38*p_recur_Stroke*p_Stroke_mort + AQ38*p_recur_Stroke*p_Stroke_mort
+ AR38*AC38*p_MI*p_MI_mort + AR38*AC38*p_Stroke*p_Stroke_mort + AS38*AC38*p_MI*p_MI_mort + AS38*AC38*p_Stroke*p_Stroke_mort + AT38*AC38*p_MI*p_MI_mort + AT38*p_recur_Stroke*p_Stroke_mort + AU38*AC38*p_MI*p_MI_mort + AU38*p_recur_Stroke*p_Stroke_mort + AV38*(PREV_FEMALE*p_recur_MI_F + (1-PREV_FEMALE)*p_recur_MI_M)*p_MI_mort + AV38*AC38*p_Stroke*p_Stroke_mort + AW38*(PREV_FEMALE*p_recur_MI_F + (1-PREV_FEMALE)*p_recur_MI_M)*p_MI_mort + AW38*AC38*p_Stroke*p_Stroke_mort + AX38*(PREV_FEMALE*p_recur_MI_F + (1-PREV_FEMALE)*p_recur_MI_M)*p_MI_mort + AX38*p_recur_Stroke*p_Stroke_mort + AY38*(PREV_FEMALE*p_recur_MI_F + (1-PREV_FEMALE)*p_recur_MI_M)*p_MI_mort + AY38*p_recur_Stroke*p_Stroke_mort + AZ38*(PREV_FEMALE*p_recur_MI_F + (1-PREV_FEMALE)*p_recur_MI_M)*p_MI_mort + AZ38*p_recur_Stroke*p_Stroke_mort + BA38*AC38*p_Stroke*p_Stroke_mort + BB38*AC38*p_Stroke*p_Stroke_mort + BC38*p_recur_Stroke*p_Stroke_mort + BD38*p_recur_Stroke*p_Stroke_mort + BE38*p_recur_Stroke*p_Stroke_mort
+BF38</f>
        <v>0.50917593573508757</v>
      </c>
      <c r="BG39">
        <f t="shared" si="17"/>
        <v>0.94700000000000029</v>
      </c>
      <c r="BH39">
        <f>(0.9442 - 0.0007*$B39 - dis_BMI*($C39-21.75))*AD39</f>
        <v>4.7407918860416731E-2</v>
      </c>
      <c r="BI39">
        <f>0.959*(0.9442 - 0.0007*$B39 - dis_BMI*($C39-21.75))*AE39</f>
        <v>1.2921919818292157E-2</v>
      </c>
      <c r="BJ39">
        <f>(0.943*(0.9442 - 0.0007*$B39 - dis_BMI*($C39-21.75)) - 0.19*0.5)*AF39</f>
        <v>7.0236596067566309E-4</v>
      </c>
      <c r="BK39">
        <f>(0.943*(0.9442 - 0.0007*$B39 - dis_BMI*($C39-21.75)))*AG39</f>
        <v>3.0151531323965404E-3</v>
      </c>
      <c r="BL39">
        <f>(0.955*(0.9442 - 0.0007*$B39 - dis_BMI*($C39-21.75)) - 0.15*0.5)*AH39</f>
        <v>3.1262501546363002E-4</v>
      </c>
      <c r="BM39">
        <f>(0.955*(0.9442 - 0.0007*$B39 - dis_BMI*($C39-21.75)))*AI39</f>
        <v>1.6872106042973001E-3</v>
      </c>
      <c r="BN39">
        <f>(0.955*0.943*(0.9442 - 0.0007*$B39 - dis_BMI*($C39-21.75)) - 0.19*0.5)*AJ39</f>
        <v>2.1011928136729276E-5</v>
      </c>
      <c r="BO39">
        <f>(0.955*0.943*(0.9442 - 0.0007*$B39 - dis_BMI*($C39-21.75)) - 0.15*0.5)*AK39</f>
        <v>1.8361890669217347E-5</v>
      </c>
      <c r="BP39">
        <f>(0.955*0.943*(0.9442 - 0.0007*$B39 - dis_BMI*($C39-21.75)))*AL39</f>
        <v>5.7413549376883179E-5</v>
      </c>
      <c r="BQ39">
        <f>(0.93*(0.9442 - 0.0007*$B39 - dis_BMI*($C39-21.75)))*AM39</f>
        <v>3.0824719371806046E-4</v>
      </c>
      <c r="BR39">
        <f>(0.93*(0.9442 - 0.0007*$B39 - dis_BMI*($C39-21.75)))*AN39</f>
        <v>3.4240154271572556E-3</v>
      </c>
      <c r="BS39">
        <f>(0.93*0.943*(0.9442 - 0.0007*$B39 - dis_BMI*($C39-21.75)))*AO39</f>
        <v>1.6846061785930573E-5</v>
      </c>
      <c r="BT39">
        <f>(0.93*0.943*(0.9442 - 0.0007*$B39 - dis_BMI*($C39-21.75))-0.19*0.5)*AP39</f>
        <v>3.3694626530120258E-5</v>
      </c>
      <c r="BU39">
        <f>(0.93*0.943*(0.9442 - 0.0007*$B39 - dis_BMI*($C39-21.75)))*AQ39</f>
        <v>1.0750872329449599E-4</v>
      </c>
      <c r="BV39">
        <f>0.962*(0.9442 - 0.0007*$B39 - dis_BMI*($C39-21.75))*AR39</f>
        <v>0.15122606212227946</v>
      </c>
      <c r="BW39">
        <f>0.962*0.959*(0.9442 - 0.0007*$B39 - dis_BMI*($C39-21.75))*AS39</f>
        <v>6.8247654065214852E-2</v>
      </c>
      <c r="BX39">
        <f>0.962*(0.943*(0.9442 - 0.0007*$B39 - dis_BMI*($C39-21.75)) - 0.19*0.5)*AT39</f>
        <v>4.2309662574929879E-3</v>
      </c>
      <c r="BY39">
        <f>0.962*(0.943*(0.9442 - 0.0007*$B39 - dis_BMI*($C39-21.75)))*AU39</f>
        <v>1.7096233395476619E-2</v>
      </c>
      <c r="BZ39">
        <f>0.962*(0.955*(0.9442 - 0.0007*$B39 - dis_BMI*($C39-21.75)) - 0.15*0.5)*AV39</f>
        <v>1.9449847902943468E-3</v>
      </c>
      <c r="CA39">
        <f>0.962*(0.955*(0.9442 - 0.0007*$B39 - dis_BMI*($C39-21.75)))*AW39</f>
        <v>1.0246751633145895E-2</v>
      </c>
      <c r="CB39">
        <f>0.962*(0.955*0.943*(0.9442 - 0.0007*$B39 - dis_BMI*($C39-21.75)) - 0.19*0.5)*AX39</f>
        <v>2.0848437391473437E-4</v>
      </c>
      <c r="CC39">
        <f>0.962*(0.955*0.943*(0.9442 - 0.0007*$B39 - dis_BMI*($C39-21.75)) - 0.15*0.5)*AY39</f>
        <v>1.7864001110020087E-4</v>
      </c>
      <c r="CD39">
        <f>0.962*(0.955*0.943*(0.9442 - 0.0007*$B39 - dis_BMI*($C39-21.75)))*AZ39</f>
        <v>5.1232973025322091E-4</v>
      </c>
      <c r="CE39">
        <f>0.962*(0.93*(0.9442 - 0.0007*$B39 - dis_BMI*($C39-21.75)))*BA39</f>
        <v>1.9118807561974065E-3</v>
      </c>
      <c r="CF39">
        <f>0.962*(0.93*(0.9442 - 0.0007*$B39 - dis_BMI*($C39-21.75)))*BB39</f>
        <v>2.0112691176955088E-2</v>
      </c>
      <c r="CG39">
        <f>0.962*(0.93*0.943*(0.9442 - 0.0007*$B39 - dis_BMI*($C39-21.75)))*BC39</f>
        <v>1.61946351518523E-4</v>
      </c>
      <c r="CH39">
        <f>0.962*(0.93*0.943*(0.9442 - 0.0007*$B39 - dis_BMI*($C39-21.75))-0.19*0.5)*BD39</f>
        <v>3.2264518400224648E-4</v>
      </c>
      <c r="CI39">
        <f>0.962*(0.93*0.943*(0.9442 - 0.0007*$B39 - dis_BMI*($C39-21.75)))*BE39</f>
        <v>9.2376086426404545E-4</v>
      </c>
      <c r="CJ39">
        <f t="shared" si="18"/>
        <v>0</v>
      </c>
      <c r="CK39">
        <f t="shared" si="19"/>
        <v>0.34735932350432042</v>
      </c>
      <c r="CL39">
        <f>CK39/(1+r_)^A39</f>
        <v>0.11985022975474585</v>
      </c>
      <c r="CM39">
        <f>AD39*c_BN_2</f>
        <v>118.28782315513114</v>
      </c>
      <c r="CN39">
        <f>AE39*(c_Other+c_BN_2)</f>
        <v>262.76549914650008</v>
      </c>
      <c r="CO39">
        <f>AF39*(c_Stroke1+c_Stroke2+c_BN_2)</f>
        <v>26.118584178648554</v>
      </c>
      <c r="CP39">
        <f>AG39*(c_Stroke2 + c_BN_2)</f>
        <v>32.730201841004025</v>
      </c>
      <c r="CQ39">
        <f>AH39*(c_MI1+c_MI2 + c_BN_2)</f>
        <v>13.439023560185747</v>
      </c>
      <c r="CR39">
        <f>AI39*(c_MI2+c_BN_2)</f>
        <v>10.966687120164998</v>
      </c>
      <c r="CS39">
        <f>AJ39*(c_Stroke1+c_Stroke2+c_MI2+c_BN_2)</f>
        <v>0.92253052917154821</v>
      </c>
      <c r="CT39">
        <f>AK39*(c_Stroke2+c_MI1+c_MI2+c_BN_2)</f>
        <v>1.0175209661346967</v>
      </c>
      <c r="CU39">
        <f>AL39*(c_Stroke2+c_MI2+c_BN_2)</f>
        <v>0.8892738408117471</v>
      </c>
      <c r="CV39">
        <f>AM39*(c_HF1+c_BN_2)</f>
        <v>11.497071662686354</v>
      </c>
      <c r="CW39">
        <f>AN39*(c_HF2+c_BN_2)</f>
        <v>77.612406917676367</v>
      </c>
      <c r="CX39">
        <f>AO39*(c_Stroke2+c_HF1+c_BN_2)</f>
        <v>0.81501151048881904</v>
      </c>
      <c r="CY39">
        <f>AP39*(c_Stroke1+c_Stroke2+c_HF2+c_BN_2)</f>
        <v>2.1810973396714348</v>
      </c>
      <c r="CZ39">
        <f>AQ39*(c_Stroke2+c_HF2+c_BN_2)</f>
        <v>3.5332108107826579</v>
      </c>
      <c r="DA39">
        <f>AR39*(c_DM+c_BN_2)</f>
        <v>2531.2403473287013</v>
      </c>
      <c r="DB39">
        <f>AS39*(c_Other+c_DM+c_BN_2)</f>
        <v>2449.2230802219397</v>
      </c>
      <c r="DC39">
        <f>AT39*(c_Stroke1+c_Stroke2+c_DM+c_BN_2)</f>
        <v>235.66456102815422</v>
      </c>
      <c r="DD39">
        <f>AU39*(c_Stroke2+c_DM+c_BN_2)</f>
        <v>449.34805679608024</v>
      </c>
      <c r="DE39">
        <f>AV39*(c_MI1+c_MI2+c_DM+c_BN_2)</f>
        <v>118.69256598646868</v>
      </c>
      <c r="DF39">
        <f>AW39*(c_MI2+c_DM+c_BN_2)</f>
        <v>220.99777643845439</v>
      </c>
      <c r="DG39">
        <f>AX39*(c_Stroke1+c_Stroke2+c_MI2+c_DM+c_BN_2)</f>
        <v>13.26010301825742</v>
      </c>
      <c r="DH39">
        <f>AY39*(c_Stroke2+c_MI1+c_MI2+c_DM+c_BN_2)</f>
        <v>13.405028438018814</v>
      </c>
      <c r="DI39">
        <f>AZ39*(c_Stroke2+c_MI2+c_DM+c_BN_2)</f>
        <v>16.295646319266559</v>
      </c>
      <c r="DJ39">
        <f>BA39*(c_HF1+c_DM+c_BN_2)</f>
        <v>103.20453021142836</v>
      </c>
      <c r="DK39">
        <f>BB39*(c_HF2+c_DM+c_BN_2)</f>
        <v>779.7999806859109</v>
      </c>
      <c r="DL39">
        <f>BC39*(c_Stroke2+c_HF1+c_DM+c_BN_2)</f>
        <v>10.756381674314552</v>
      </c>
      <c r="DM39">
        <f>BD39*(c_Stroke1+c_Stroke2+c_HF2+c_DM+c_BN_2)</f>
        <v>27.684784867080449</v>
      </c>
      <c r="DN39">
        <f>BE39*(c_Stroke2+c_HF2+c_DM+c_BN_2)</f>
        <v>46.456858671083843</v>
      </c>
      <c r="DO39">
        <f t="shared" si="5"/>
        <v>0</v>
      </c>
      <c r="DP39">
        <f t="shared" si="38"/>
        <v>7578.8056442642182</v>
      </c>
      <c r="DQ39">
        <f>DP39/(1+r_)^A39</f>
        <v>2614.9336904737884</v>
      </c>
    </row>
    <row r="40" spans="1:121" x14ac:dyDescent="0.3">
      <c r="A40">
        <v>37</v>
      </c>
      <c r="B40">
        <v>82</v>
      </c>
      <c r="C40">
        <f t="shared" si="39"/>
        <v>36.251999999999995</v>
      </c>
      <c r="D40">
        <f t="shared" si="1"/>
        <v>125</v>
      </c>
      <c r="E40">
        <f t="shared" si="40"/>
        <v>5.7</v>
      </c>
      <c r="F40">
        <v>5.1029999999999999E-2</v>
      </c>
      <c r="G40">
        <v>6.7809999999999995E-2</v>
      </c>
      <c r="H40">
        <f t="shared" si="3"/>
        <v>5.4385999999999997E-2</v>
      </c>
      <c r="I40">
        <f t="shared" si="20"/>
        <v>4.7655426853004217E-2</v>
      </c>
      <c r="J40">
        <f t="shared" si="21"/>
        <v>0.34560329215306373</v>
      </c>
      <c r="K40">
        <f t="shared" si="22"/>
        <v>0.4478118852280325</v>
      </c>
      <c r="L40">
        <f t="shared" si="23"/>
        <v>0.18187551173384742</v>
      </c>
      <c r="M40">
        <f t="shared" si="24"/>
        <v>0.24507412737073064</v>
      </c>
      <c r="N40">
        <f t="shared" si="25"/>
        <v>0.69088885675771339</v>
      </c>
      <c r="O40">
        <f t="shared" si="26"/>
        <v>0.80965666906448064</v>
      </c>
      <c r="P40">
        <f t="shared" si="27"/>
        <v>0.43870333805094563</v>
      </c>
      <c r="Q40">
        <f t="shared" si="28"/>
        <v>0.55780714219659766</v>
      </c>
      <c r="R40">
        <f>IF(C40&lt;25, HT_f_low, IF(C40&lt;30, HT_f_mod, HT_f_high))</f>
        <v>0.42</v>
      </c>
      <c r="S40">
        <f>IF(C40&lt;25, HT_m_low, IF(C40&lt;30, HT_m_mod, HT_m_high))</f>
        <v>0.43099999999999999</v>
      </c>
      <c r="T40">
        <f>PREV_FEMALE*PREV_SMOKE*(1-$R40)*(1-EXP(-J40/10))+PREV_FEMALE*PREV_SMOKE*$R40*(1-EXP(-K40/10))+PREV_FEMALE*(1-PREV_SMOKE)*(1-$R40)*(1-EXP(-L40/10))+PREV_FEMALE*(1-PREV_SMOKE)*$R40*(1-EXP(-M40/10))+(1-PREV_FEMALE)*PREV_SMOKE*(1-$S40)*(1-EXP(-N40/10))+(1-PREV_FEMALE)*PREV_SMOKE*$S40*(1-EXP(-O40/10))+(1-PREV_FEMALE)*(1-PREV_SMOKE)*(1-$S40)*(1-EXP(-P40/10))+(1-PREV_FEMALE)*(1-PREV_SMOKE)*$S40*(1-EXP(-Q40/10))</f>
        <v>2.8398236139462983E-2</v>
      </c>
      <c r="U40">
        <f t="shared" si="29"/>
        <v>0.60261316945275945</v>
      </c>
      <c r="V40">
        <f t="shared" si="30"/>
        <v>0.72539912484450353</v>
      </c>
      <c r="W40">
        <f t="shared" si="31"/>
        <v>0.35394704103012875</v>
      </c>
      <c r="X40">
        <f t="shared" si="32"/>
        <v>0.45764688862416869</v>
      </c>
      <c r="Y40">
        <f t="shared" si="33"/>
        <v>0.86437111295191338</v>
      </c>
      <c r="Z40">
        <f t="shared" si="34"/>
        <v>0.94056760009315599</v>
      </c>
      <c r="AA40">
        <f t="shared" si="35"/>
        <v>0.62570618355123364</v>
      </c>
      <c r="AB40">
        <f t="shared" si="36"/>
        <v>0.75056683019908677</v>
      </c>
      <c r="AC40">
        <f>PREV_FEMALE*PREV_SMOKE*(1-$R40)*(1-EXP(-U40/10))+PREV_FEMALE*PREV_SMOKE*$R40*(1-EXP(-V40/10))+PREV_FEMALE*(1-PREV_SMOKE)*(1-$R40)*(1-EXP(-W40/10))+PREV_FEMALE*(1-PREV_SMOKE)*$R40*(1-EXP(-X40/10))+(1-PREV_FEMALE)*PREV_SMOKE*(1-$S40)*(1-EXP(-Y40/10))+(1-PREV_FEMALE)*PREV_SMOKE*$S40*(1-EXP(-Z40/10))+(1-PREV_FEMALE)*(1-PREV_SMOKE)*(1-$S40)*(1-EXP(-AA40/10))+(1-PREV_FEMALE)*(1-PREV_SMOKE)*$S40*(1-EXP(-AB40/10))</f>
        <v>4.7239869289235459E-2</v>
      </c>
      <c r="AD40">
        <f t="shared" si="37"/>
        <v>4.9759769900401887E-2</v>
      </c>
      <c r="AE40">
        <f t="shared" si="6"/>
        <v>1.4546657529268491E-2</v>
      </c>
      <c r="AF40">
        <f t="shared" si="7"/>
        <v>9.1023726905829013E-4</v>
      </c>
      <c r="AG40">
        <f t="shared" si="8"/>
        <v>3.334092529653884E-3</v>
      </c>
      <c r="AH40">
        <f>AD39*T39*p_MI*p_MI_rec_old*(1-I39)+AE39*T39*p_MI*p_MI_rec_old*(1-I39) + AH39*(PREV_FEMALE*p_recur_MI_F + (1-PREV_FEMALE)*p_recur_MI_M)*p_MI_rec_old*(1-I39) + AI39*(PREV_FEMALE*p_recur_MI_F + (1-PREV_FEMALE)*p_recur_MI_M)*p_MI_rec_old*(1-I39)</f>
        <v>3.9038648390387265E-4</v>
      </c>
      <c r="AI40">
        <f>AH39*(1-(PREV_FEMALE*p_recur_MI_F + (1-PREV_FEMALE)*p_recur_MI_M) - T39*p_Stroke - p_toHF_old - H39*rr_MI)*(1-I39) + AI39*(1-(PREV_FEMALE*p_recur_MI_F + (1-PREV_FEMALE)*p_recur_MI_M) - T39*p_Stroke - p_toHF_old - H39*rr_MI)*(1-I39)</f>
        <v>1.8471214989212075E-3</v>
      </c>
      <c r="AJ40">
        <f t="shared" si="11"/>
        <v>2.8274394441347397E-5</v>
      </c>
      <c r="AK40">
        <f>AF39*T39*p_MI*p_MI_rec_old*(1-I39) + AG39*T39*p_MI*p_MI_rec_old*(1-I39) + AJ39*(PREV_FEMALE*p_recur_MI_F + (1-PREV_FEMALE)*p_recur_MI_M)*p_MI_rec_old*(1-I39) + AK39*(PREV_FEMALE*p_recur_MI_F + (1-PREV_FEMALE)*p_recur_MI_M)*p_MI_rec_old*(1-I39) + AL39*(PREV_FEMALE*p_recur_MI_F + (1-PREV_FEMALE)*p_recur_MI_M)*p_MI_rec_old*(1-I39)</f>
        <v>2.4380761189689588E-5</v>
      </c>
      <c r="AL40">
        <f>AJ39*(1-p_recur_Stroke-(PREV_FEMALE*p_recur_MI_F + (1-PREV_FEMALE)*p_recur_MI_M) - p_toHF_old - H39*rr_MI*rr_Stroke)*(1-I39) + AK39*(1-p_recur_Stroke-(PREV_FEMALE*p_recur_MI_F + (1-PREV_FEMALE)*p_recur_MI_M) - p_toHF_old - H39*rr_MI*rr_Stroke)*(1-I39) + AL39*(1-p_recur_Stroke-(PREV_FEMALE*p_recur_MI_F + (1-PREV_FEMALE)*p_recur_MI_M) - p_toHF_old - H39*rr_MI*rr_Stroke)*(1-I39)</f>
        <v>6.3310463954202993E-5</v>
      </c>
      <c r="AM40">
        <f>AD39*T39*p_MI*p_MI_HF_old*(1-I39) + AE39*T39*p_MI*p_MI_HF_old*(1-I39) + AH39*p_toHF_old*(1-I39) + AH39*(PREV_FEMALE*p_recur_MI_F + (1-PREV_FEMALE)*p_recur_MI_M)*p_MI_HF_old*(1-I39) + AI39*p_toHF_old*(1-I39) + AI39*(PREV_FEMALE*p_recur_MI_F + (1-PREV_FEMALE)*p_recur_MI_M)*p_MI_HF_old*(1-I39)</f>
        <v>3.5354215311622113E-4</v>
      </c>
      <c r="AN40">
        <f t="shared" si="15"/>
        <v>4.1338669456652977E-3</v>
      </c>
      <c r="AO40">
        <f>AF39*T39*p_MI*p_MI_HF_old*(1-I39) + AG39*T39*p_MI*p_MI_HF_old*(1-I39) + AJ39*(PREV_FEMALE*p_recur_MI_F + (1-PREV_FEMALE)*p_recur_MI_M)*p_MI_HF_old*(1-I39) + AJ39*p_toHF_old*(1-I39) + AK39*(PREV_FEMALE*p_recur_MI_F + (1-PREV_FEMALE)*p_recur_MI_M)*p_MI_HF_old*(1-I39) + AK39*p_toHF_old*(1-I39) + AL39*(PREV_FEMALE*p_recur_MI_F + (1-PREV_FEMALE)*p_recur_MI_M)*p_MI_HF_old*(1-I39) + AL39*p_toHF_old*(1-I39)</f>
        <v>2.0281430065402582E-5</v>
      </c>
      <c r="AP40">
        <f>AM39*T39*p_Stroke*p_Stroke_rec*(1-I39) + AN39*T39*p_Stroke*p_Stroke_rec*(1-I39) + AO39*(p_recur_Stroke*p_Stroke_rec)*(1-I39) + AP39*(p_recur_Stroke*p_Stroke_rec)*(1-I39) + AQ39*(p_recur_Stroke*p_Stroke_rec)*(1-I39)</f>
        <v>4.9901981900807483E-5</v>
      </c>
      <c r="AQ40">
        <f>AO39*(1-p_recur_Stroke-H39*rr_Stroke*rr_HF)*(1-I39) + AP39*(1-p_recur_Stroke-H39*rr_Stroke*rr_HF)*(1-I39) + AQ39*(1-p_recur_Stroke-H39*rr_Stroke*rr_HF)*(1-I39)</f>
        <v>1.2914838709503961E-4</v>
      </c>
      <c r="AR40">
        <f>AR39*(1-AC39-H39*rr_DM) + AD39*(1-T39-H39)*I39</f>
        <v>0.17094991274846028</v>
      </c>
      <c r="AS40">
        <f>AR39*AC39*p_Other + AD39*T39*p_Other*I39 + AE39*(1-T39*p_Stroke-T39*p_MI-H39*rr_Other)*I39 + AS39*(1-AC39*p_Stroke-AC39*p_MI-H39*rr_Other*rr_DM)</f>
        <v>8.2718045727209782E-2</v>
      </c>
      <c r="AT40">
        <f>AR39*AC39*p_Stroke*p_Stroke_rec + AD39*T39*p_Stroke*p_Stroke_rec*I39 + AE39*T39*p_Stroke*p_Stroke_rec*I39 + AF39*p_recur_Stroke*p_Stroke_rec*I39 + AG39*p_recur_Stroke*p_Stroke_rec*I39 + AS39*AC39*p_Stroke*p_Stroke_rec + AT39*p_recur_Stroke*p_Stroke_rec + AU39*p_recur_Stroke*p_Stroke_rec</f>
        <v>5.9122525338746162E-3</v>
      </c>
      <c r="AU40">
        <f>AF39*(1-p_recur_Stroke-T39*p_MI-H39*rr_Stroke)*I39 + AG39*(1-p_recur_Stroke-T39*p_MI-H39*rr_Stroke)*I39 + AT39*(1-p_recur_Stroke-AC39*p_MI-H39*rr_Stroke*rr_DM) + AU39*(1-p_recur_Stroke-AC39*p_MI-H39*rr_Stroke*rr_DM)</f>
        <v>2.0319562701855528E-2</v>
      </c>
      <c r="AV40">
        <f>AR39*AC39*p_MI*p_MI_rec_old + AD39*T39*p_MI*p_MI_rec_old*I39 + AE39*T39*p_MI*p_MI_rec_old*I39 +AH39*(PREV_FEMALE*p_recur_MI_F + (1-PREV_FEMALE)*p_recur_MI_M)*p_MI_rec_old*I39 + AI39*(PREV_FEMALE*p_recur_MI_F + (1-PREV_FEMALE)*p_recur_MI_M)*p_MI_rec_old*I39 + AS39*AC39*p_MI*p_MI_rec_old + AV39*(PREV_FEMALE*p_recur_MI_F + (1-PREV_FEMALE)*p_recur_MI_M)*p_MI_rec_old + AW39*(PREV_FEMALE*p_recur_MI_F + (1-PREV_FEMALE)*p_recur_MI_M)*p_MI_rec_old</f>
        <v>2.6205083407950737E-3</v>
      </c>
      <c r="AW40">
        <f>AH39*(1-(PREV_FEMALE*p_recur_MI_F + (1-PREV_FEMALE)*p_recur_MI_M) - T39*p_Stroke - p_toHF_old - H39*rr_MI)*I39 + AI39*(1-(PREV_FEMALE*p_recur_MI_F + (1-PREV_FEMALE)*p_recur_MI_M) - T39*p_Stroke - p_toHF_old - H39*rr_MI)*I39 + AV39*(1-(PREV_FEMALE*p_recur_MI_F + (1-PREV_FEMALE)*p_recur_MI_M) - AC39*p_Stroke - p_toHF_old - H39*rr_MI*rr_DM) + AW39*(1-(PREV_FEMALE*p_recur_MI_F + (1-PREV_FEMALE)*p_recur_MI_M) - AC39*p_Stroke - p_toHF_old - H39*rr_MI*rr_DM)</f>
        <v>1.2140322378455481E-2</v>
      </c>
      <c r="AX40">
        <f>AH39*T39*p_Stroke*p_Stroke_rec*I39 + AI39*T39*p_Stroke*p_Stroke_rec*I39 + AJ39*p_recur_Stroke*p_Stroke_rec*I39 + AK39*p_recur_Stroke*p_Stroke_rec*I39 + AL39*p_recur_Stroke*p_Stroke_rec*I39 + AV39*AC39*p_Stroke*p_Stroke_rec + AW39*AC39*p_Stroke*p_Stroke_rec + AX39*p_recur_Stroke*p_Stroke_rec + AY39*p_recur_Stroke*p_Stroke_rec + AZ39*p_recur_Stroke*p_Stroke_rec</f>
        <v>3.0252849901244924E-4</v>
      </c>
      <c r="AY40">
        <f>AF39*T39*p_MI*p_MI_rec_old*I39 + AG39*T39*p_MI*p_MI_rec_old*I39 + AJ39*(PREV_FEMALE*p_recur_MI_F+(1-PREV_FEMALE)*p_recur_MI_M)*p_MI_rec_old*I39 + AK39*(PREV_FEMALE*p_recur_MI_F+(1-PREV_FEMALE)*p_recur_MI_M)*p_MI_rec_old*I39 + AL39*(PREV_FEMALE*p_recur_MI_F+(1-PREV_FEMALE)*p_recur_MI_M)*p_MI_rec_old*I39 + AT39*AC39*p_MI*p_MI_rec_old + AU39*AC39*p_MI*p_MI_rec_old + AX39*(PREV_FEMALE*p_recur_MI_F+(1-PREV_FEMALE)*p_recur_MI_M)*p_MI_rec_old + AY39*(PREV_FEMALE*p_recur_MI_F+(1-PREV_FEMALE)*p_recur_MI_M)*p_MI_rec_old + AZ39*(PREV_FEMALE*p_recur_MI_F+(1-PREV_FEMALE)*p_recur_MI_M)*p_MI_rec_old</f>
        <v>2.5485144349018159E-4</v>
      </c>
      <c r="AZ40">
        <f>AJ39*(1-p_recur_Stroke-(PREV_FEMALE*p_recur_MI_F + (1-PREV_FEMALE)*p_recur_MI_M) - p_toHF_old - H39*rr_MI*rr_Stroke)*I39 + AK39*(1-p_recur_Stroke-(PREV_FEMALE*p_recur_MI_F + (1-PREV_FEMALE)*p_recur_MI_M) - p_toHF_old - H39*rr_MI*rr_Stroke)*I39 + AL39*(1-p_recur_Stroke-(PREV_FEMALE*p_recur_MI_F + (1-PREV_FEMALE)*p_recur_MI_M) - p_toHF_old - H39*rr_MI*rr_Stroke)*I39 + AX39*(1-p_recur_Stroke-(PREV_FEMALE*p_recur_MI_F + (1-PREV_FEMALE)*p_recur_MI_M) - p_toHF_old - H39*rr_MI*rr_Stroke*rr_DM) + AY39*(1-p_recur_Stroke-(PREV_FEMALE*p_recur_MI_F + (1-PREV_FEMALE)*p_recur_MI_M) - p_toHF_old - H39*rr_MI*rr_Stroke*rr_DM) + AZ39*(1-p_recur_Stroke-(PREV_FEMALE*p_recur_MI_F + (1-PREV_FEMALE)*p_recur_MI_M) - p_toHF_old - H39*rr_MI*rr_Stroke*rr_DM)</f>
        <v>6.0179705402724866E-4</v>
      </c>
      <c r="BA40">
        <f>AR39*AC39*p_MI*p_MI_HF_old + AD39*T39*p_MI*p_MI_HF_old*I39 + AE39*T39*p_MI*p_MI_HF_old*I39 + AH39*p_toHF_old*I39 + AH39*(PREV_FEMALE*p_recur_MI_F + (1-PREV_FEMALE)*p_recur_MI_M)*p_MI_HF_old*I39 + AI39*p_toHF_old*I39 + AI39*(PREV_FEMALE*p_recur_MI_F + (1-PREV_FEMALE)*p_recur_MI_M)*p_MI_HF_old*I39 + AS39*AC39*p_MI*p_MI_HF_old + AV39*(PREV_FEMALE*p_recur_MI_F + (1-PREV_FEMALE)*p_recur_MI_M)*p_MI_HF_old + AV39*p_toHF_old + AW39*(PREV_FEMALE*p_recur_MI_F + (1-PREV_FEMALE)*p_recur_MI_M)*p_MI_HF_old + AW39*p_toHF_old</f>
        <v>2.3720098964597047E-3</v>
      </c>
      <c r="BB40">
        <f>AM39*(1-T39*p_Stroke - H39*rr_HF)*I39 + AN39*(1-T39*p_Stroke - H39*rr_HF)*I39 + BA39*(1-AC39*p_Stroke - H39*rr_HF*rr_DM) + BB39*(1-AC39*p_Stroke - H39*rr_HF*rr_DM)</f>
        <v>2.6332791917052348E-2</v>
      </c>
      <c r="BC40">
        <f>AF39*T39*p_MI*p_MI_HF_old*I39 + AG39*T39*p_MI*p_MI_HF_old*I39 + AJ39*(PREV_FEMALE*p_recur_MI_F + (1-PREV_FEMALE)*p_recur_MI_M)*p_MI_HF_old*I39 + AJ39*p_toHF_old*I39 + AK39*(PREV_FEMALE*p_recur_MI_F + (1-PREV_FEMALE)*p_recur_MI_M)*p_MI_HF_old*I39 + AK39*p_toHF_old*I39 + AL39*(PREV_FEMALE*p_recur_MI_F + (1-PREV_FEMALE)*p_recur_MI_M)*p_MI_HF_old*I39 + AL39*p_toHF_old*I39 + AT39*AC39*p_MI*p_MI_HF_old + AU39*AC39*p_MI*p_MI_HF_old + AX39*(PREV_FEMALE*p_recur_MI_F + (1-PREV_FEMALE)*p_recur_MI_M)*p_MI_HF_old + AX39*p_toHF_old + AY39*(PREV_FEMALE*p_recur_MI_F + (1-PREV_FEMALE)*p_recur_MI_M)*p_MI_HF_old + AY39*p_toHF_old + AZ39*(PREV_FEMALE*p_recur_MI_F + (1-PREV_FEMALE)*p_recur_MI_M)*p_MI_HF_old + AZ39*p_toHF_old</f>
        <v>2.0964606069207262E-4</v>
      </c>
      <c r="BD40">
        <f>AM39*T39*p_Stroke*p_Stroke_rec*I39 + AN39*T39*p_Stroke*p_Stroke_rec*I39 + AO39*(p_recur_Stroke*p_Stroke_rec)*I39 + AP39*(p_recur_Stroke*p_Stroke_rec)*I39 + AQ39*(p_recur_Stroke*p_Stroke_rec)*I39 + BA39*AC39*p_Stroke*p_Stroke_rec + BB39*AC39*p_Stroke*p_Stroke_rec + BC39*(p_recur_Stroke*p_Stroke_rec) + BD39*(p_recur_Stroke*p_Stroke_rec) + BE39*(p_recur_Stroke*p_Stroke_rec)</f>
        <v>5.1609857453911463E-4</v>
      </c>
      <c r="BE40">
        <f>AO39*(1-p_recur_Stroke - H39*rr_Stroke*rr_HF)*I39 + AP39*(1-p_recur_Stroke-H39*rr_Stroke*rr_HF)*I39 + AQ39*(1-p_recur_Stroke-H39*rr_Stroke*rr_HF)*I39 + BC39*(1-p_recur_Stroke - H39*rr_Stroke*rr_HF*rr_DM) + BD39*(1-p_recur_Stroke-H39*rr_Stroke*rr_HF*rr_DM) + BE39*(1-p_recur_Stroke-H39*rr_Stroke*rr_HF*rr_DM)</f>
        <v>1.1829832552021009E-3</v>
      </c>
      <c r="BF40">
        <f>AD39*H39 + AE39*H39*rr_Other + AF39*H39*rr_Stroke + AG39*H39*rr_Stroke + AH39*H39*rr_MI + AI39*H39*rr_MI + AJ39*H39*rr_Stroke*rr_MI + AK39*H39*rr_Stroke*rr_MI + AL39*H39*rr_Stroke*rr_MI + AM39*H39*rr_HF + AN39*H39*rr_HF + AO39*H39*rr_Stroke*rr_HF + AP39*H39*rr_Stroke*rr_HF + AR39*H39*rr_DM + AS39*H39*rr_DM*rr_Other + AT39*H39*rr_DM*rr_Stroke + AU39*H39*rr_DM*rr_Stroke + AV39*H39*rr_DM*rr_MI + AW39*H39*rr_DM*rr_MI + AX39*H39*rr_DM*rr_Stroke*rr_MI + AY39*H39*rr_DM*rr_Stroke*rr_MI + AZ39*H39*rr_DM*rr_Stroke*rr_MI + BA39*H39*rr_DM*rr_HF + BB39*H39*rr_DM*rr_HF + BC39*H39*rr_DM*rr_Stroke*rr_HF + BD39*H39*rr_DM*rr_Stroke*rr_HF + AQ39*H39*rr_Stroke*rr_HF + BE39*H39*rr_DM*rr_Stroke*rr_HF
+ AD39*T39*p_MI*p_MI_mort + AD39*T39*p_Stroke*p_Stroke_mort + AE39*T39*p_MI*p_MI_mort + AE39*T39*p_Stroke*p_Stroke_mort + AF39*T39*p_MI*p_MI_mort + AF39*p_recur_Stroke*p_Stroke_mort + AG39*T39*p_MI*p_MI_mort + AG39*p_recur_Stroke*p_Stroke_mort + AH39*(PREV_FEMALE*p_recur_MI_F + (1-PREV_FEMALE)*p_recur_MI_M)*p_MI_mort + AH39*T39*p_Stroke*p_Stroke_mort + AI39*(PREV_FEMALE*p_recur_MI_F + (1-PREV_FEMALE)*p_recur_MI_M)*p_MI_mort + AI39*T39*p_Stroke*p_Stroke_mort + AJ39*(PREV_FEMALE*p_recur_MI_F + (1-PREV_FEMALE)*p_recur_MI_M)*p_MI_mort + AJ39*p_recur_Stroke*p_Stroke_mort + AK39*(PREV_FEMALE*p_recur_MI_F + (1-PREV_FEMALE)*p_recur_MI_M)*p_MI_mort + AK39*p_recur_Stroke*p_Stroke_mort + AL39*(PREV_FEMALE*p_recur_MI_F + (1-PREV_FEMALE)*p_recur_MI_M)*p_MI_mort + AL39*p_recur_Stroke*p_Stroke_mort + AM39*T39*p_Stroke*p_Stroke_mort + AN39*T39*p_Stroke*p_Stroke_mort + AO39*p_recur_Stroke*p_Stroke_mort + AP39*p_recur_Stroke*p_Stroke_mort + AQ39*p_recur_Stroke*p_Stroke_mort
+ AR39*AC39*p_MI*p_MI_mort + AR39*AC39*p_Stroke*p_Stroke_mort + AS39*AC39*p_MI*p_MI_mort + AS39*AC39*p_Stroke*p_Stroke_mort + AT39*AC39*p_MI*p_MI_mort + AT39*p_recur_Stroke*p_Stroke_mort + AU39*AC39*p_MI*p_MI_mort + AU39*p_recur_Stroke*p_Stroke_mort + AV39*(PREV_FEMALE*p_recur_MI_F + (1-PREV_FEMALE)*p_recur_MI_M)*p_MI_mort + AV39*AC39*p_Stroke*p_Stroke_mort + AW39*(PREV_FEMALE*p_recur_MI_F + (1-PREV_FEMALE)*p_recur_MI_M)*p_MI_mort + AW39*AC39*p_Stroke*p_Stroke_mort + AX39*(PREV_FEMALE*p_recur_MI_F + (1-PREV_FEMALE)*p_recur_MI_M)*p_MI_mort + AX39*p_recur_Stroke*p_Stroke_mort + AY39*(PREV_FEMALE*p_recur_MI_F + (1-PREV_FEMALE)*p_recur_MI_M)*p_MI_mort + AY39*p_recur_Stroke*p_Stroke_mort + AZ39*(PREV_FEMALE*p_recur_MI_F + (1-PREV_FEMALE)*p_recur_MI_M)*p_MI_mort + AZ39*p_recur_Stroke*p_Stroke_mort + BA39*AC39*p_Stroke*p_Stroke_mort + BB39*AC39*p_Stroke*p_Stroke_mort + BC39*p_recur_Stroke*p_Stroke_mort + BD39*p_recur_Stroke*p_Stroke_mort + BE39*p_recur_Stroke*p_Stroke_mort
+BF39</f>
        <v>0.54497571714023874</v>
      </c>
      <c r="BG40">
        <f t="shared" si="17"/>
        <v>0.94700000000000029</v>
      </c>
      <c r="BH40">
        <f>(0.9442 - 0.0007*$B40 - dis_BMI*($C40-21.75))*AD40</f>
        <v>4.1745630543460824E-2</v>
      </c>
      <c r="BI40">
        <f>0.959*(0.9442 - 0.0007*$B40 - dis_BMI*($C40-21.75))*AE40</f>
        <v>1.1703465610864263E-2</v>
      </c>
      <c r="BJ40">
        <f>(0.943*(0.9442 - 0.0007*$B40 - dis_BMI*($C40-21.75)) - 0.19*0.5)*AF40</f>
        <v>6.3363766843924205E-4</v>
      </c>
      <c r="BK40">
        <f>(0.943*(0.9442 - 0.0007*$B40 - dis_BMI*($C40-21.75)))*AG40</f>
        <v>2.6376793721461116E-3</v>
      </c>
      <c r="BL40">
        <f>(0.955*(0.9442 - 0.0007*$B40 - dis_BMI*($C40-21.75)) - 0.15*0.5)*AH40</f>
        <v>2.8349513044215353E-4</v>
      </c>
      <c r="BM40">
        <f>(0.955*(0.9442 - 0.0007*$B40 - dis_BMI*($C40-21.75)))*AI40</f>
        <v>1.4798970229447416E-3</v>
      </c>
      <c r="BN40">
        <f>(0.955*0.943*(0.9442 - 0.0007*$B40 - dis_BMI*($C40-21.75)) - 0.19*0.5)*AJ40</f>
        <v>1.8675889621462719E-5</v>
      </c>
      <c r="BO40">
        <f>(0.955*0.943*(0.9442 - 0.0007*$B40 - dis_BMI*($C40-21.75)) - 0.15*0.5)*AK40</f>
        <v>1.6591670283591076E-5</v>
      </c>
      <c r="BP40">
        <f>(0.955*0.943*(0.9442 - 0.0007*$B40 - dis_BMI*($C40-21.75)))*AL40</f>
        <v>4.7832515647960053E-5</v>
      </c>
      <c r="BQ40">
        <f>(0.93*(0.9442 - 0.0007*$B40 - dis_BMI*($C40-21.75)))*AM40</f>
        <v>2.7583972606013812E-4</v>
      </c>
      <c r="BR40">
        <f>(0.93*(0.9442 - 0.0007*$B40 - dis_BMI*($C40-21.75)))*AN40</f>
        <v>3.2253147632059762E-3</v>
      </c>
      <c r="BS40">
        <f>(0.93*0.943*(0.9442 - 0.0007*$B40 - dis_BMI*($C40-21.75)))*AO40</f>
        <v>1.4921960203012585E-5</v>
      </c>
      <c r="BT40">
        <f>(0.93*0.943*(0.9442 - 0.0007*$B40 - dis_BMI*($C40-21.75))-0.19*0.5)*AP40</f>
        <v>3.1974444014041526E-5</v>
      </c>
      <c r="BU40">
        <f>(0.93*0.943*(0.9442 - 0.0007*$B40 - dis_BMI*($C40-21.75)))*AQ40</f>
        <v>9.5020276494353382E-5</v>
      </c>
      <c r="BV40">
        <f>0.962*(0.9442 - 0.0007*$B40 - dis_BMI*($C40-21.75))*AR40</f>
        <v>0.13796744359172256</v>
      </c>
      <c r="BW40">
        <f>0.962*0.959*(0.9442 - 0.0007*$B40 - dis_BMI*($C40-21.75))*AS40</f>
        <v>6.4021612192145291E-2</v>
      </c>
      <c r="BX40">
        <f>0.962*(0.943*(0.9442 - 0.0007*$B40 - dis_BMI*($C40-21.75)) - 0.19*0.5)*AT40</f>
        <v>3.9592636433210806E-3</v>
      </c>
      <c r="BY40">
        <f>0.962*(0.943*(0.9442 - 0.0007*$B40 - dis_BMI*($C40-21.75)))*AU40</f>
        <v>1.5464425254645586E-2</v>
      </c>
      <c r="BZ40">
        <f>0.962*(0.955*(0.9442 - 0.0007*$B40 - dis_BMI*($C40-21.75)) - 0.15*0.5)*AV40</f>
        <v>1.8306758351456852E-3</v>
      </c>
      <c r="CA40">
        <f>0.962*(0.955*(0.9442 - 0.0007*$B40 - dis_BMI*($C40-21.75)))*AW40</f>
        <v>9.3571011607153972E-3</v>
      </c>
      <c r="CB40">
        <f>0.962*(0.955*0.943*(0.9442 - 0.0007*$B40 - dis_BMI*($C40-21.75)) - 0.19*0.5)*AX40</f>
        <v>1.9223362288773227E-4</v>
      </c>
      <c r="CC40">
        <f>0.962*(0.955*0.943*(0.9442 - 0.0007*$B40 - dis_BMI*($C40-21.75)) - 0.15*0.5)*AY40</f>
        <v>1.6684185811156971E-4</v>
      </c>
      <c r="CD40">
        <f>0.962*(0.955*0.943*(0.9442 - 0.0007*$B40 - dis_BMI*($C40-21.75)))*AZ40</f>
        <v>4.3739403453980517E-4</v>
      </c>
      <c r="CE40">
        <f>0.962*(0.93*(0.9442 - 0.0007*$B40 - dis_BMI*($C40-21.75)))*BA40</f>
        <v>1.7803573384996439E-3</v>
      </c>
      <c r="CF40">
        <f>0.962*(0.93*(0.9442 - 0.0007*$B40 - dis_BMI*($C40-21.75)))*BB40</f>
        <v>1.976457998876004E-2</v>
      </c>
      <c r="CG40">
        <f>0.962*(0.93*0.943*(0.9442 - 0.0007*$B40 - dis_BMI*($C40-21.75)))*BC40</f>
        <v>1.4838468579556958E-4</v>
      </c>
      <c r="CH40">
        <f>0.962*(0.93*0.943*(0.9442 - 0.0007*$B40 - dis_BMI*($C40-21.75))-0.19*0.5)*BD40</f>
        <v>3.1812143933971151E-4</v>
      </c>
      <c r="CI40">
        <f>0.962*(0.93*0.943*(0.9442 - 0.0007*$B40 - dis_BMI*($C40-21.75)))*BE40</f>
        <v>8.3729977107660221E-4</v>
      </c>
      <c r="CJ40">
        <f t="shared" si="18"/>
        <v>0</v>
      </c>
      <c r="CK40">
        <f t="shared" si="19"/>
        <v>0.3184557110105341</v>
      </c>
      <c r="CL40">
        <f>CK40/(1+r_)^A40</f>
        <v>0.10667722936224856</v>
      </c>
      <c r="CM40">
        <f>AD40*c_BN_2</f>
        <v>104.24671794134196</v>
      </c>
      <c r="CN40">
        <f>AE40*(c_Other+c_BN_2)</f>
        <v>238.18697038424227</v>
      </c>
      <c r="CO40">
        <f>AF40*(c_Stroke1+c_Stroke2+c_BN_2)</f>
        <v>23.585157878569355</v>
      </c>
      <c r="CP40">
        <f>AG40*(c_Stroke2 + c_BN_2)</f>
        <v>28.656525292375132</v>
      </c>
      <c r="CQ40">
        <f>AH40*(c_MI1+c_MI2 + c_BN_2)</f>
        <v>12.198016076060405</v>
      </c>
      <c r="CR40">
        <f>AI40*(c_MI2+c_BN_2)</f>
        <v>9.6271972523773339</v>
      </c>
      <c r="CS40">
        <f>AJ40*(c_Stroke1+c_Stroke2+c_MI2+c_BN_2)</f>
        <v>0.82074912184343218</v>
      </c>
      <c r="CT40">
        <f>AK40*(c_Stroke2+c_MI1+c_MI2+c_BN_2)</f>
        <v>0.92027621186602315</v>
      </c>
      <c r="CU40">
        <f>AL40*(c_Stroke2+c_MI2+c_BN_2)</f>
        <v>0.74149215383162548</v>
      </c>
      <c r="CV40">
        <f>AM40*(c_HF1+c_BN_2)</f>
        <v>10.29691520950994</v>
      </c>
      <c r="CW40">
        <f>AN40*(c_HF2+c_BN_2)</f>
        <v>73.169444938275774</v>
      </c>
      <c r="CX40">
        <f>AO40*(c_Stroke2+c_HF1+c_BN_2)</f>
        <v>0.72252594607996701</v>
      </c>
      <c r="CY40">
        <f>AP40*(c_Stroke1+c_Stroke2+c_HF2+c_BN_2)</f>
        <v>2.0717306805939235</v>
      </c>
      <c r="CZ40">
        <f>AQ40*(c_Stroke2+c_HF2+c_BN_2)</f>
        <v>3.1253909676999583</v>
      </c>
      <c r="DA40">
        <f>AR40*(c_DM+c_BN_2)</f>
        <v>2311.242820359183</v>
      </c>
      <c r="DB40">
        <f>AS40*(c_Other+c_DM+c_BN_2)</f>
        <v>2299.4789531707047</v>
      </c>
      <c r="DC40">
        <f>AT40*(c_Stroke1+c_Stroke2+c_DM+c_BN_2)</f>
        <v>220.73986060474266</v>
      </c>
      <c r="DD40">
        <f>AU40*(c_Stroke2+c_DM+c_BN_2)</f>
        <v>406.79764529114766</v>
      </c>
      <c r="DE40">
        <f>AV40*(c_MI1+c_MI2+c_DM+c_BN_2)</f>
        <v>111.81971141006659</v>
      </c>
      <c r="DF40">
        <f>AW40*(c_MI2+c_DM+c_BN_2)</f>
        <v>201.97854341036384</v>
      </c>
      <c r="DG40">
        <f>AX40*(c_Stroke1+c_Stroke2+c_MI2+c_DM+c_BN_2)</f>
        <v>12.238185370550609</v>
      </c>
      <c r="DH40">
        <f>AY40*(c_Stroke2+c_MI1+c_MI2+c_DM+c_BN_2)</f>
        <v>12.531300327855719</v>
      </c>
      <c r="DI40">
        <f>AZ40*(c_Stroke2+c_MI2+c_DM+c_BN_2)</f>
        <v>13.923778439028451</v>
      </c>
      <c r="DJ40">
        <f>BA40*(c_HF1+c_DM+c_BN_2)</f>
        <v>96.185001301441019</v>
      </c>
      <c r="DK40">
        <f>BB40*(c_HF2+c_DM+c_BN_2)</f>
        <v>766.94256458414964</v>
      </c>
      <c r="DL40">
        <f>BC40*(c_Stroke2+c_HF1+c_DM+c_BN_2)</f>
        <v>9.8638471555620164</v>
      </c>
      <c r="DM40">
        <f>BD40*(c_Stroke1+c_Stroke2+c_HF2+c_DM+c_BN_2)</f>
        <v>27.322774634675266</v>
      </c>
      <c r="DN40">
        <f>BE40*(c_Stroke2+c_HF2+c_DM+c_BN_2)</f>
        <v>42.143778466574844</v>
      </c>
      <c r="DO40">
        <f t="shared" si="5"/>
        <v>0</v>
      </c>
      <c r="DP40">
        <f t="shared" si="38"/>
        <v>7041.5778745807156</v>
      </c>
      <c r="DQ40">
        <f>DP40/(1+r_)^A40</f>
        <v>2358.8084371767909</v>
      </c>
    </row>
    <row r="41" spans="1:121" x14ac:dyDescent="0.3">
      <c r="A41">
        <v>38</v>
      </c>
      <c r="B41">
        <v>83</v>
      </c>
      <c r="C41">
        <f t="shared" si="39"/>
        <v>36.251999999999995</v>
      </c>
      <c r="D41">
        <f t="shared" si="1"/>
        <v>125</v>
      </c>
      <c r="E41">
        <f t="shared" si="40"/>
        <v>5.7</v>
      </c>
      <c r="F41">
        <v>5.9180000000000003E-2</v>
      </c>
      <c r="G41">
        <v>7.6550000000000007E-2</v>
      </c>
      <c r="H41">
        <f t="shared" si="3"/>
        <v>6.2654000000000001E-2</v>
      </c>
      <c r="I41">
        <f t="shared" si="20"/>
        <v>4.7655426853004217E-2</v>
      </c>
      <c r="J41">
        <f t="shared" si="21"/>
        <v>0.35484257791071849</v>
      </c>
      <c r="K41">
        <f t="shared" si="22"/>
        <v>0.45869947400905708</v>
      </c>
      <c r="L41">
        <f t="shared" si="23"/>
        <v>0.18736418058559245</v>
      </c>
      <c r="M41">
        <f t="shared" si="24"/>
        <v>0.25215762532789043</v>
      </c>
      <c r="N41">
        <f t="shared" si="25"/>
        <v>0.70453424965552491</v>
      </c>
      <c r="O41">
        <f t="shared" si="26"/>
        <v>0.8214201463348042</v>
      </c>
      <c r="P41">
        <f t="shared" si="27"/>
        <v>0.45103113109454451</v>
      </c>
      <c r="Q41">
        <f t="shared" si="28"/>
        <v>0.57146745561253498</v>
      </c>
      <c r="R41">
        <f>IF(C41&lt;25, HT_f_low, IF(C41&lt;30, HT_f_mod, HT_f_high))</f>
        <v>0.42</v>
      </c>
      <c r="S41">
        <f>IF(C41&lt;25, HT_m_low, IF(C41&lt;30, HT_m_mod, HT_m_high))</f>
        <v>0.43099999999999999</v>
      </c>
      <c r="T41">
        <f>PREV_FEMALE*PREV_SMOKE*(1-$R41)*(1-EXP(-J41/10))+PREV_FEMALE*PREV_SMOKE*$R41*(1-EXP(-K41/10))+PREV_FEMALE*(1-PREV_SMOKE)*(1-$R41)*(1-EXP(-L41/10))+PREV_FEMALE*(1-PREV_SMOKE)*$R41*(1-EXP(-M41/10))+(1-PREV_FEMALE)*PREV_SMOKE*(1-$S41)*(1-EXP(-N41/10))+(1-PREV_FEMALE)*PREV_SMOKE*$S41*(1-EXP(-O41/10))+(1-PREV_FEMALE)*(1-PREV_SMOKE)*(1-$S41)*(1-EXP(-P41/10))+(1-PREV_FEMALE)*(1-PREV_SMOKE)*$S41*(1-EXP(-Q41/10))</f>
        <v>2.9160160154094613E-2</v>
      </c>
      <c r="U41">
        <f t="shared" si="29"/>
        <v>0.61472229439916992</v>
      </c>
      <c r="V41">
        <f t="shared" si="30"/>
        <v>0.73704593747043179</v>
      </c>
      <c r="W41">
        <f t="shared" si="31"/>
        <v>0.36334253916002446</v>
      </c>
      <c r="X41">
        <f t="shared" si="32"/>
        <v>0.4686608609761056</v>
      </c>
      <c r="Y41">
        <f t="shared" si="33"/>
        <v>0.87440075906825321</v>
      </c>
      <c r="Z41">
        <f t="shared" si="34"/>
        <v>0.94668141280023044</v>
      </c>
      <c r="AA41">
        <f t="shared" si="35"/>
        <v>0.63958683220608981</v>
      </c>
      <c r="AB41">
        <f t="shared" si="36"/>
        <v>0.76353643778036928</v>
      </c>
      <c r="AC41">
        <f>PREV_FEMALE*PREV_SMOKE*(1-$R41)*(1-EXP(-U41/10))+PREV_FEMALE*PREV_SMOKE*$R41*(1-EXP(-V41/10))+PREV_FEMALE*(1-PREV_SMOKE)*(1-$R41)*(1-EXP(-W41/10))+PREV_FEMALE*(1-PREV_SMOKE)*$R41*(1-EXP(-X41/10))+(1-PREV_FEMALE)*PREV_SMOKE*(1-$S41)*(1-EXP(-Y41/10))+(1-PREV_FEMALE)*PREV_SMOKE*$S41*(1-EXP(-Z41/10))+(1-PREV_FEMALE)*(1-PREV_SMOKE)*(1-$S41)*(1-EXP(-AA41/10))+(1-PREV_FEMALE)*(1-PREV_SMOKE)*$S41*(1-EXP(-AB41/10))</f>
        <v>4.8268104274908102E-2</v>
      </c>
      <c r="AD41">
        <f t="shared" si="37"/>
        <v>4.3465430453390581E-2</v>
      </c>
      <c r="AE41">
        <f t="shared" si="6"/>
        <v>1.2985034017959623E-2</v>
      </c>
      <c r="AF41">
        <f t="shared" si="7"/>
        <v>8.1425044425414712E-4</v>
      </c>
      <c r="AG41">
        <f t="shared" si="8"/>
        <v>2.8436901913868715E-3</v>
      </c>
      <c r="AH41">
        <f>AD40*T40*p_MI*p_MI_rec_old*(1-I40)+AE40*T40*p_MI*p_MI_rec_old*(1-I40) + AH40*(PREV_FEMALE*p_recur_MI_F + (1-PREV_FEMALE)*p_recur_MI_M)*p_MI_rec_old*(1-I40) + AI40*(PREV_FEMALE*p_recur_MI_F + (1-PREV_FEMALE)*p_recur_MI_M)*p_MI_rec_old*(1-I40)</f>
        <v>3.5241485865478855E-4</v>
      </c>
      <c r="AI41">
        <f>AH40*(1-(PREV_FEMALE*p_recur_MI_F + (1-PREV_FEMALE)*p_recur_MI_M) - T40*p_Stroke - p_toHF_old - H40*rr_MI)*(1-I40) + AI40*(1-(PREV_FEMALE*p_recur_MI_F + (1-PREV_FEMALE)*p_recur_MI_M) - T40*p_Stroke - p_toHF_old - H40*rr_MI)*(1-I40)</f>
        <v>1.6054860193641476E-3</v>
      </c>
      <c r="AJ41">
        <f t="shared" si="11"/>
        <v>2.4997082513361288E-5</v>
      </c>
      <c r="AK41">
        <f>AF40*T40*p_MI*p_MI_rec_old*(1-I40) + AG40*T40*p_MI*p_MI_rec_old*(1-I40) + AJ40*(PREV_FEMALE*p_recur_MI_F + (1-PREV_FEMALE)*p_recur_MI_M)*p_MI_rec_old*(1-I40) + AK40*(PREV_FEMALE*p_recur_MI_F + (1-PREV_FEMALE)*p_recur_MI_M)*p_MI_rec_old*(1-I40) + AL40*(PREV_FEMALE*p_recur_MI_F + (1-PREV_FEMALE)*p_recur_MI_M)*p_MI_rec_old*(1-I40)</f>
        <v>2.1800791641843504E-5</v>
      </c>
      <c r="AL41">
        <f>AJ40*(1-p_recur_Stroke-(PREV_FEMALE*p_recur_MI_F + (1-PREV_FEMALE)*p_recur_MI_M) - p_toHF_old - H40*rr_MI*rr_Stroke)*(1-I40) + AK40*(1-p_recur_Stroke-(PREV_FEMALE*p_recur_MI_F + (1-PREV_FEMALE)*p_recur_MI_M) - p_toHF_old - H40*rr_MI*rr_Stroke)*(1-I40) + AL40*(1-p_recur_Stroke-(PREV_FEMALE*p_recur_MI_F + (1-PREV_FEMALE)*p_recur_MI_M) - p_toHF_old - H40*rr_MI*rr_Stroke)*(1-I40)</f>
        <v>5.0464043148979517E-5</v>
      </c>
      <c r="AM41">
        <f>AD40*T40*p_MI*p_MI_HF_old*(1-I40) + AE40*T40*p_MI*p_MI_HF_old*(1-I40) + AH40*p_toHF_old*(1-I40) + AH40*(PREV_FEMALE*p_recur_MI_F + (1-PREV_FEMALE)*p_recur_MI_M)*p_MI_HF_old*(1-I40) + AI40*p_toHF_old*(1-I40) + AI40*(PREV_FEMALE*p_recur_MI_F + (1-PREV_FEMALE)*p_recur_MI_M)*p_MI_HF_old*(1-I40)</f>
        <v>3.1532792807287486E-4</v>
      </c>
      <c r="AN41">
        <f t="shared" si="15"/>
        <v>3.8226388357232733E-3</v>
      </c>
      <c r="AO41">
        <f>AF40*T40*p_MI*p_MI_HF_old*(1-I40) + AG40*T40*p_MI*p_MI_HF_old*(1-I40) + AJ40*(PREV_FEMALE*p_recur_MI_F + (1-PREV_FEMALE)*p_recur_MI_M)*p_MI_HF_old*(1-I40) + AJ40*p_toHF_old*(1-I40) + AK40*(PREV_FEMALE*p_recur_MI_F + (1-PREV_FEMALE)*p_recur_MI_M)*p_MI_HF_old*(1-I40) + AK40*p_toHF_old*(1-I40) + AL40*(PREV_FEMALE*p_recur_MI_F + (1-PREV_FEMALE)*p_recur_MI_M)*p_MI_HF_old*(1-I40) + AL40*p_toHF_old*(1-I40)</f>
        <v>1.779619987380417E-5</v>
      </c>
      <c r="AP41">
        <f>AM40*T40*p_Stroke*p_Stroke_rec*(1-I40) + AN40*T40*p_Stroke*p_Stroke_rec*(1-I40) + AO40*(p_recur_Stroke*p_Stroke_rec)*(1-I40) + AP40*(p_recur_Stroke*p_Stroke_rec)*(1-I40) + AQ40*(p_recur_Stroke*p_Stroke_rec)*(1-I40)</f>
        <v>4.6637619889760543E-5</v>
      </c>
      <c r="AQ41">
        <f>AO40*(1-p_recur_Stroke-H40*rr_Stroke*rr_HF)*(1-I40) + AP40*(1-p_recur_Stroke-H40*rr_Stroke*rr_HF)*(1-I40) + AQ40*(1-p_recur_Stroke-H40*rr_Stroke*rr_HF)*(1-I40)</f>
        <v>1.0823962196943542E-4</v>
      </c>
      <c r="AR41">
        <f>AR40*(1-AC40-H40*rr_DM) + AD40*(1-T40-H40)*I40</f>
        <v>0.15435740187259947</v>
      </c>
      <c r="AS41">
        <f>AR40*AC40*p_Other + AD40*T40*p_Other*I40 + AE40*(1-T40*p_Stroke-T40*p_MI-H40*rr_Other)*I40 + AS40*(1-AC40*p_Stroke-AC40*p_MI-H40*rr_Other*rr_DM)</f>
        <v>7.6221343803492991E-2</v>
      </c>
      <c r="AT41">
        <f>AR40*AC40*p_Stroke*p_Stroke_rec + AD40*T40*p_Stroke*p_Stroke_rec*I40 + AE40*T40*p_Stroke*p_Stroke_rec*I40 + AF40*p_recur_Stroke*p_Stroke_rec*I40 + AG40*p_recur_Stroke*p_Stroke_rec*I40 + AS40*AC40*p_Stroke*p_Stroke_rec + AT40*p_recur_Stroke*p_Stroke_rec + AU40*p_recur_Stroke*p_Stroke_rec</f>
        <v>5.4723914217136753E-3</v>
      </c>
      <c r="AU41">
        <f>AF40*(1-p_recur_Stroke-T40*p_MI-H40*rr_Stroke)*I40 + AG40*(1-p_recur_Stroke-T40*p_MI-H40*rr_Stroke)*I40 + AT40*(1-p_recur_Stroke-AC40*p_MI-H40*rr_Stroke*rr_DM) + AU40*(1-p_recur_Stroke-AC40*p_MI-H40*rr_Stroke*rr_DM)</f>
        <v>1.7818471430818796E-2</v>
      </c>
      <c r="AV41">
        <f>AR40*AC40*p_MI*p_MI_rec_old + AD40*T40*p_MI*p_MI_rec_old*I40 + AE40*T40*p_MI*p_MI_rec_old*I40 +AH40*(PREV_FEMALE*p_recur_MI_F + (1-PREV_FEMALE)*p_recur_MI_M)*p_MI_rec_old*I40 + AI40*(PREV_FEMALE*p_recur_MI_F + (1-PREV_FEMALE)*p_recur_MI_M)*p_MI_rec_old*I40 + AS40*AC40*p_MI*p_MI_rec_old + AV40*(PREV_FEMALE*p_recur_MI_F + (1-PREV_FEMALE)*p_recur_MI_M)*p_MI_rec_old + AW40*(PREV_FEMALE*p_recur_MI_F + (1-PREV_FEMALE)*p_recur_MI_M)*p_MI_rec_old</f>
        <v>2.4496539627787122E-3</v>
      </c>
      <c r="AW41">
        <f>AH40*(1-(PREV_FEMALE*p_recur_MI_F + (1-PREV_FEMALE)*p_recur_MI_M) - T40*p_Stroke - p_toHF_old - H40*rr_MI)*I40 + AI40*(1-(PREV_FEMALE*p_recur_MI_F + (1-PREV_FEMALE)*p_recur_MI_M) - T40*p_Stroke - p_toHF_old - H40*rr_MI)*I40 + AV40*(1-(PREV_FEMALE*p_recur_MI_F + (1-PREV_FEMALE)*p_recur_MI_M) - AC40*p_Stroke - p_toHF_old - H40*rr_MI*rr_DM) + AW40*(1-(PREV_FEMALE*p_recur_MI_F + (1-PREV_FEMALE)*p_recur_MI_M) - AC40*p_Stroke - p_toHF_old - H40*rr_MI*rr_DM)</f>
        <v>1.0947490593409321E-2</v>
      </c>
      <c r="AX41">
        <f>AH40*T40*p_Stroke*p_Stroke_rec*I40 + AI40*T40*p_Stroke*p_Stroke_rec*I40 + AJ40*p_recur_Stroke*p_Stroke_rec*I40 + AK40*p_recur_Stroke*p_Stroke_rec*I40 + AL40*p_recur_Stroke*p_Stroke_rec*I40 + AV40*AC40*p_Stroke*p_Stroke_rec + AW40*AC40*p_Stroke*p_Stroke_rec + AX40*p_recur_Stroke*p_Stroke_rec + AY40*p_recur_Stroke*p_Stroke_rec + AZ40*p_recur_Stroke*p_Stroke_rec</f>
        <v>2.7677261660189573E-4</v>
      </c>
      <c r="AY41">
        <f>AF40*T40*p_MI*p_MI_rec_old*I40 + AG40*T40*p_MI*p_MI_rec_old*I40 + AJ40*(PREV_FEMALE*p_recur_MI_F+(1-PREV_FEMALE)*p_recur_MI_M)*p_MI_rec_old*I40 + AK40*(PREV_FEMALE*p_recur_MI_F+(1-PREV_FEMALE)*p_recur_MI_M)*p_MI_rec_old*I40 + AL40*(PREV_FEMALE*p_recur_MI_F+(1-PREV_FEMALE)*p_recur_MI_M)*p_MI_rec_old*I40 + AT40*AC40*p_MI*p_MI_rec_old + AU40*AC40*p_MI*p_MI_rec_old + AX40*(PREV_FEMALE*p_recur_MI_F+(1-PREV_FEMALE)*p_recur_MI_M)*p_MI_rec_old + AY40*(PREV_FEMALE*p_recur_MI_F+(1-PREV_FEMALE)*p_recur_MI_M)*p_MI_rec_old + AZ40*(PREV_FEMALE*p_recur_MI_F+(1-PREV_FEMALE)*p_recur_MI_M)*p_MI_rec_old</f>
        <v>2.348435223653942E-4</v>
      </c>
      <c r="AZ41">
        <f>AJ40*(1-p_recur_Stroke-(PREV_FEMALE*p_recur_MI_F + (1-PREV_FEMALE)*p_recur_MI_M) - p_toHF_old - H40*rr_MI*rr_Stroke)*I40 + AK40*(1-p_recur_Stroke-(PREV_FEMALE*p_recur_MI_F + (1-PREV_FEMALE)*p_recur_MI_M) - p_toHF_old - H40*rr_MI*rr_Stroke)*I40 + AL40*(1-p_recur_Stroke-(PREV_FEMALE*p_recur_MI_F + (1-PREV_FEMALE)*p_recur_MI_M) - p_toHF_old - H40*rr_MI*rr_Stroke)*I40 + AX40*(1-p_recur_Stroke-(PREV_FEMALE*p_recur_MI_F + (1-PREV_FEMALE)*p_recur_MI_M) - p_toHF_old - H40*rr_MI*rr_Stroke*rr_DM) + AY40*(1-p_recur_Stroke-(PREV_FEMALE*p_recur_MI_F + (1-PREV_FEMALE)*p_recur_MI_M) - p_toHF_old - H40*rr_MI*rr_Stroke*rr_DM) + AZ40*(1-p_recur_Stroke-(PREV_FEMALE*p_recur_MI_F + (1-PREV_FEMALE)*p_recur_MI_M) - p_toHF_old - H40*rr_MI*rr_Stroke*rr_DM)</f>
        <v>4.8543302724501138E-4</v>
      </c>
      <c r="BA41">
        <f>AR40*AC40*p_MI*p_MI_HF_old + AD40*T40*p_MI*p_MI_HF_old*I40 + AE40*T40*p_MI*p_MI_HF_old*I40 + AH40*p_toHF_old*I40 + AH40*(PREV_FEMALE*p_recur_MI_F + (1-PREV_FEMALE)*p_recur_MI_M)*p_MI_HF_old*I40 + AI40*p_toHF_old*I40 + AI40*(PREV_FEMALE*p_recur_MI_F + (1-PREV_FEMALE)*p_recur_MI_M)*p_MI_HF_old*I40 + AS40*AC40*p_MI*p_MI_HF_old + AV40*(PREV_FEMALE*p_recur_MI_F + (1-PREV_FEMALE)*p_recur_MI_M)*p_MI_HF_old + AV40*p_toHF_old + AW40*(PREV_FEMALE*p_recur_MI_F + (1-PREV_FEMALE)*p_recur_MI_M)*p_MI_HF_old + AW40*p_toHF_old</f>
        <v>2.19630978794621E-3</v>
      </c>
      <c r="BB41">
        <f>AM40*(1-T40*p_Stroke - H40*rr_HF)*I40 + AN40*(1-T40*p_Stroke - H40*rr_HF)*I40 + BA40*(1-AC40*p_Stroke - H40*rr_HF*rr_DM) + BB40*(1-AC40*p_Stroke - H40*rr_HF*rr_DM)</f>
        <v>2.5316739867716063E-2</v>
      </c>
      <c r="BC41">
        <f>AF40*T40*p_MI*p_MI_HF_old*I40 + AG40*T40*p_MI*p_MI_HF_old*I40 + AJ40*(PREV_FEMALE*p_recur_MI_F + (1-PREV_FEMALE)*p_recur_MI_M)*p_MI_HF_old*I40 + AJ40*p_toHF_old*I40 + AK40*(PREV_FEMALE*p_recur_MI_F + (1-PREV_FEMALE)*p_recur_MI_M)*p_MI_HF_old*I40 + AK40*p_toHF_old*I40 + AL40*(PREV_FEMALE*p_recur_MI_F + (1-PREV_FEMALE)*p_recur_MI_M)*p_MI_HF_old*I40 + AL40*p_toHF_old*I40 + AT40*AC40*p_MI*p_MI_HF_old + AU40*AC40*p_MI*p_MI_HF_old + AX40*(PREV_FEMALE*p_recur_MI_F + (1-PREV_FEMALE)*p_recur_MI_M)*p_MI_HF_old + AX40*p_toHF_old + AY40*(PREV_FEMALE*p_recur_MI_F + (1-PREV_FEMALE)*p_recur_MI_M)*p_MI_HF_old + AY40*p_toHF_old + AZ40*(PREV_FEMALE*p_recur_MI_F + (1-PREV_FEMALE)*p_recur_MI_M)*p_MI_HF_old + AZ40*p_toHF_old</f>
        <v>1.8970704400733744E-4</v>
      </c>
      <c r="BD41">
        <f>AM40*T40*p_Stroke*p_Stroke_rec*I40 + AN40*T40*p_Stroke*p_Stroke_rec*I40 + AO40*(p_recur_Stroke*p_Stroke_rec)*I40 + AP40*(p_recur_Stroke*p_Stroke_rec)*I40 + AQ40*(p_recur_Stroke*p_Stroke_rec)*I40 + BA40*AC40*p_Stroke*p_Stroke_rec + BB40*AC40*p_Stroke*p_Stroke_rec + BC40*(p_recur_Stroke*p_Stroke_rec) + BD40*(p_recur_Stroke*p_Stroke_rec) + BE40*(p_recur_Stroke*p_Stroke_rec)</f>
        <v>4.9998925643856391E-4</v>
      </c>
      <c r="BE41">
        <f>AO40*(1-p_recur_Stroke - H40*rr_Stroke*rr_HF)*I40 + AP40*(1-p_recur_Stroke-H40*rr_Stroke*rr_HF)*I40 + AQ40*(1-p_recur_Stroke-H40*rr_Stroke*rr_HF)*I40 + BC40*(1-p_recur_Stroke - H40*rr_Stroke*rr_HF*rr_DM) + BD40*(1-p_recur_Stroke-H40*rr_Stroke*rr_HF*rr_DM) + BE40*(1-p_recur_Stroke-H40*rr_Stroke*rr_HF*rr_DM)</f>
        <v>1.0050408237583313E-3</v>
      </c>
      <c r="BF41">
        <f>AD40*H40 + AE40*H40*rr_Other + AF40*H40*rr_Stroke + AG40*H40*rr_Stroke + AH40*H40*rr_MI + AI40*H40*rr_MI + AJ40*H40*rr_Stroke*rr_MI + AK40*H40*rr_Stroke*rr_MI + AL40*H40*rr_Stroke*rr_MI + AM40*H40*rr_HF + AN40*H40*rr_HF + AO40*H40*rr_Stroke*rr_HF + AP40*H40*rr_Stroke*rr_HF + AR40*H40*rr_DM + AS40*H40*rr_DM*rr_Other + AT40*H40*rr_DM*rr_Stroke + AU40*H40*rr_DM*rr_Stroke + AV40*H40*rr_DM*rr_MI + AW40*H40*rr_DM*rr_MI + AX40*H40*rr_DM*rr_Stroke*rr_MI + AY40*H40*rr_DM*rr_Stroke*rr_MI + AZ40*H40*rr_DM*rr_Stroke*rr_MI + BA40*H40*rr_DM*rr_HF + BB40*H40*rr_DM*rr_HF + BC40*H40*rr_DM*rr_Stroke*rr_HF + BD40*H40*rr_DM*rr_Stroke*rr_HF + AQ40*H40*rr_Stroke*rr_HF + BE40*H40*rr_DM*rr_Stroke*rr_HF
+ AD40*T40*p_MI*p_MI_mort + AD40*T40*p_Stroke*p_Stroke_mort + AE40*T40*p_MI*p_MI_mort + AE40*T40*p_Stroke*p_Stroke_mort + AF40*T40*p_MI*p_MI_mort + AF40*p_recur_Stroke*p_Stroke_mort + AG40*T40*p_MI*p_MI_mort + AG40*p_recur_Stroke*p_Stroke_mort + AH40*(PREV_FEMALE*p_recur_MI_F + (1-PREV_FEMALE)*p_recur_MI_M)*p_MI_mort + AH40*T40*p_Stroke*p_Stroke_mort + AI40*(PREV_FEMALE*p_recur_MI_F + (1-PREV_FEMALE)*p_recur_MI_M)*p_MI_mort + AI40*T40*p_Stroke*p_Stroke_mort + AJ40*(PREV_FEMALE*p_recur_MI_F + (1-PREV_FEMALE)*p_recur_MI_M)*p_MI_mort + AJ40*p_recur_Stroke*p_Stroke_mort + AK40*(PREV_FEMALE*p_recur_MI_F + (1-PREV_FEMALE)*p_recur_MI_M)*p_MI_mort + AK40*p_recur_Stroke*p_Stroke_mort + AL40*(PREV_FEMALE*p_recur_MI_F + (1-PREV_FEMALE)*p_recur_MI_M)*p_MI_mort + AL40*p_recur_Stroke*p_Stroke_mort + AM40*T40*p_Stroke*p_Stroke_mort + AN40*T40*p_Stroke*p_Stroke_mort + AO40*p_recur_Stroke*p_Stroke_mort + AP40*p_recur_Stroke*p_Stroke_mort + AQ40*p_recur_Stroke*p_Stroke_mort
+ AR40*AC40*p_MI*p_MI_mort + AR40*AC40*p_Stroke*p_Stroke_mort + AS40*AC40*p_MI*p_MI_mort + AS40*AC40*p_Stroke*p_Stroke_mort + AT40*AC40*p_MI*p_MI_mort + AT40*p_recur_Stroke*p_Stroke_mort + AU40*AC40*p_MI*p_MI_mort + AU40*p_recur_Stroke*p_Stroke_mort + AV40*(PREV_FEMALE*p_recur_MI_F + (1-PREV_FEMALE)*p_recur_MI_M)*p_MI_mort + AV40*AC40*p_Stroke*p_Stroke_mort + AW40*(PREV_FEMALE*p_recur_MI_F + (1-PREV_FEMALE)*p_recur_MI_M)*p_MI_mort + AW40*AC40*p_Stroke*p_Stroke_mort + AX40*(PREV_FEMALE*p_recur_MI_F + (1-PREV_FEMALE)*p_recur_MI_M)*p_MI_mort + AX40*p_recur_Stroke*p_Stroke_mort + AY40*(PREV_FEMALE*p_recur_MI_F + (1-PREV_FEMALE)*p_recur_MI_M)*p_MI_mort + AY40*p_recur_Stroke*p_Stroke_mort + AZ40*(PREV_FEMALE*p_recur_MI_F + (1-PREV_FEMALE)*p_recur_MI_M)*p_MI_mort + AZ40*p_recur_Stroke*p_Stroke_mort + BA40*AC40*p_Stroke*p_Stroke_mort + BB40*AC40*p_Stroke*p_Stroke_mort + BC40*p_recur_Stroke*p_Stroke_mort + BD40*p_recur_Stroke*p_Stroke_mort + BE40*p_recur_Stroke*p_Stroke_mort
+BF40</f>
        <v>0.58305420286126508</v>
      </c>
      <c r="BG41">
        <f t="shared" si="17"/>
        <v>0.94700000000000029</v>
      </c>
      <c r="BH41">
        <f>(0.9442 - 0.0007*$B41 - dis_BMI*($C41-21.75))*AD41</f>
        <v>3.6434610205713661E-2</v>
      </c>
      <c r="BI41">
        <f>0.959*(0.9442 - 0.0007*$B41 - dis_BMI*($C41-21.75))*AE41</f>
        <v>1.04383496826926E-2</v>
      </c>
      <c r="BJ41">
        <f>(0.943*(0.9442 - 0.0007*$B41 - dis_BMI*($C41-21.75)) - 0.19*0.5)*AF41</f>
        <v>5.662814851709057E-4</v>
      </c>
      <c r="BK41">
        <f>(0.943*(0.9442 - 0.0007*$B41 - dis_BMI*($C41-21.75)))*AG41</f>
        <v>2.2478333761040193E-3</v>
      </c>
      <c r="BL41">
        <f>(0.955*(0.9442 - 0.0007*$B41 - dis_BMI*($C41-21.75)) - 0.15*0.5)*AH41</f>
        <v>2.5568489061038134E-4</v>
      </c>
      <c r="BM41">
        <f>(0.955*(0.9442 - 0.0007*$B41 - dis_BMI*($C41-21.75)))*AI41</f>
        <v>1.2852275968456767E-3</v>
      </c>
      <c r="BN41">
        <f>(0.955*0.943*(0.9442 - 0.0007*$B41 - dis_BMI*($C41-21.75)) - 0.19*0.5)*AJ41</f>
        <v>1.6495391459984522E-5</v>
      </c>
      <c r="BO41">
        <f>(0.955*0.943*(0.9442 - 0.0007*$B41 - dis_BMI*($C41-21.75)) - 0.15*0.5)*AK41</f>
        <v>1.4822198383442501E-5</v>
      </c>
      <c r="BP41">
        <f>(0.955*0.943*(0.9442 - 0.0007*$B41 - dis_BMI*($C41-21.75)))*AL41</f>
        <v>3.8094936146627988E-5</v>
      </c>
      <c r="BQ41">
        <f>(0.93*(0.9442 - 0.0007*$B41 - dis_BMI*($C41-21.75)))*AM41</f>
        <v>2.4581904572476874E-4</v>
      </c>
      <c r="BR41">
        <f>(0.93*(0.9442 - 0.0007*$B41 - dis_BMI*($C41-21.75)))*AN41</f>
        <v>2.980000650404708E-3</v>
      </c>
      <c r="BS41">
        <f>(0.93*0.943*(0.9442 - 0.0007*$B41 - dis_BMI*($C41-21.75)))*AO41</f>
        <v>1.3082539621842732E-5</v>
      </c>
      <c r="BT41">
        <f>(0.93*0.943*(0.9442 - 0.0007*$B41 - dis_BMI*($C41-21.75))-0.19*0.5)*AP41</f>
        <v>2.9854189959093647E-5</v>
      </c>
      <c r="BU41">
        <f>(0.93*0.943*(0.9442 - 0.0007*$B41 - dis_BMI*($C41-21.75)))*AQ41</f>
        <v>7.9570310128558859E-5</v>
      </c>
      <c r="BV41">
        <f>0.962*(0.9442 - 0.0007*$B41 - dis_BMI*($C41-21.75))*AR41</f>
        <v>0.12447228857314169</v>
      </c>
      <c r="BW41">
        <f>0.962*0.959*(0.9442 - 0.0007*$B41 - dis_BMI*($C41-21.75))*AS41</f>
        <v>5.8944111145998374E-2</v>
      </c>
      <c r="BX41">
        <f>0.962*(0.943*(0.9442 - 0.0007*$B41 - dis_BMI*($C41-21.75)) - 0.19*0.5)*AT41</f>
        <v>3.6612263867657419E-3</v>
      </c>
      <c r="BY41">
        <f>0.962*(0.943*(0.9442 - 0.0007*$B41 - dis_BMI*($C41-21.75)))*AU41</f>
        <v>1.3549627391868423E-2</v>
      </c>
      <c r="BZ41">
        <f>0.962*(0.955*(0.9442 - 0.0007*$B41 - dis_BMI*($C41-21.75)) - 0.15*0.5)*AV41</f>
        <v>1.7097423377580767E-3</v>
      </c>
      <c r="CA41">
        <f>0.962*(0.955*(0.9442 - 0.0007*$B41 - dis_BMI*($C41-21.75)))*AW41</f>
        <v>8.4306909039283812E-3</v>
      </c>
      <c r="CB41">
        <f>0.962*(0.955*0.943*(0.9442 - 0.0007*$B41 - dis_BMI*($C41-21.75)) - 0.19*0.5)*AX41</f>
        <v>1.7569989189607666E-4</v>
      </c>
      <c r="CC41">
        <f>0.962*(0.955*0.943*(0.9442 - 0.0007*$B41 - dis_BMI*($C41-21.75)) - 0.15*0.5)*AY41</f>
        <v>1.5360099009393611E-4</v>
      </c>
      <c r="CD41">
        <f>0.962*(0.955*0.943*(0.9442 - 0.0007*$B41 - dis_BMI*($C41-21.75)))*AZ41</f>
        <v>3.5252473919186917E-4</v>
      </c>
      <c r="CE41">
        <f>0.962*(0.93*(0.9442 - 0.0007*$B41 - dis_BMI*($C41-21.75)))*BA41</f>
        <v>1.6471068004280782E-3</v>
      </c>
      <c r="CF41">
        <f>0.962*(0.93*(0.9442 - 0.0007*$B41 - dis_BMI*($C41-21.75)))*BB41</f>
        <v>1.8986107802113496E-2</v>
      </c>
      <c r="CG41">
        <f>0.962*(0.93*0.943*(0.9442 - 0.0007*$B41 - dis_BMI*($C41-21.75)))*BC41</f>
        <v>1.3416008135151822E-4</v>
      </c>
      <c r="CH41">
        <f>0.962*(0.93*0.943*(0.9442 - 0.0007*$B41 - dis_BMI*($C41-21.75))-0.19*0.5)*BD41</f>
        <v>3.0789643322439564E-4</v>
      </c>
      <c r="CI41">
        <f>0.962*(0.93*0.943*(0.9442 - 0.0007*$B41 - dis_BMI*($C41-21.75)))*BE41</f>
        <v>7.1076094924445426E-4</v>
      </c>
      <c r="CJ41">
        <f t="shared" si="18"/>
        <v>0</v>
      </c>
      <c r="CK41">
        <f t="shared" si="19"/>
        <v>0.28788127092597077</v>
      </c>
      <c r="CL41">
        <f>CK41/(1+r_)^A41</f>
        <v>9.3626518084634514E-2</v>
      </c>
      <c r="CM41">
        <f>AD41*c_BN_2</f>
        <v>91.060076799853263</v>
      </c>
      <c r="CN41">
        <f>AE41*(c_Other+c_BN_2)</f>
        <v>212.61694701007087</v>
      </c>
      <c r="CO41">
        <f>AF41*(c_Stroke1+c_Stroke2+c_BN_2)</f>
        <v>21.098043261069208</v>
      </c>
      <c r="CP41">
        <f>AG41*(c_Stroke2 + c_BN_2)</f>
        <v>24.44151719497016</v>
      </c>
      <c r="CQ41">
        <f>AH41*(c_MI1+c_MI2 + c_BN_2)</f>
        <v>11.011554673527524</v>
      </c>
      <c r="CR41">
        <f>AI41*(c_MI2+c_BN_2)</f>
        <v>8.3677931329259376</v>
      </c>
      <c r="CS41">
        <f>AJ41*(c_Stroke1+c_Stroke2+c_MI2+c_BN_2)</f>
        <v>0.7256153111978515</v>
      </c>
      <c r="CT41">
        <f>AK41*(c_Stroke2+c_MI1+c_MI2+c_BN_2)</f>
        <v>0.82289268131302484</v>
      </c>
      <c r="CU41">
        <f>AL41*(c_Stroke2+c_MI2+c_BN_2)</f>
        <v>0.59103487336084815</v>
      </c>
      <c r="CV41">
        <f>AM41*(c_HF1+c_BN_2)</f>
        <v>9.1839259051224804</v>
      </c>
      <c r="CW41">
        <f>AN41*(c_HF2+c_BN_2)</f>
        <v>67.660707392301944</v>
      </c>
      <c r="CX41">
        <f>AO41*(c_Stroke2+c_HF1+c_BN_2)</f>
        <v>0.63398962050427354</v>
      </c>
      <c r="CY41">
        <f>AP41*(c_Stroke1+c_Stroke2+c_HF2+c_BN_2)</f>
        <v>1.9362074273432988</v>
      </c>
      <c r="CZ41">
        <f>AQ41*(c_Stroke2+c_HF2+c_BN_2)</f>
        <v>2.6193988516603373</v>
      </c>
      <c r="DA41">
        <f>AR41*(c_DM+c_BN_2)</f>
        <v>2086.912073317545</v>
      </c>
      <c r="DB41">
        <f>AS41*(c_Other+c_DM+c_BN_2)</f>
        <v>2118.8771363933015</v>
      </c>
      <c r="DC41">
        <f>AT41*(c_Stroke1+c_Stroke2+c_DM+c_BN_2)</f>
        <v>204.31720612110178</v>
      </c>
      <c r="DD41">
        <f>AU41*(c_Stroke2+c_DM+c_BN_2)</f>
        <v>356.7257980449923</v>
      </c>
      <c r="DE41">
        <f>AV41*(c_MI1+c_MI2+c_DM+c_BN_2)</f>
        <v>104.52918424573043</v>
      </c>
      <c r="DF41">
        <f>AW41*(c_MI2+c_DM+c_BN_2)</f>
        <v>182.13340100255087</v>
      </c>
      <c r="DG41">
        <f>AX41*(c_Stroke1+c_Stroke2+c_MI2+c_DM+c_BN_2)</f>
        <v>11.196282659396488</v>
      </c>
      <c r="DH41">
        <f>AY41*(c_Stroke2+c_MI1+c_MI2+c_DM+c_BN_2)</f>
        <v>11.547490838228798</v>
      </c>
      <c r="DI41">
        <f>AZ41*(c_Stroke2+c_MI2+c_DM+c_BN_2)</f>
        <v>11.231463951367829</v>
      </c>
      <c r="DJ41">
        <f>BA41*(c_HF1+c_DM+c_BN_2)</f>
        <v>89.060361901218812</v>
      </c>
      <c r="DK41">
        <f>BB41*(c_HF2+c_DM+c_BN_2)</f>
        <v>737.35004864723032</v>
      </c>
      <c r="DL41">
        <f>BC41*(c_Stroke2+c_HF1+c_DM+c_BN_2)</f>
        <v>8.9257164205452266</v>
      </c>
      <c r="DM41">
        <f>BD41*(c_Stroke1+c_Stroke2+c_HF2+c_DM+c_BN_2)</f>
        <v>26.46993122511401</v>
      </c>
      <c r="DN41">
        <f>BE41*(c_Stroke2+c_HF2+c_DM+c_BN_2)</f>
        <v>35.804579346390554</v>
      </c>
      <c r="DO41">
        <f t="shared" si="5"/>
        <v>0</v>
      </c>
      <c r="DP41">
        <f t="shared" si="38"/>
        <v>6437.8503782499347</v>
      </c>
      <c r="DQ41">
        <f>DP41/(1+r_)^A41</f>
        <v>2093.7573080966004</v>
      </c>
    </row>
    <row r="42" spans="1:121" x14ac:dyDescent="0.3">
      <c r="A42">
        <v>39</v>
      </c>
      <c r="B42">
        <v>84</v>
      </c>
      <c r="C42">
        <f t="shared" si="39"/>
        <v>36.251999999999995</v>
      </c>
      <c r="D42">
        <f t="shared" si="1"/>
        <v>125</v>
      </c>
      <c r="E42">
        <f t="shared" si="40"/>
        <v>5.7</v>
      </c>
      <c r="F42">
        <v>6.4750000000000002E-2</v>
      </c>
      <c r="G42">
        <v>8.4409999999999999E-2</v>
      </c>
      <c r="H42">
        <f t="shared" si="3"/>
        <v>6.8682000000000007E-2</v>
      </c>
      <c r="I42">
        <f t="shared" si="20"/>
        <v>4.7655426853004217E-2</v>
      </c>
      <c r="J42">
        <f t="shared" si="21"/>
        <v>0.36414088570952619</v>
      </c>
      <c r="K42">
        <f t="shared" si="22"/>
        <v>0.46959374740884163</v>
      </c>
      <c r="L42">
        <f t="shared" si="23"/>
        <v>0.19292986366595233</v>
      </c>
      <c r="M42">
        <f t="shared" si="24"/>
        <v>0.2593209754036927</v>
      </c>
      <c r="N42">
        <f t="shared" si="25"/>
        <v>0.71790586424704028</v>
      </c>
      <c r="O42">
        <f t="shared" si="26"/>
        <v>0.83273198906199308</v>
      </c>
      <c r="P42">
        <f t="shared" si="27"/>
        <v>0.46339552681786111</v>
      </c>
      <c r="Q42">
        <f t="shared" si="28"/>
        <v>0.58504165316803503</v>
      </c>
      <c r="R42">
        <f>IF(C42&lt;25, HT_f_low, IF(C42&lt;30, HT_f_mod, HT_f_high))</f>
        <v>0.42</v>
      </c>
      <c r="S42">
        <f>IF(C42&lt;25, HT_m_low, IF(C42&lt;30, HT_m_mod, HT_m_high))</f>
        <v>0.43099999999999999</v>
      </c>
      <c r="T42">
        <f>PREV_FEMALE*PREV_SMOKE*(1-$R42)*(1-EXP(-J42/10))+PREV_FEMALE*PREV_SMOKE*$R42*(1-EXP(-K42/10))+PREV_FEMALE*(1-PREV_SMOKE)*(1-$R42)*(1-EXP(-L42/10))+PREV_FEMALE*(1-PREV_SMOKE)*$R42*(1-EXP(-M42/10))+(1-PREV_FEMALE)*PREV_SMOKE*(1-$S42)*(1-EXP(-N42/10))+(1-PREV_FEMALE)*PREV_SMOKE*$S42*(1-EXP(-O42/10))+(1-PREV_FEMALE)*(1-PREV_SMOKE)*(1-$S42)*(1-EXP(-P42/10))+(1-PREV_FEMALE)*(1-PREV_SMOKE)*$S42*(1-EXP(-Q42/10))</f>
        <v>2.9926045567199862E-2</v>
      </c>
      <c r="U42">
        <f t="shared" si="29"/>
        <v>0.62670454984321866</v>
      </c>
      <c r="V42">
        <f t="shared" si="30"/>
        <v>0.74842731368865034</v>
      </c>
      <c r="W42">
        <f t="shared" si="31"/>
        <v>0.37279394695815993</v>
      </c>
      <c r="X42">
        <f t="shared" si="32"/>
        <v>0.47967488695957683</v>
      </c>
      <c r="Y42">
        <f t="shared" si="33"/>
        <v>0.88391889781197686</v>
      </c>
      <c r="Z42">
        <f t="shared" si="34"/>
        <v>0.95229999849985314</v>
      </c>
      <c r="AA42">
        <f t="shared" si="35"/>
        <v>0.65329071705307729</v>
      </c>
      <c r="AB42">
        <f t="shared" si="36"/>
        <v>0.77614010016025692</v>
      </c>
      <c r="AC42">
        <f>PREV_FEMALE*PREV_SMOKE*(1-$R42)*(1-EXP(-U42/10))+PREV_FEMALE*PREV_SMOKE*$R42*(1-EXP(-V42/10))+PREV_FEMALE*(1-PREV_SMOKE)*(1-$R42)*(1-EXP(-W42/10))+PREV_FEMALE*(1-PREV_SMOKE)*$R42*(1-EXP(-X42/10))+(1-PREV_FEMALE)*PREV_SMOKE*(1-$S42)*(1-EXP(-Y42/10))+(1-PREV_FEMALE)*PREV_SMOKE*$S42*(1-EXP(-Z42/10))+(1-PREV_FEMALE)*(1-PREV_SMOKE)*(1-$S42)*(1-EXP(-AA42/10))+(1-PREV_FEMALE)*(1-PREV_SMOKE)*$S42*(1-EXP(-AB42/10))</f>
        <v>4.9290315016374715E-2</v>
      </c>
      <c r="AD42">
        <f t="shared" si="37"/>
        <v>3.7593505332098195E-2</v>
      </c>
      <c r="AE42">
        <f t="shared" si="6"/>
        <v>1.1395730075063726E-2</v>
      </c>
      <c r="AF42">
        <f t="shared" si="7"/>
        <v>7.1630823375794705E-4</v>
      </c>
      <c r="AG42">
        <f t="shared" si="8"/>
        <v>2.3600749624485781E-3</v>
      </c>
      <c r="AH42">
        <f>AD41*T41*p_MI*p_MI_rec_old*(1-I41)+AE41*T41*p_MI*p_MI_rec_old*(1-I41) + AH41*(PREV_FEMALE*p_recur_MI_F + (1-PREV_FEMALE)*p_recur_MI_M)*p_MI_rec_old*(1-I41) + AI41*(PREV_FEMALE*p_recur_MI_F + (1-PREV_FEMALE)*p_recur_MI_M)*p_MI_rec_old*(1-I41)</f>
        <v>3.1494958649883113E-4</v>
      </c>
      <c r="AI42">
        <f>AH41*(1-(PREV_FEMALE*p_recur_MI_F + (1-PREV_FEMALE)*p_recur_MI_M) - T41*p_Stroke - p_toHF_old - H41*rr_MI)*(1-I41) + AI41*(1-(PREV_FEMALE*p_recur_MI_F + (1-PREV_FEMALE)*p_recur_MI_M) - T41*p_Stroke - p_toHF_old - H41*rr_MI)*(1-I41)</f>
        <v>1.3801738710168009E-3</v>
      </c>
      <c r="AJ42">
        <f t="shared" si="11"/>
        <v>2.1731104794456088E-5</v>
      </c>
      <c r="AK42">
        <f>AF41*T41*p_MI*p_MI_rec_old*(1-I41) + AG41*T41*p_MI*p_MI_rec_old*(1-I41) + AJ41*(PREV_FEMALE*p_recur_MI_F + (1-PREV_FEMALE)*p_recur_MI_M)*p_MI_rec_old*(1-I41) + AK41*(PREV_FEMALE*p_recur_MI_F + (1-PREV_FEMALE)*p_recur_MI_M)*p_MI_rec_old*(1-I41) + AL41*(PREV_FEMALE*p_recur_MI_F + (1-PREV_FEMALE)*p_recur_MI_M)*p_MI_rec_old*(1-I41)</f>
        <v>1.9046153238218186E-5</v>
      </c>
      <c r="AL42">
        <f>AJ41*(1-p_recur_Stroke-(PREV_FEMALE*p_recur_MI_F + (1-PREV_FEMALE)*p_recur_MI_M) - p_toHF_old - H41*rr_MI*rr_Stroke)*(1-I41) + AK41*(1-p_recur_Stroke-(PREV_FEMALE*p_recur_MI_F + (1-PREV_FEMALE)*p_recur_MI_M) - p_toHF_old - H41*rr_MI*rr_Stroke)*(1-I41) + AL41*(1-p_recur_Stroke-(PREV_FEMALE*p_recur_MI_F + (1-PREV_FEMALE)*p_recur_MI_M) - p_toHF_old - H41*rr_MI*rr_Stroke)*(1-I41)</f>
        <v>3.853748887849567E-5</v>
      </c>
      <c r="AM42">
        <f>AD41*T41*p_MI*p_MI_HF_old*(1-I41) + AE41*T41*p_MI*p_MI_HF_old*(1-I41) + AH41*p_toHF_old*(1-I41) + AH41*(PREV_FEMALE*p_recur_MI_F + (1-PREV_FEMALE)*p_recur_MI_M)*p_MI_HF_old*(1-I41) + AI41*p_toHF_old*(1-I41) + AI41*(PREV_FEMALE*p_recur_MI_F + (1-PREV_FEMALE)*p_recur_MI_M)*p_MI_HF_old*(1-I41)</f>
        <v>2.7862550756867037E-4</v>
      </c>
      <c r="AN42">
        <f t="shared" si="15"/>
        <v>3.464972960347569E-3</v>
      </c>
      <c r="AO42">
        <f>AF41*T41*p_MI*p_MI_HF_old*(1-I41) + AG41*T41*p_MI*p_MI_HF_old*(1-I41) + AJ41*(PREV_FEMALE*p_recur_MI_F + (1-PREV_FEMALE)*p_recur_MI_M)*p_MI_HF_old*(1-I41) + AJ41*p_toHF_old*(1-I41) + AK41*(PREV_FEMALE*p_recur_MI_F + (1-PREV_FEMALE)*p_recur_MI_M)*p_MI_HF_old*(1-I41) + AK41*p_toHF_old*(1-I41) + AL41*(PREV_FEMALE*p_recur_MI_F + (1-PREV_FEMALE)*p_recur_MI_M)*p_MI_HF_old*(1-I41) + AL41*p_toHF_old*(1-I41)</f>
        <v>1.523893564334977E-5</v>
      </c>
      <c r="AP42">
        <f>AM41*T41*p_Stroke*p_Stroke_rec*(1-I41) + AN41*T41*p_Stroke*p_Stroke_rec*(1-I41) + AO41*(p_recur_Stroke*p_Stroke_rec)*(1-I41) + AP41*(p_recur_Stroke*p_Stroke_rec)*(1-I41) + AQ41*(p_recur_Stroke*p_Stroke_rec)*(1-I41)</f>
        <v>4.2470379978872699E-5</v>
      </c>
      <c r="AQ42">
        <f>AO41*(1-p_recur_Stroke-H41*rr_Stroke*rr_HF)*(1-I41) + AP41*(1-p_recur_Stroke-H41*rr_Stroke*rr_HF)*(1-I41) + AQ41*(1-p_recur_Stroke-H41*rr_Stroke*rr_HF)*(1-I41)</f>
        <v>8.6018548291326812E-5</v>
      </c>
      <c r="AR42">
        <f>AR41*(1-AC41-H41*rr_DM) + AD41*(1-T41-H41)*I41</f>
        <v>0.13766627087642236</v>
      </c>
      <c r="AS42">
        <f>AR41*AC41*p_Other + AD41*T41*p_Other*I41 + AE41*(1-T41*p_Stroke-T41*p_MI-H41*rr_Other)*I41 + AS41*(1-AC41*p_Stroke-AC41*p_MI-H41*rr_Other*rr_DM)</f>
        <v>6.87991820489567E-2</v>
      </c>
      <c r="AT42">
        <f>AR41*AC41*p_Stroke*p_Stroke_rec + AD41*T41*p_Stroke*p_Stroke_rec*I41 + AE41*T41*p_Stroke*p_Stroke_rec*I41 + AF41*p_recur_Stroke*p_Stroke_rec*I41 + AG41*p_recur_Stroke*p_Stroke_rec*I41 + AS41*AC41*p_Stroke*p_Stroke_rec + AT41*p_recur_Stroke*p_Stroke_rec + AU41*p_recur_Stroke*p_Stroke_rec</f>
        <v>4.9621785371478499E-3</v>
      </c>
      <c r="AU42">
        <f>AF41*(1-p_recur_Stroke-T41*p_MI-H41*rr_Stroke)*I41 + AG41*(1-p_recur_Stroke-T41*p_MI-H41*rr_Stroke)*I41 + AT41*(1-p_recur_Stroke-AC41*p_MI-H41*rr_Stroke*rr_DM) + AU41*(1-p_recur_Stroke-AC41*p_MI-H41*rr_Stroke*rr_DM)</f>
        <v>1.5114105481477579E-2</v>
      </c>
      <c r="AV42">
        <f>AR41*AC41*p_MI*p_MI_rec_old + AD41*T41*p_MI*p_MI_rec_old*I41 + AE41*T41*p_MI*p_MI_rec_old*I41 +AH41*(PREV_FEMALE*p_recur_MI_F + (1-PREV_FEMALE)*p_recur_MI_M)*p_MI_rec_old*I41 + AI41*(PREV_FEMALE*p_recur_MI_F + (1-PREV_FEMALE)*p_recur_MI_M)*p_MI_rec_old*I41 + AS41*AC41*p_MI*p_MI_rec_old + AV41*(PREV_FEMALE*p_recur_MI_F + (1-PREV_FEMALE)*p_recur_MI_M)*p_MI_rec_old + AW41*(PREV_FEMALE*p_recur_MI_F + (1-PREV_FEMALE)*p_recur_MI_M)*p_MI_rec_old</f>
        <v>2.2594487081458443E-3</v>
      </c>
      <c r="AW42">
        <f>AH41*(1-(PREV_FEMALE*p_recur_MI_F + (1-PREV_FEMALE)*p_recur_MI_M) - T41*p_Stroke - p_toHF_old - H41*rr_MI)*I41 + AI41*(1-(PREV_FEMALE*p_recur_MI_F + (1-PREV_FEMALE)*p_recur_MI_M) - T41*p_Stroke - p_toHF_old - H41*rr_MI)*I41 + AV41*(1-(PREV_FEMALE*p_recur_MI_F + (1-PREV_FEMALE)*p_recur_MI_M) - AC41*p_Stroke - p_toHF_old - H41*rr_MI*rr_DM) + AW41*(1-(PREV_FEMALE*p_recur_MI_F + (1-PREV_FEMALE)*p_recur_MI_M) - AC41*p_Stroke - p_toHF_old - H41*rr_MI*rr_DM)</f>
        <v>9.7278160438489525E-3</v>
      </c>
      <c r="AX42">
        <f>AH41*T41*p_Stroke*p_Stroke_rec*I41 + AI41*T41*p_Stroke*p_Stroke_rec*I41 + AJ41*p_recur_Stroke*p_Stroke_rec*I41 + AK41*p_recur_Stroke*p_Stroke_rec*I41 + AL41*p_recur_Stroke*p_Stroke_rec*I41 + AV41*AC41*p_Stroke*p_Stroke_rec + AW41*AC41*p_Stroke*p_Stroke_rec + AX41*p_recur_Stroke*p_Stroke_rec + AY41*p_recur_Stroke*p_Stroke_rec + AZ41*p_recur_Stroke*p_Stroke_rec</f>
        <v>2.4799380423803767E-4</v>
      </c>
      <c r="AY42">
        <f>AF41*T41*p_MI*p_MI_rec_old*I41 + AG41*T41*p_MI*p_MI_rec_old*I41 + AJ41*(PREV_FEMALE*p_recur_MI_F+(1-PREV_FEMALE)*p_recur_MI_M)*p_MI_rec_old*I41 + AK41*(PREV_FEMALE*p_recur_MI_F+(1-PREV_FEMALE)*p_recur_MI_M)*p_MI_rec_old*I41 + AL41*(PREV_FEMALE*p_recur_MI_F+(1-PREV_FEMALE)*p_recur_MI_M)*p_MI_rec_old*I41 + AT41*AC41*p_MI*p_MI_rec_old + AU41*AC41*p_MI*p_MI_rec_old + AX41*(PREV_FEMALE*p_recur_MI_F+(1-PREV_FEMALE)*p_recur_MI_M)*p_MI_rec_old + AY41*(PREV_FEMALE*p_recur_MI_F+(1-PREV_FEMALE)*p_recur_MI_M)*p_MI_rec_old + AZ41*(PREV_FEMALE*p_recur_MI_F+(1-PREV_FEMALE)*p_recur_MI_M)*p_MI_rec_old</f>
        <v>2.1037978686892523E-4</v>
      </c>
      <c r="AZ42">
        <f>AJ41*(1-p_recur_Stroke-(PREV_FEMALE*p_recur_MI_F + (1-PREV_FEMALE)*p_recur_MI_M) - p_toHF_old - H41*rr_MI*rr_Stroke)*I41 + AK41*(1-p_recur_Stroke-(PREV_FEMALE*p_recur_MI_F + (1-PREV_FEMALE)*p_recur_MI_M) - p_toHF_old - H41*rr_MI*rr_Stroke)*I41 + AL41*(1-p_recur_Stroke-(PREV_FEMALE*p_recur_MI_F + (1-PREV_FEMALE)*p_recur_MI_M) - p_toHF_old - H41*rr_MI*rr_Stroke)*I41 + AX41*(1-p_recur_Stroke-(PREV_FEMALE*p_recur_MI_F + (1-PREV_FEMALE)*p_recur_MI_M) - p_toHF_old - H41*rr_MI*rr_Stroke*rr_DM) + AY41*(1-p_recur_Stroke-(PREV_FEMALE*p_recur_MI_F + (1-PREV_FEMALE)*p_recur_MI_M) - p_toHF_old - H41*rr_MI*rr_Stroke*rr_DM) + AZ41*(1-p_recur_Stroke-(PREV_FEMALE*p_recur_MI_F + (1-PREV_FEMALE)*p_recur_MI_M) - p_toHF_old - H41*rr_MI*rr_Stroke*rr_DM)</f>
        <v>3.7041141472601369E-4</v>
      </c>
      <c r="BA42">
        <f>AR41*AC41*p_MI*p_MI_HF_old + AD41*T41*p_MI*p_MI_HF_old*I41 + AE41*T41*p_MI*p_MI_HF_old*I41 + AH41*p_toHF_old*I41 + AH41*(PREV_FEMALE*p_recur_MI_F + (1-PREV_FEMALE)*p_recur_MI_M)*p_MI_HF_old*I41 + AI41*p_toHF_old*I41 + AI41*(PREV_FEMALE*p_recur_MI_F + (1-PREV_FEMALE)*p_recur_MI_M)*p_MI_HF_old*I41 + AS41*AC41*p_MI*p_MI_HF_old + AV41*(PREV_FEMALE*p_recur_MI_F + (1-PREV_FEMALE)*p_recur_MI_M)*p_MI_HF_old + AV41*p_toHF_old + AW41*(PREV_FEMALE*p_recur_MI_F + (1-PREV_FEMALE)*p_recur_MI_M)*p_MI_HF_old + AW41*p_toHF_old</f>
        <v>2.0079663832488276E-3</v>
      </c>
      <c r="BB42">
        <f>AM41*(1-T41*p_Stroke - H41*rr_HF)*I41 + AN41*(1-T41*p_Stroke - H41*rr_HF)*I41 + BA41*(1-AC41*p_Stroke - H41*rr_HF*rr_DM) + BB41*(1-AC41*p_Stroke - H41*rr_HF*rr_DM)</f>
        <v>2.3773077780785735E-2</v>
      </c>
      <c r="BC42">
        <f>AF41*T41*p_MI*p_MI_HF_old*I41 + AG41*T41*p_MI*p_MI_HF_old*I41 + AJ41*(PREV_FEMALE*p_recur_MI_F + (1-PREV_FEMALE)*p_recur_MI_M)*p_MI_HF_old*I41 + AJ41*p_toHF_old*I41 + AK41*(PREV_FEMALE*p_recur_MI_F + (1-PREV_FEMALE)*p_recur_MI_M)*p_MI_HF_old*I41 + AK41*p_toHF_old*I41 + AL41*(PREV_FEMALE*p_recur_MI_F + (1-PREV_FEMALE)*p_recur_MI_M)*p_MI_HF_old*I41 + AL41*p_toHF_old*I41 + AT41*AC41*p_MI*p_MI_HF_old + AU41*AC41*p_MI*p_MI_HF_old + AX41*(PREV_FEMALE*p_recur_MI_F + (1-PREV_FEMALE)*p_recur_MI_M)*p_MI_HF_old + AX41*p_toHF_old + AY41*(PREV_FEMALE*p_recur_MI_F + (1-PREV_FEMALE)*p_recur_MI_M)*p_MI_HF_old + AY41*p_toHF_old + AZ41*(PREV_FEMALE*p_recur_MI_F + (1-PREV_FEMALE)*p_recur_MI_M)*p_MI_HF_old + AZ41*p_toHF_old</f>
        <v>1.6660986506973968E-4</v>
      </c>
      <c r="BD42">
        <f>AM41*T41*p_Stroke*p_Stroke_rec*I41 + AN41*T41*p_Stroke*p_Stroke_rec*I41 + AO41*(p_recur_Stroke*p_Stroke_rec)*I41 + AP41*(p_recur_Stroke*p_Stroke_rec)*I41 + AQ41*(p_recur_Stroke*p_Stroke_rec)*I41 + BA41*AC41*p_Stroke*p_Stroke_rec + BB41*AC41*p_Stroke*p_Stroke_rec + BC41*(p_recur_Stroke*p_Stroke_rec) + BD41*(p_recur_Stroke*p_Stroke_rec) + BE41*(p_recur_Stroke*p_Stroke_rec)</f>
        <v>4.7022958281920751E-4</v>
      </c>
      <c r="BE42">
        <f>AO41*(1-p_recur_Stroke - H41*rr_Stroke*rr_HF)*I41 + AP41*(1-p_recur_Stroke-H41*rr_Stroke*rr_HF)*I41 + AQ41*(1-p_recur_Stroke-H41*rr_Stroke*rr_HF)*I41 + BC41*(1-p_recur_Stroke - H41*rr_Stroke*rr_HF*rr_DM) + BD41*(1-p_recur_Stroke-H41*rr_Stroke*rr_HF*rr_DM) + BE41*(1-p_recur_Stroke-H41*rr_Stroke*rr_HF*rr_DM)</f>
        <v>8.0006481688363329E-4</v>
      </c>
      <c r="BF42">
        <f>AD41*H41 + AE41*H41*rr_Other + AF41*H41*rr_Stroke + AG41*H41*rr_Stroke + AH41*H41*rr_MI + AI41*H41*rr_MI + AJ41*H41*rr_Stroke*rr_MI + AK41*H41*rr_Stroke*rr_MI + AL41*H41*rr_Stroke*rr_MI + AM41*H41*rr_HF + AN41*H41*rr_HF + AO41*H41*rr_Stroke*rr_HF + AP41*H41*rr_Stroke*rr_HF + AR41*H41*rr_DM + AS41*H41*rr_DM*rr_Other + AT41*H41*rr_DM*rr_Stroke + AU41*H41*rr_DM*rr_Stroke + AV41*H41*rr_DM*rr_MI + AW41*H41*rr_DM*rr_MI + AX41*H41*rr_DM*rr_Stroke*rr_MI + AY41*H41*rr_DM*rr_Stroke*rr_MI + AZ41*H41*rr_DM*rr_Stroke*rr_MI + BA41*H41*rr_DM*rr_HF + BB41*H41*rr_DM*rr_HF + BC41*H41*rr_DM*rr_Stroke*rr_HF + BD41*H41*rr_DM*rr_Stroke*rr_HF + AQ41*H41*rr_Stroke*rr_HF + BE41*H41*rr_DM*rr_Stroke*rr_HF
+ AD41*T41*p_MI*p_MI_mort + AD41*T41*p_Stroke*p_Stroke_mort + AE41*T41*p_MI*p_MI_mort + AE41*T41*p_Stroke*p_Stroke_mort + AF41*T41*p_MI*p_MI_mort + AF41*p_recur_Stroke*p_Stroke_mort + AG41*T41*p_MI*p_MI_mort + AG41*p_recur_Stroke*p_Stroke_mort + AH41*(PREV_FEMALE*p_recur_MI_F + (1-PREV_FEMALE)*p_recur_MI_M)*p_MI_mort + AH41*T41*p_Stroke*p_Stroke_mort + AI41*(PREV_FEMALE*p_recur_MI_F + (1-PREV_FEMALE)*p_recur_MI_M)*p_MI_mort + AI41*T41*p_Stroke*p_Stroke_mort + AJ41*(PREV_FEMALE*p_recur_MI_F + (1-PREV_FEMALE)*p_recur_MI_M)*p_MI_mort + AJ41*p_recur_Stroke*p_Stroke_mort + AK41*(PREV_FEMALE*p_recur_MI_F + (1-PREV_FEMALE)*p_recur_MI_M)*p_MI_mort + AK41*p_recur_Stroke*p_Stroke_mort + AL41*(PREV_FEMALE*p_recur_MI_F + (1-PREV_FEMALE)*p_recur_MI_M)*p_MI_mort + AL41*p_recur_Stroke*p_Stroke_mort + AM41*T41*p_Stroke*p_Stroke_mort + AN41*T41*p_Stroke*p_Stroke_mort + AO41*p_recur_Stroke*p_Stroke_mort + AP41*p_recur_Stroke*p_Stroke_mort + AQ41*p_recur_Stroke*p_Stroke_mort
+ AR41*AC41*p_MI*p_MI_mort + AR41*AC41*p_Stroke*p_Stroke_mort + AS41*AC41*p_MI*p_MI_mort + AS41*AC41*p_Stroke*p_Stroke_mort + AT41*AC41*p_MI*p_MI_mort + AT41*p_recur_Stroke*p_Stroke_mort + AU41*AC41*p_MI*p_MI_mort + AU41*p_recur_Stroke*p_Stroke_mort + AV41*(PREV_FEMALE*p_recur_MI_F + (1-PREV_FEMALE)*p_recur_MI_M)*p_MI_mort + AV41*AC41*p_Stroke*p_Stroke_mort + AW41*(PREV_FEMALE*p_recur_MI_F + (1-PREV_FEMALE)*p_recur_MI_M)*p_MI_mort + AW41*AC41*p_Stroke*p_Stroke_mort + AX41*(PREV_FEMALE*p_recur_MI_F + (1-PREV_FEMALE)*p_recur_MI_M)*p_MI_mort + AX41*p_recur_Stroke*p_Stroke_mort + AY41*(PREV_FEMALE*p_recur_MI_F + (1-PREV_FEMALE)*p_recur_MI_M)*p_MI_mort + AY41*p_recur_Stroke*p_Stroke_mort + AZ41*(PREV_FEMALE*p_recur_MI_F + (1-PREV_FEMALE)*p_recur_MI_M)*p_MI_mort + AZ41*p_recur_Stroke*p_Stroke_mort + BA41*AC41*p_Stroke*p_Stroke_mort + BB41*AC41*p_Stroke*p_Stroke_mort + BC41*p_recur_Stroke*p_Stroke_mort + BD41*p_recur_Stroke*p_Stroke_mort + BE41*p_recur_Stroke*p_Stroke_mort
+BF41</f>
        <v>0.62269688172973592</v>
      </c>
      <c r="BG42">
        <f t="shared" si="17"/>
        <v>0.9470000000000004</v>
      </c>
      <c r="BH42">
        <f>(0.9442 - 0.0007*$B42 - dis_BMI*($C42-21.75))*AD42</f>
        <v>3.1486192273763654E-2</v>
      </c>
      <c r="BI42">
        <f>0.959*(0.9442 - 0.0007*$B42 - dis_BMI*($C42-21.75))*AE42</f>
        <v>9.1530973535365323E-3</v>
      </c>
      <c r="BJ42">
        <f>(0.943*(0.9442 - 0.0007*$B42 - dis_BMI*($C42-21.75)) - 0.19*0.5)*AF42</f>
        <v>4.9769341503029215E-4</v>
      </c>
      <c r="BK42">
        <f>(0.943*(0.9442 - 0.0007*$B42 - dis_BMI*($C42-21.75)))*AG42</f>
        <v>1.8639952914307233E-3</v>
      </c>
      <c r="BL42">
        <f>(0.955*(0.9442 - 0.0007*$B42 - dis_BMI*($C42-21.75)) - 0.15*0.5)*AH42</f>
        <v>2.2829245087969567E-4</v>
      </c>
      <c r="BM42">
        <f>(0.955*(0.9442 - 0.0007*$B42 - dis_BMI*($C42-21.75)))*AI42</f>
        <v>1.1039375182790572E-3</v>
      </c>
      <c r="BN42">
        <f>(0.955*0.943*(0.9442 - 0.0007*$B42 - dis_BMI*($C42-21.75)) - 0.19*0.5)*AJ42</f>
        <v>1.4326497520319569E-5</v>
      </c>
      <c r="BO42">
        <f>(0.955*0.943*(0.9442 - 0.0007*$B42 - dis_BMI*($C42-21.75)) - 0.15*0.5)*AK42</f>
        <v>1.2937333321852214E-5</v>
      </c>
      <c r="BP42">
        <f>(0.955*0.943*(0.9442 - 0.0007*$B42 - dis_BMI*($C42-21.75)))*AL42</f>
        <v>2.9067373919478166E-5</v>
      </c>
      <c r="BQ42">
        <f>(0.93*(0.9442 - 0.0007*$B42 - dis_BMI*($C42-21.75)))*AM42</f>
        <v>2.1702568809028465E-4</v>
      </c>
      <c r="BR42">
        <f>(0.93*(0.9442 - 0.0007*$B42 - dis_BMI*($C42-21.75)))*AN42</f>
        <v>2.6989206677293389E-3</v>
      </c>
      <c r="BS42">
        <f>(0.93*0.943*(0.9442 - 0.0007*$B42 - dis_BMI*($C42-21.75)))*AO42</f>
        <v>1.1193260131965825E-5</v>
      </c>
      <c r="BT42">
        <f>(0.93*0.943*(0.9442 - 0.0007*$B42 - dis_BMI*($C42-21.75))-0.19*0.5)*AP42</f>
        <v>2.7160537907983571E-5</v>
      </c>
      <c r="BU42">
        <f>(0.93*0.943*(0.9442 - 0.0007*$B42 - dis_BMI*($C42-21.75)))*AQ42</f>
        <v>6.3182102066233265E-5</v>
      </c>
      <c r="BV42">
        <f>0.962*(0.9442 - 0.0007*$B42 - dis_BMI*($C42-21.75))*AR42</f>
        <v>0.11092002046530369</v>
      </c>
      <c r="BW42">
        <f>0.962*0.959*(0.9442 - 0.0007*$B42 - dis_BMI*($C42-21.75))*AS42</f>
        <v>5.3159914628037569E-2</v>
      </c>
      <c r="BX42">
        <f>0.962*(0.943*(0.9442 - 0.0007*$B42 - dis_BMI*($C42-21.75)) - 0.19*0.5)*AT42</f>
        <v>3.3167245803634258E-3</v>
      </c>
      <c r="BY42">
        <f>0.962*(0.943*(0.9442 - 0.0007*$B42 - dis_BMI*($C42-21.75)))*AU42</f>
        <v>1.1483559746076863E-2</v>
      </c>
      <c r="BZ42">
        <f>0.962*(0.955*(0.9442 - 0.0007*$B42 - dis_BMI*($C42-21.75)) - 0.15*0.5)*AV42</f>
        <v>1.5755350422061109E-3</v>
      </c>
      <c r="CA42">
        <f>0.962*(0.955*(0.9442 - 0.0007*$B42 - dis_BMI*($C42-21.75)))*AW42</f>
        <v>7.4851604401447343E-3</v>
      </c>
      <c r="CB42">
        <f>0.962*(0.955*0.943*(0.9442 - 0.0007*$B42 - dis_BMI*($C42-21.75)) - 0.19*0.5)*AX42</f>
        <v>1.5728022639359401E-4</v>
      </c>
      <c r="CC42">
        <f>0.962*(0.955*0.943*(0.9442 - 0.0007*$B42 - dis_BMI*($C42-21.75)) - 0.15*0.5)*AY42</f>
        <v>1.3747273603927646E-4</v>
      </c>
      <c r="CD42">
        <f>0.962*(0.955*0.943*(0.9442 - 0.0007*$B42 - dis_BMI*($C42-21.75)))*AZ42</f>
        <v>2.6877063575411324E-4</v>
      </c>
      <c r="CE42">
        <f>0.962*(0.93*(0.9442 - 0.0007*$B42 - dis_BMI*($C42-21.75)))*BA42</f>
        <v>1.504602499524992E-3</v>
      </c>
      <c r="CF42">
        <f>0.962*(0.93*(0.9442 - 0.0007*$B42 - dis_BMI*($C42-21.75)))*BB42</f>
        <v>1.7813561297026836E-2</v>
      </c>
      <c r="CG42">
        <f>0.962*(0.93*0.943*(0.9442 - 0.0007*$B42 - dis_BMI*($C42-21.75)))*BC42</f>
        <v>1.1772745255799403E-4</v>
      </c>
      <c r="CH42">
        <f>0.962*(0.93*0.943*(0.9442 - 0.0007*$B42 - dis_BMI*($C42-21.75))-0.19*0.5)*BD42</f>
        <v>2.892925435600749E-4</v>
      </c>
      <c r="CI42">
        <f>0.962*(0.93*0.943*(0.9442 - 0.0007*$B42 - dis_BMI*($C42-21.75)))*BE42</f>
        <v>5.6533022659589912E-4</v>
      </c>
      <c r="CJ42">
        <f t="shared" si="18"/>
        <v>0</v>
      </c>
      <c r="CK42">
        <f t="shared" si="19"/>
        <v>0.25620197428319258</v>
      </c>
      <c r="CL42">
        <f>CK42/(1+r_)^A42</f>
        <v>8.0896681871355638E-2</v>
      </c>
      <c r="CM42">
        <f>AD42*c_BN_2</f>
        <v>78.758393670745718</v>
      </c>
      <c r="CN42">
        <f>AE42*(c_Other+c_BN_2)</f>
        <v>186.59368424909346</v>
      </c>
      <c r="CO42">
        <f>AF42*(c_Stroke1+c_Stroke2+c_BN_2)</f>
        <v>18.560262644902167</v>
      </c>
      <c r="CP42">
        <f>AG42*(c_Stroke2 + c_BN_2)</f>
        <v>20.284844302245528</v>
      </c>
      <c r="CQ42">
        <f>AH42*(c_MI1+c_MI2 + c_BN_2)</f>
        <v>9.8409147797424783</v>
      </c>
      <c r="CR42">
        <f>AI42*(c_MI2+c_BN_2)</f>
        <v>7.1934662157395666</v>
      </c>
      <c r="CS42">
        <f>AJ42*(c_Stroke1+c_Stroke2+c_MI2+c_BN_2)</f>
        <v>0.63081050997347132</v>
      </c>
      <c r="CT42">
        <f>AK42*(c_Stroke2+c_MI1+c_MI2+c_BN_2)</f>
        <v>0.71891610012978369</v>
      </c>
      <c r="CU42">
        <f>AL42*(c_Stroke2+c_MI2+c_BN_2)</f>
        <v>0.45135106974494127</v>
      </c>
      <c r="CV42">
        <f>AM42*(c_HF1+c_BN_2)</f>
        <v>8.1149679079375243</v>
      </c>
      <c r="CW42">
        <f>AN42*(c_HF2+c_BN_2)</f>
        <v>61.33002139815197</v>
      </c>
      <c r="CX42">
        <f>AO42*(c_Stroke2+c_HF1+c_BN_2)</f>
        <v>0.54288708229433558</v>
      </c>
      <c r="CY42">
        <f>AP42*(c_Stroke1+c_Stroke2+c_HF2+c_BN_2)</f>
        <v>1.7632002952028789</v>
      </c>
      <c r="CZ42">
        <f>AQ42*(c_Stroke2+c_HF2+c_BN_2)</f>
        <v>2.0816488686501087</v>
      </c>
      <c r="DA42">
        <f>AR42*(c_DM+c_BN_2)</f>
        <v>1861.2479822492303</v>
      </c>
      <c r="DB42">
        <f>AS42*(c_Other+c_DM+c_BN_2)</f>
        <v>1912.5484617789473</v>
      </c>
      <c r="DC42">
        <f>AT42*(c_Stroke1+c_Stroke2+c_DM+c_BN_2)</f>
        <v>185.26789786295211</v>
      </c>
      <c r="DD42">
        <f>AU42*(c_Stroke2+c_DM+c_BN_2)</f>
        <v>302.58439173918111</v>
      </c>
      <c r="DE42">
        <f>AV42*(c_MI1+c_MI2+c_DM+c_BN_2)</f>
        <v>96.412935825291328</v>
      </c>
      <c r="DF42">
        <f>AW42*(c_MI2+c_DM+c_BN_2)</f>
        <v>161.84167552151501</v>
      </c>
      <c r="DG42">
        <f>AX42*(c_Stroke1+c_Stroke2+c_MI2+c_DM+c_BN_2)</f>
        <v>10.032093362841337</v>
      </c>
      <c r="DH42">
        <f>AY42*(c_Stroke2+c_MI1+c_MI2+c_DM+c_BN_2)</f>
        <v>10.344584500131923</v>
      </c>
      <c r="DI42">
        <f>AZ42*(c_Stroke2+c_MI2+c_DM+c_BN_2)</f>
        <v>8.5702089025157786</v>
      </c>
      <c r="DJ42">
        <f>BA42*(c_HF1+c_DM+c_BN_2)</f>
        <v>81.423036840739954</v>
      </c>
      <c r="DK42">
        <f>BB42*(c_HF2+c_DM+c_BN_2)</f>
        <v>692.39089036538451</v>
      </c>
      <c r="DL42">
        <f>BC42*(c_Stroke2+c_HF1+c_DM+c_BN_2)</f>
        <v>7.838994151531252</v>
      </c>
      <c r="DM42">
        <f>BD42*(c_Stroke1+c_Stroke2+c_HF2+c_DM+c_BN_2)</f>
        <v>24.894424344031666</v>
      </c>
      <c r="DN42">
        <f>BE42*(c_Stroke2+c_HF2+c_DM+c_BN_2)</f>
        <v>28.502309101479437</v>
      </c>
      <c r="DO42">
        <f t="shared" si="5"/>
        <v>0</v>
      </c>
      <c r="DP42">
        <f t="shared" si="38"/>
        <v>5780.7652556403254</v>
      </c>
      <c r="DQ42">
        <f>DP42/(1+r_)^A42</f>
        <v>1825.2971280448085</v>
      </c>
    </row>
    <row r="43" spans="1:121" x14ac:dyDescent="0.3">
      <c r="A43">
        <v>40</v>
      </c>
      <c r="B43">
        <v>85</v>
      </c>
      <c r="C43">
        <f t="shared" si="39"/>
        <v>36.251999999999995</v>
      </c>
      <c r="D43">
        <f t="shared" si="1"/>
        <v>125</v>
      </c>
      <c r="E43">
        <f t="shared" si="40"/>
        <v>5.7</v>
      </c>
      <c r="F43">
        <v>7.3550000000000004E-2</v>
      </c>
      <c r="G43">
        <v>9.4969999999999999E-2</v>
      </c>
      <c r="H43">
        <f t="shared" si="3"/>
        <v>7.7834E-2</v>
      </c>
      <c r="I43">
        <f t="shared" si="20"/>
        <v>4.7655426853004217E-2</v>
      </c>
      <c r="J43">
        <f t="shared" si="21"/>
        <v>0.37349348404142302</v>
      </c>
      <c r="K43">
        <f t="shared" si="22"/>
        <v>0.48048745306659502</v>
      </c>
      <c r="L43">
        <f t="shared" si="23"/>
        <v>0.19857144938482374</v>
      </c>
      <c r="M43">
        <f t="shared" si="24"/>
        <v>0.26656185316912073</v>
      </c>
      <c r="N43">
        <f t="shared" si="25"/>
        <v>0.73098988266247034</v>
      </c>
      <c r="O43">
        <f t="shared" si="26"/>
        <v>0.84358825238517199</v>
      </c>
      <c r="P43">
        <f t="shared" si="27"/>
        <v>0.47578573206347508</v>
      </c>
      <c r="Q43">
        <f t="shared" si="28"/>
        <v>0.59851521237202854</v>
      </c>
      <c r="R43">
        <f>IF(C43&lt;25, HT_f_low, IF(C43&lt;30, HT_f_mod, HT_f_high))</f>
        <v>0.42</v>
      </c>
      <c r="S43">
        <f>IF(C43&lt;25, HT_m_low, IF(C43&lt;30, HT_m_mod, HT_m_high))</f>
        <v>0.43099999999999999</v>
      </c>
      <c r="T43">
        <f>PREV_FEMALE*PREV_SMOKE*(1-$R43)*(1-EXP(-J43/10))+PREV_FEMALE*PREV_SMOKE*$R43*(1-EXP(-K43/10))+PREV_FEMALE*(1-PREV_SMOKE)*(1-$R43)*(1-EXP(-L43/10))+PREV_FEMALE*(1-PREV_SMOKE)*$R43*(1-EXP(-M43/10))+(1-PREV_FEMALE)*PREV_SMOKE*(1-$S43)*(1-EXP(-N43/10))+(1-PREV_FEMALE)*PREV_SMOKE*$S43*(1-EXP(-O43/10))+(1-PREV_FEMALE)*(1-PREV_SMOKE)*(1-$S43)*(1-EXP(-P43/10))+(1-PREV_FEMALE)*(1-PREV_SMOKE)*$S43*(1-EXP(-Q43/10))</f>
        <v>3.0695492104958335E-2</v>
      </c>
      <c r="U43">
        <f t="shared" si="29"/>
        <v>0.6385506224038513</v>
      </c>
      <c r="V43">
        <f t="shared" si="30"/>
        <v>0.75953642270573807</v>
      </c>
      <c r="W43">
        <f t="shared" si="31"/>
        <v>0.38229632068006758</v>
      </c>
      <c r="X43">
        <f t="shared" si="32"/>
        <v>0.49068149524424054</v>
      </c>
      <c r="Y43">
        <f t="shared" si="33"/>
        <v>0.89293089340915777</v>
      </c>
      <c r="Z43">
        <f t="shared" si="34"/>
        <v>0.95744738695694942</v>
      </c>
      <c r="AA43">
        <f t="shared" si="35"/>
        <v>0.66680273009087232</v>
      </c>
      <c r="AB43">
        <f t="shared" si="36"/>
        <v>0.78836747468767188</v>
      </c>
      <c r="AC43">
        <f>PREV_FEMALE*PREV_SMOKE*(1-$R43)*(1-EXP(-U43/10))+PREV_FEMALE*PREV_SMOKE*$R43*(1-EXP(-V43/10))+PREV_FEMALE*(1-PREV_SMOKE)*(1-$R43)*(1-EXP(-W43/10))+PREV_FEMALE*(1-PREV_SMOKE)*$R43*(1-EXP(-X43/10))+(1-PREV_FEMALE)*PREV_SMOKE*(1-$S43)*(1-EXP(-Y43/10))+(1-PREV_FEMALE)*PREV_SMOKE*$S43*(1-EXP(-Z43/10))+(1-PREV_FEMALE)*(1-PREV_SMOKE)*(1-$S43)*(1-EXP(-AA43/10))+(1-PREV_FEMALE)*(1-PREV_SMOKE)*$S43*(1-EXP(-AB43/10))</f>
        <v>5.0305859825682364E-2</v>
      </c>
      <c r="AD43">
        <f t="shared" si="37"/>
        <v>3.2271608421678893E-2</v>
      </c>
      <c r="AE43">
        <f t="shared" si="6"/>
        <v>9.879561437439309E-3</v>
      </c>
      <c r="AF43">
        <f t="shared" si="7"/>
        <v>6.1888088328515274E-4</v>
      </c>
      <c r="AG43">
        <f t="shared" si="8"/>
        <v>1.9290869806012623E-3</v>
      </c>
      <c r="AH43">
        <f>AD42*T42*p_MI*p_MI_rec_old*(1-I42)+AE42*T42*p_MI*p_MI_rec_old*(1-I42) + AH42*(PREV_FEMALE*p_recur_MI_F + (1-PREV_FEMALE)*p_recur_MI_M)*p_MI_rec_old*(1-I42) + AI42*(PREV_FEMALE*p_recur_MI_F + (1-PREV_FEMALE)*p_recur_MI_M)*p_MI_rec_old*(1-I42)</f>
        <v>2.7826331087052941E-4</v>
      </c>
      <c r="AI43">
        <f>AH42*(1-(PREV_FEMALE*p_recur_MI_F + (1-PREV_FEMALE)*p_recur_MI_M) - T42*p_Stroke - p_toHF_old - H42*rr_MI)*(1-I42) + AI42*(1-(PREV_FEMALE*p_recur_MI_F + (1-PREV_FEMALE)*p_recur_MI_M) - T42*p_Stroke - p_toHF_old - H42*rr_MI)*(1-I42)</f>
        <v>1.17927566882208E-3</v>
      </c>
      <c r="AJ43">
        <f t="shared" si="11"/>
        <v>1.8561638752348483E-5</v>
      </c>
      <c r="AK43">
        <f>AF42*T42*p_MI*p_MI_rec_old*(1-I42) + AG42*T42*p_MI*p_MI_rec_old*(1-I42) + AJ42*(PREV_FEMALE*p_recur_MI_F + (1-PREV_FEMALE)*p_recur_MI_M)*p_MI_rec_old*(1-I42) + AK42*(PREV_FEMALE*p_recur_MI_F + (1-PREV_FEMALE)*p_recur_MI_M)*p_MI_rec_old*(1-I42) + AL42*(PREV_FEMALE*p_recur_MI_F + (1-PREV_FEMALE)*p_recur_MI_M)*p_MI_rec_old*(1-I42)</f>
        <v>1.6225672617379015E-5</v>
      </c>
      <c r="AL43">
        <f>AJ42*(1-p_recur_Stroke-(PREV_FEMALE*p_recur_MI_F + (1-PREV_FEMALE)*p_recur_MI_M) - p_toHF_old - H42*rr_MI*rr_Stroke)*(1-I42) + AK42*(1-p_recur_Stroke-(PREV_FEMALE*p_recur_MI_F + (1-PREV_FEMALE)*p_recur_MI_M) - p_toHF_old - H42*rr_MI*rr_Stroke)*(1-I42) + AL42*(1-p_recur_Stroke-(PREV_FEMALE*p_recur_MI_F + (1-PREV_FEMALE)*p_recur_MI_M) - p_toHF_old - H42*rr_MI*rr_Stroke)*(1-I42)</f>
        <v>2.9174629155883511E-5</v>
      </c>
      <c r="AM43">
        <f>AD42*T42*p_MI*p_MI_HF_old*(1-I42) + AE42*T42*p_MI*p_MI_HF_old*(1-I42) + AH42*p_toHF_old*(1-I42) + AH42*(PREV_FEMALE*p_recur_MI_F + (1-PREV_FEMALE)*p_recur_MI_M)*p_MI_HF_old*(1-I42) + AI42*p_toHF_old*(1-I42) + AI42*(PREV_FEMALE*p_recur_MI_F + (1-PREV_FEMALE)*p_recur_MI_M)*p_MI_HF_old*(1-I42)</f>
        <v>2.4352550077225789E-4</v>
      </c>
      <c r="AN43">
        <f t="shared" si="15"/>
        <v>3.0950025955380576E-3</v>
      </c>
      <c r="AO43">
        <f>AF42*T42*p_MI*p_MI_HF_old*(1-I42) + AG42*T42*p_MI*p_MI_HF_old*(1-I42) + AJ42*(PREV_FEMALE*p_recur_MI_F + (1-PREV_FEMALE)*p_recur_MI_M)*p_MI_HF_old*(1-I42) + AJ42*p_toHF_old*(1-I42) + AK42*(PREV_FEMALE*p_recur_MI_F + (1-PREV_FEMALE)*p_recur_MI_M)*p_MI_HF_old*(1-I42) + AK42*p_toHF_old*(1-I42) + AL42*(PREV_FEMALE*p_recur_MI_F + (1-PREV_FEMALE)*p_recur_MI_M)*p_MI_HF_old*(1-I42) + AL42*p_toHF_old*(1-I42)</f>
        <v>1.2712245757079698E-5</v>
      </c>
      <c r="AP43">
        <f>AM42*T42*p_Stroke*p_Stroke_rec*(1-I42) + AN42*T42*p_Stroke*p_Stroke_rec*(1-I42) + AO42*(p_recur_Stroke*p_Stroke_rec)*(1-I42) + AP42*(p_recur_Stroke*p_Stroke_rec)*(1-I42) + AQ42*(p_recur_Stroke*p_Stroke_rec)*(1-I42)</f>
        <v>3.7687452337079977E-5</v>
      </c>
      <c r="AQ43">
        <f>AO42*(1-p_recur_Stroke-H42*rr_Stroke*rr_HF)*(1-I42) + AP42*(1-p_recur_Stroke-H42*rr_Stroke*rr_HF)*(1-I42) + AQ42*(1-p_recur_Stroke-H42*rr_Stroke*rr_HF)*(1-I42)</f>
        <v>6.6898811775303576E-5</v>
      </c>
      <c r="AR43">
        <f>AR42*(1-AC42-H42*rr_DM) + AD42*(1-T42-H42)*I42</f>
        <v>0.12162205780261032</v>
      </c>
      <c r="AS43">
        <f>AR42*AC42*p_Other + AD42*T42*p_Other*I42 + AE42*(1-T42*p_Stroke-T42*p_MI-H42*rr_Other)*I42 + AS42*(1-AC42*p_Stroke-AC42*p_MI-H42*rr_Other*rr_DM)</f>
        <v>6.1174929052526965E-2</v>
      </c>
      <c r="AT43">
        <f>AR42*AC42*p_Stroke*p_Stroke_rec + AD42*T42*p_Stroke*p_Stroke_rec*I42 + AE42*T42*p_Stroke*p_Stroke_rec*I42 + AF42*p_recur_Stroke*p_Stroke_rec*I42 + AG42*p_recur_Stroke*p_Stroke_rec*I42 + AS42*AC42*p_Stroke*p_Stroke_rec + AT42*p_recur_Stroke*p_Stroke_rec + AU42*p_recur_Stroke*p_Stroke_rec</f>
        <v>4.4007903335369141E-3</v>
      </c>
      <c r="AU43">
        <f>AF42*(1-p_recur_Stroke-T42*p_MI-H42*rr_Stroke)*I42 + AG42*(1-p_recur_Stroke-T42*p_MI-H42*rr_Stroke)*I42 + AT42*(1-p_recur_Stroke-AC42*p_MI-H42*rr_Stroke*rr_DM) + AU42*(1-p_recur_Stroke-AC42*p_MI-H42*rr_Stroke*rr_DM)</f>
        <v>1.2582680879787513E-2</v>
      </c>
      <c r="AV43">
        <f>AR42*AC42*p_MI*p_MI_rec_old + AD42*T42*p_MI*p_MI_rec_old*I42 + AE42*T42*p_MI*p_MI_rec_old*I42 +AH42*(PREV_FEMALE*p_recur_MI_F + (1-PREV_FEMALE)*p_recur_MI_M)*p_MI_rec_old*I42 + AI42*(PREV_FEMALE*p_recur_MI_F + (1-PREV_FEMALE)*p_recur_MI_M)*p_MI_rec_old*I42 + AS42*AC42*p_MI*p_MI_rec_old + AV42*(PREV_FEMALE*p_recur_MI_F + (1-PREV_FEMALE)*p_recur_MI_M)*p_MI_rec_old + AW42*(PREV_FEMALE*p_recur_MI_F + (1-PREV_FEMALE)*p_recur_MI_M)*p_MI_rec_old</f>
        <v>2.0528200664753386E-3</v>
      </c>
      <c r="AW43">
        <f>AH42*(1-(PREV_FEMALE*p_recur_MI_F + (1-PREV_FEMALE)*p_recur_MI_M) - T42*p_Stroke - p_toHF_old - H42*rr_MI)*I42 + AI42*(1-(PREV_FEMALE*p_recur_MI_F + (1-PREV_FEMALE)*p_recur_MI_M) - T42*p_Stroke - p_toHF_old - H42*rr_MI)*I42 + AV42*(1-(PREV_FEMALE*p_recur_MI_F + (1-PREV_FEMALE)*p_recur_MI_M) - AC42*p_Stroke - p_toHF_old - H42*rr_MI*rr_DM) + AW42*(1-(PREV_FEMALE*p_recur_MI_F + (1-PREV_FEMALE)*p_recur_MI_M) - AC42*p_Stroke - p_toHF_old - H42*rr_MI*rr_DM)</f>
        <v>8.5671884143821847E-3</v>
      </c>
      <c r="AX43">
        <f>AH42*T42*p_Stroke*p_Stroke_rec*I42 + AI42*T42*p_Stroke*p_Stroke_rec*I42 + AJ42*p_recur_Stroke*p_Stroke_rec*I42 + AK42*p_recur_Stroke*p_Stroke_rec*I42 + AL42*p_recur_Stroke*p_Stroke_rec*I42 + AV42*AC42*p_Stroke*p_Stroke_rec + AW42*AC42*p_Stroke*p_Stroke_rec + AX42*p_recur_Stroke*p_Stroke_rec + AY42*p_recur_Stroke*p_Stroke_rec + AZ42*p_recur_Stroke*p_Stroke_rec</f>
        <v>2.1745183249168441E-4</v>
      </c>
      <c r="AY43">
        <f>AF42*T42*p_MI*p_MI_rec_old*I42 + AG42*T42*p_MI*p_MI_rec_old*I42 + AJ42*(PREV_FEMALE*p_recur_MI_F+(1-PREV_FEMALE)*p_recur_MI_M)*p_MI_rec_old*I42 + AK42*(PREV_FEMALE*p_recur_MI_F+(1-PREV_FEMALE)*p_recur_MI_M)*p_MI_rec_old*I42 + AL42*(PREV_FEMALE*p_recur_MI_F+(1-PREV_FEMALE)*p_recur_MI_M)*p_MI_rec_old*I42 + AT42*AC42*p_MI*p_MI_rec_old + AU42*AC42*p_MI*p_MI_rec_old + AX42*(PREV_FEMALE*p_recur_MI_F+(1-PREV_FEMALE)*p_recur_MI_M)*p_MI_rec_old + AY42*(PREV_FEMALE*p_recur_MI_F+(1-PREV_FEMALE)*p_recur_MI_M)*p_MI_rec_old + AZ42*(PREV_FEMALE*p_recur_MI_F+(1-PREV_FEMALE)*p_recur_MI_M)*p_MI_rec_old</f>
        <v>1.8279658938051107E-4</v>
      </c>
      <c r="AZ43">
        <f>AJ42*(1-p_recur_Stroke-(PREV_FEMALE*p_recur_MI_F + (1-PREV_FEMALE)*p_recur_MI_M) - p_toHF_old - H42*rr_MI*rr_Stroke)*I42 + AK42*(1-p_recur_Stroke-(PREV_FEMALE*p_recur_MI_F + (1-PREV_FEMALE)*p_recur_MI_M) - p_toHF_old - H42*rr_MI*rr_Stroke)*I42 + AL42*(1-p_recur_Stroke-(PREV_FEMALE*p_recur_MI_F + (1-PREV_FEMALE)*p_recur_MI_M) - p_toHF_old - H42*rr_MI*rr_Stroke)*I42 + AX42*(1-p_recur_Stroke-(PREV_FEMALE*p_recur_MI_F + (1-PREV_FEMALE)*p_recur_MI_M) - p_toHF_old - H42*rr_MI*rr_Stroke*rr_DM) + AY42*(1-p_recur_Stroke-(PREV_FEMALE*p_recur_MI_F + (1-PREV_FEMALE)*p_recur_MI_M) - p_toHF_old - H42*rr_MI*rr_Stroke*rr_DM) + AZ42*(1-p_recur_Stroke-(PREV_FEMALE*p_recur_MI_F + (1-PREV_FEMALE)*p_recur_MI_M) - p_toHF_old - H42*rr_MI*rr_Stroke*rr_DM)</f>
        <v>2.7934409048776247E-4</v>
      </c>
      <c r="BA43">
        <f>AR42*AC42*p_MI*p_MI_HF_old + AD42*T42*p_MI*p_MI_HF_old*I42 + AE42*T42*p_MI*p_MI_HF_old*I42 + AH42*p_toHF_old*I42 + AH42*(PREV_FEMALE*p_recur_MI_F + (1-PREV_FEMALE)*p_recur_MI_M)*p_MI_HF_old*I42 + AI42*p_toHF_old*I42 + AI42*(PREV_FEMALE*p_recur_MI_F + (1-PREV_FEMALE)*p_recur_MI_M)*p_MI_HF_old*I42 + AS42*AC42*p_MI*p_MI_HF_old + AV42*(PREV_FEMALE*p_recur_MI_F + (1-PREV_FEMALE)*p_recur_MI_M)*p_MI_HF_old + AV42*p_toHF_old + AW42*(PREV_FEMALE*p_recur_MI_F + (1-PREV_FEMALE)*p_recur_MI_M)*p_MI_HF_old + AW42*p_toHF_old</f>
        <v>1.8092409319528293E-3</v>
      </c>
      <c r="BB43">
        <f>AM42*(1-T42*p_Stroke - H42*rr_HF)*I42 + AN42*(1-T42*p_Stroke - H42*rr_HF)*I42 + BA42*(1-AC42*p_Stroke - H42*rr_HF*rr_DM) + BB42*(1-AC42*p_Stroke - H42*rr_HF*rr_DM)</f>
        <v>2.1937582739586695E-2</v>
      </c>
      <c r="BC43">
        <f>AF42*T42*p_MI*p_MI_HF_old*I42 + AG42*T42*p_MI*p_MI_HF_old*I42 + AJ42*(PREV_FEMALE*p_recur_MI_F + (1-PREV_FEMALE)*p_recur_MI_M)*p_MI_HF_old*I42 + AJ42*p_toHF_old*I42 + AK42*(PREV_FEMALE*p_recur_MI_F + (1-PREV_FEMALE)*p_recur_MI_M)*p_MI_HF_old*I42 + AK42*p_toHF_old*I42 + AL42*(PREV_FEMALE*p_recur_MI_F + (1-PREV_FEMALE)*p_recur_MI_M)*p_MI_HF_old*I42 + AL42*p_toHF_old*I42 + AT42*AC42*p_MI*p_MI_HF_old + AU42*AC42*p_MI*p_MI_HF_old + AX42*(PREV_FEMALE*p_recur_MI_F + (1-PREV_FEMALE)*p_recur_MI_M)*p_MI_HF_old + AX42*p_toHF_old + AY42*(PREV_FEMALE*p_recur_MI_F + (1-PREV_FEMALE)*p_recur_MI_M)*p_MI_HF_old + AY42*p_toHF_old + AZ42*(PREV_FEMALE*p_recur_MI_F + (1-PREV_FEMALE)*p_recur_MI_M)*p_MI_HF_old + AZ42*p_toHF_old</f>
        <v>1.4174243111189153E-4</v>
      </c>
      <c r="BD43">
        <f>AM42*T42*p_Stroke*p_Stroke_rec*I42 + AN42*T42*p_Stroke*p_Stroke_rec*I42 + AO42*(p_recur_Stroke*p_Stroke_rec)*I42 + AP42*(p_recur_Stroke*p_Stroke_rec)*I42 + AQ42*(p_recur_Stroke*p_Stroke_rec)*I42 + BA42*AC42*p_Stroke*p_Stroke_rec + BB42*AC42*p_Stroke*p_Stroke_rec + BC42*(p_recur_Stroke*p_Stroke_rec) + BD42*(p_recur_Stroke*p_Stroke_rec) + BE42*(p_recur_Stroke*p_Stroke_rec)</f>
        <v>4.2941203988130442E-4</v>
      </c>
      <c r="BE43">
        <f>AO42*(1-p_recur_Stroke - H42*rr_Stroke*rr_HF)*I42 + AP42*(1-p_recur_Stroke-H42*rr_Stroke*rr_HF)*I42 + AQ42*(1-p_recur_Stroke-H42*rr_Stroke*rr_HF)*I42 + BC42*(1-p_recur_Stroke - H42*rr_Stroke*rr_HF*rr_DM) + BD42*(1-p_recur_Stroke-H42*rr_Stroke*rr_HF*rr_DM) + BE42*(1-p_recur_Stroke-H42*rr_Stroke*rr_HF*rr_DM)</f>
        <v>6.2129985079485879E-4</v>
      </c>
      <c r="BF43">
        <f>AD42*H42 + AE42*H42*rr_Other + AF42*H42*rr_Stroke + AG42*H42*rr_Stroke + AH42*H42*rr_MI + AI42*H42*rr_MI + AJ42*H42*rr_Stroke*rr_MI + AK42*H42*rr_Stroke*rr_MI + AL42*H42*rr_Stroke*rr_MI + AM42*H42*rr_HF + AN42*H42*rr_HF + AO42*H42*rr_Stroke*rr_HF + AP42*H42*rr_Stroke*rr_HF + AR42*H42*rr_DM + AS42*H42*rr_DM*rr_Other + AT42*H42*rr_DM*rr_Stroke + AU42*H42*rr_DM*rr_Stroke + AV42*H42*rr_DM*rr_MI + AW42*H42*rr_DM*rr_MI + AX42*H42*rr_DM*rr_Stroke*rr_MI + AY42*H42*rr_DM*rr_Stroke*rr_MI + AZ42*H42*rr_DM*rr_Stroke*rr_MI + BA42*H42*rr_DM*rr_HF + BB42*H42*rr_DM*rr_HF + BC42*H42*rr_DM*rr_Stroke*rr_HF + BD42*H42*rr_DM*rr_Stroke*rr_HF + AQ42*H42*rr_Stroke*rr_HF + BE42*H42*rr_DM*rr_Stroke*rr_HF
+ AD42*T42*p_MI*p_MI_mort + AD42*T42*p_Stroke*p_Stroke_mort + AE42*T42*p_MI*p_MI_mort + AE42*T42*p_Stroke*p_Stroke_mort + AF42*T42*p_MI*p_MI_mort + AF42*p_recur_Stroke*p_Stroke_mort + AG42*T42*p_MI*p_MI_mort + AG42*p_recur_Stroke*p_Stroke_mort + AH42*(PREV_FEMALE*p_recur_MI_F + (1-PREV_FEMALE)*p_recur_MI_M)*p_MI_mort + AH42*T42*p_Stroke*p_Stroke_mort + AI42*(PREV_FEMALE*p_recur_MI_F + (1-PREV_FEMALE)*p_recur_MI_M)*p_MI_mort + AI42*T42*p_Stroke*p_Stroke_mort + AJ42*(PREV_FEMALE*p_recur_MI_F + (1-PREV_FEMALE)*p_recur_MI_M)*p_MI_mort + AJ42*p_recur_Stroke*p_Stroke_mort + AK42*(PREV_FEMALE*p_recur_MI_F + (1-PREV_FEMALE)*p_recur_MI_M)*p_MI_mort + AK42*p_recur_Stroke*p_Stroke_mort + AL42*(PREV_FEMALE*p_recur_MI_F + (1-PREV_FEMALE)*p_recur_MI_M)*p_MI_mort + AL42*p_recur_Stroke*p_Stroke_mort + AM42*T42*p_Stroke*p_Stroke_mort + AN42*T42*p_Stroke*p_Stroke_mort + AO42*p_recur_Stroke*p_Stroke_mort + AP42*p_recur_Stroke*p_Stroke_mort + AQ42*p_recur_Stroke*p_Stroke_mort
+ AR42*AC42*p_MI*p_MI_mort + AR42*AC42*p_Stroke*p_Stroke_mort + AS42*AC42*p_MI*p_MI_mort + AS42*AC42*p_Stroke*p_Stroke_mort + AT42*AC42*p_MI*p_MI_mort + AT42*p_recur_Stroke*p_Stroke_mort + AU42*AC42*p_MI*p_MI_mort + AU42*p_recur_Stroke*p_Stroke_mort + AV42*(PREV_FEMALE*p_recur_MI_F + (1-PREV_FEMALE)*p_recur_MI_M)*p_MI_mort + AV42*AC42*p_Stroke*p_Stroke_mort + AW42*(PREV_FEMALE*p_recur_MI_F + (1-PREV_FEMALE)*p_recur_MI_M)*p_MI_mort + AW42*AC42*p_Stroke*p_Stroke_mort + AX42*(PREV_FEMALE*p_recur_MI_F + (1-PREV_FEMALE)*p_recur_MI_M)*p_MI_mort + AX42*p_recur_Stroke*p_Stroke_mort + AY42*(PREV_FEMALE*p_recur_MI_F + (1-PREV_FEMALE)*p_recur_MI_M)*p_MI_mort + AY42*p_recur_Stroke*p_Stroke_mort + AZ42*(PREV_FEMALE*p_recur_MI_F + (1-PREV_FEMALE)*p_recur_MI_M)*p_MI_mort + AZ42*p_recur_Stroke*p_Stroke_mort + BA42*AC42*p_Stroke*p_Stroke_mort + BB42*AC42*p_Stroke*p_Stroke_mort + BC42*p_recur_Stroke*p_Stroke_mort + BD42*p_recur_Stroke*p_Stroke_mort + BE42*p_recur_Stroke*p_Stroke_mort
+BF42</f>
        <v>0.6613041976955909</v>
      </c>
      <c r="BG43">
        <f t="shared" si="17"/>
        <v>0.94700000000000029</v>
      </c>
      <c r="BH43">
        <f>(0.9442 - 0.0007*$B43 - dis_BMI*($C43-21.75))*AD43</f>
        <v>2.7006282515066399E-2</v>
      </c>
      <c r="BI43">
        <f>0.959*(0.9442 - 0.0007*$B43 - dis_BMI*($C43-21.75))*AE43</f>
        <v>7.928672306679159E-3</v>
      </c>
      <c r="BJ43">
        <f>(0.943*(0.9442 - 0.0007*$B43 - dis_BMI*($C43-21.75)) - 0.19*0.5)*AF43</f>
        <v>4.2959203484514989E-4</v>
      </c>
      <c r="BK43">
        <f>(0.943*(0.9442 - 0.0007*$B43 - dis_BMI*($C43-21.75)))*AG43</f>
        <v>1.5223261164007949E-3</v>
      </c>
      <c r="BL43">
        <f>(0.955*(0.9442 - 0.0007*$B43 - dis_BMI*($C43-21.75)) - 0.15*0.5)*AH43</f>
        <v>2.015142401664743E-4</v>
      </c>
      <c r="BM43">
        <f>(0.955*(0.9442 - 0.0007*$B43 - dis_BMI*($C43-21.75)))*AI43</f>
        <v>9.4245995252379788E-4</v>
      </c>
      <c r="BN43">
        <f>(0.955*0.943*(0.9442 - 0.0007*$B43 - dis_BMI*($C43-21.75)) - 0.19*0.5)*AJ43</f>
        <v>1.2225286962764194E-5</v>
      </c>
      <c r="BO43">
        <f>(0.955*0.943*(0.9442 - 0.0007*$B43 - dis_BMI*($C43-21.75)) - 0.15*0.5)*AK43</f>
        <v>1.1011258656147326E-5</v>
      </c>
      <c r="BP43">
        <f>(0.955*0.943*(0.9442 - 0.0007*$B43 - dis_BMI*($C43-21.75)))*AL43</f>
        <v>2.1986930517552767E-5</v>
      </c>
      <c r="BQ43">
        <f>(0.93*(0.9442 - 0.0007*$B43 - dis_BMI*($C43-21.75)))*AM43</f>
        <v>1.895272184892518E-4</v>
      </c>
      <c r="BR43">
        <f>(0.93*(0.9442 - 0.0007*$B43 - dis_BMI*($C43-21.75)))*AN43</f>
        <v>2.4087302204047704E-3</v>
      </c>
      <c r="BS43">
        <f>(0.93*0.943*(0.9442 - 0.0007*$B43 - dis_BMI*($C43-21.75)))*AO43</f>
        <v>9.3295590271987505E-6</v>
      </c>
      <c r="BT43">
        <f>(0.93*0.943*(0.9442 - 0.0007*$B43 - dis_BMI*($C43-21.75))-0.19*0.5)*AP43</f>
        <v>2.4078637416734553E-5</v>
      </c>
      <c r="BU43">
        <f>(0.93*0.943*(0.9442 - 0.0007*$B43 - dis_BMI*($C43-21.75)))*AQ43</f>
        <v>4.9097258284167438E-5</v>
      </c>
      <c r="BV43">
        <f>0.962*(0.9442 - 0.0007*$B43 - dis_BMI*($C43-21.75))*AR43</f>
        <v>9.7911028944604697E-2</v>
      </c>
      <c r="BW43">
        <f>0.962*0.959*(0.9442 - 0.0007*$B43 - dis_BMI*($C43-21.75))*AS43</f>
        <v>4.7229282604753231E-2</v>
      </c>
      <c r="BX43">
        <f>0.962*(0.943*(0.9442 - 0.0007*$B43 - dis_BMI*($C43-21.75)) - 0.19*0.5)*AT43</f>
        <v>2.9386976289089762E-3</v>
      </c>
      <c r="BY43">
        <f>0.962*(0.943*(0.9442 - 0.0007*$B43 - dis_BMI*($C43-21.75)))*AU43</f>
        <v>9.5522161735930901E-3</v>
      </c>
      <c r="BZ43">
        <f>0.962*(0.955*(0.9442 - 0.0007*$B43 - dis_BMI*($C43-21.75)) - 0.15*0.5)*AV43</f>
        <v>1.4301307655878741E-3</v>
      </c>
      <c r="CA43">
        <f>0.962*(0.955*(0.9442 - 0.0007*$B43 - dis_BMI*($C43-21.75)))*AW43</f>
        <v>6.5865949549869587E-3</v>
      </c>
      <c r="CB43">
        <f>0.962*(0.955*0.943*(0.9442 - 0.0007*$B43 - dis_BMI*($C43-21.75)) - 0.19*0.5)*AX43</f>
        <v>1.3777832156442498E-4</v>
      </c>
      <c r="CC43">
        <f>0.962*(0.955*0.943*(0.9442 - 0.0007*$B43 - dis_BMI*($C43-21.75)) - 0.15*0.5)*AY43</f>
        <v>1.1933763195896339E-4</v>
      </c>
      <c r="CD43">
        <f>0.962*(0.955*0.943*(0.9442 - 0.0007*$B43 - dis_BMI*($C43-21.75)))*AZ43</f>
        <v>2.0252275188718935E-4</v>
      </c>
      <c r="CE43">
        <f>0.962*(0.93*(0.9442 - 0.0007*$B43 - dis_BMI*($C43-21.75)))*BA43</f>
        <v>1.3545611655053531E-3</v>
      </c>
      <c r="CF43">
        <f>0.962*(0.93*(0.9442 - 0.0007*$B43 - dis_BMI*($C43-21.75)))*BB43</f>
        <v>1.642445575893008E-2</v>
      </c>
      <c r="CG43">
        <f>0.962*(0.93*0.943*(0.9442 - 0.0007*$B43 - dis_BMI*($C43-21.75)))*BC43</f>
        <v>1.0007227799661719E-4</v>
      </c>
      <c r="CH43">
        <f>0.962*(0.93*0.943*(0.9442 - 0.0007*$B43 - dis_BMI*($C43-21.75))-0.19*0.5)*BD43</f>
        <v>2.6392736136451276E-4</v>
      </c>
      <c r="CI43">
        <f>0.962*(0.93*0.943*(0.9442 - 0.0007*$B43 - dis_BMI*($C43-21.75)))*BE43</f>
        <v>4.386469944128375E-4</v>
      </c>
      <c r="CJ43">
        <f t="shared" si="18"/>
        <v>0</v>
      </c>
      <c r="CK43">
        <f t="shared" si="19"/>
        <v>0.22544608687149517</v>
      </c>
      <c r="CL43">
        <f>CK43/(1+r_)^A43</f>
        <v>6.9112040156142779E-2</v>
      </c>
      <c r="CM43">
        <f>AD43*c_BN_2</f>
        <v>67.609019643417284</v>
      </c>
      <c r="CN43">
        <f>AE43*(c_Other+c_BN_2)</f>
        <v>161.76793897663126</v>
      </c>
      <c r="CO43">
        <f>AF43*(c_Stroke1+c_Stroke2+c_BN_2)</f>
        <v>16.035822566801592</v>
      </c>
      <c r="CP43">
        <f>AG43*(c_Stroke2 + c_BN_2)</f>
        <v>16.580502598267849</v>
      </c>
      <c r="CQ43">
        <f>AH43*(c_MI1+c_MI2 + c_BN_2)</f>
        <v>8.6946154114605623</v>
      </c>
      <c r="CR43">
        <f>AI43*(c_MI2+c_BN_2)</f>
        <v>6.1463847859006808</v>
      </c>
      <c r="CS43">
        <f>AJ43*(c_Stroke1+c_Stroke2+c_MI2+c_BN_2)</f>
        <v>0.53880724970317173</v>
      </c>
      <c r="CT43">
        <f>AK43*(c_Stroke2+c_MI1+c_MI2+c_BN_2)</f>
        <v>0.61245423861558834</v>
      </c>
      <c r="CU43">
        <f>AL43*(c_Stroke2+c_MI2+c_BN_2)</f>
        <v>0.3416932566737077</v>
      </c>
      <c r="CV43">
        <f>AM43*(c_HF1+c_BN_2)</f>
        <v>7.092680209992011</v>
      </c>
      <c r="CW43">
        <f>AN43*(c_HF2+c_BN_2)</f>
        <v>54.781545941023616</v>
      </c>
      <c r="CX43">
        <f>AO43*(c_Stroke2+c_HF1+c_BN_2)</f>
        <v>0.45287375509596423</v>
      </c>
      <c r="CY43">
        <f>AP43*(c_Stroke1+c_Stroke2+c_HF2+c_BN_2)</f>
        <v>1.5646322712262124</v>
      </c>
      <c r="CZ43">
        <f>AQ43*(c_Stroke2+c_HF2+c_BN_2)</f>
        <v>1.6189512449623464</v>
      </c>
      <c r="DA43">
        <f>AR43*(c_DM+c_BN_2)</f>
        <v>1644.3302214912915</v>
      </c>
      <c r="DB43">
        <f>AS43*(c_Other+c_DM+c_BN_2)</f>
        <v>1700.6018527311971</v>
      </c>
      <c r="DC43">
        <f>AT43*(c_Stroke1+c_Stroke2+c_DM+c_BN_2)</f>
        <v>164.30790789293422</v>
      </c>
      <c r="DD43">
        <f>AU43*(c_Stroke2+c_DM+c_BN_2)</f>
        <v>251.905271213346</v>
      </c>
      <c r="DE43">
        <f>AV43*(c_MI1+c_MI2+c_DM+c_BN_2)</f>
        <v>87.595885056569173</v>
      </c>
      <c r="DF43">
        <f>AW43*(c_MI2+c_DM+c_BN_2)</f>
        <v>142.53231365007642</v>
      </c>
      <c r="DG43">
        <f>AX43*(c_Stroke1+c_Stroke2+c_MI2+c_DM+c_BN_2)</f>
        <v>8.7965789797861103</v>
      </c>
      <c r="DH43">
        <f>AY43*(c_Stroke2+c_MI1+c_MI2+c_DM+c_BN_2)</f>
        <v>8.9882910964291103</v>
      </c>
      <c r="DI43">
        <f>AZ43*(c_Stroke2+c_MI2+c_DM+c_BN_2)</f>
        <v>6.4631842216153599</v>
      </c>
      <c r="DJ43">
        <f>BA43*(c_HF1+c_DM+c_BN_2)</f>
        <v>73.364719790687232</v>
      </c>
      <c r="DK43">
        <f>BB43*(c_HF2+c_DM+c_BN_2)</f>
        <v>638.93209729046248</v>
      </c>
      <c r="DL43">
        <f>BC43*(c_Stroke2+c_HF1+c_DM+c_BN_2)</f>
        <v>6.6689813838144962</v>
      </c>
      <c r="DM43">
        <f>BD43*(c_Stroke1+c_Stroke2+c_HF2+c_DM+c_BN_2)</f>
        <v>22.733502803356139</v>
      </c>
      <c r="DN43">
        <f>BE43*(c_Stroke2+c_HF2+c_DM+c_BN_2)</f>
        <v>22.133807184566844</v>
      </c>
      <c r="DO43">
        <f t="shared" si="5"/>
        <v>0</v>
      </c>
      <c r="DP43">
        <f t="shared" si="38"/>
        <v>5123.1925369359042</v>
      </c>
      <c r="DQ43">
        <f>DP43/(1+r_)^A43</f>
        <v>1570.5497187990156</v>
      </c>
    </row>
    <row r="44" spans="1:121" x14ac:dyDescent="0.3">
      <c r="A44">
        <v>41</v>
      </c>
      <c r="B44">
        <v>86</v>
      </c>
      <c r="C44">
        <f t="shared" si="39"/>
        <v>36.251999999999995</v>
      </c>
      <c r="D44">
        <f t="shared" si="1"/>
        <v>125</v>
      </c>
      <c r="E44">
        <f>E$4</f>
        <v>5.7</v>
      </c>
      <c r="F44">
        <v>8.1549999999999997E-2</v>
      </c>
      <c r="G44">
        <v>0.10492</v>
      </c>
      <c r="H44">
        <f t="shared" si="3"/>
        <v>8.6223999999999995E-2</v>
      </c>
      <c r="I44">
        <f t="shared" si="20"/>
        <v>4.7655426853004217E-2</v>
      </c>
      <c r="J44">
        <f t="shared" si="21"/>
        <v>0.38289558468150497</v>
      </c>
      <c r="K44">
        <f t="shared" si="22"/>
        <v>0.49137336366044082</v>
      </c>
      <c r="L44">
        <f t="shared" si="23"/>
        <v>0.20428777784710084</v>
      </c>
      <c r="M44">
        <f t="shared" si="24"/>
        <v>0.27387786962685456</v>
      </c>
      <c r="N44">
        <f t="shared" si="25"/>
        <v>0.74377351418594517</v>
      </c>
      <c r="O44">
        <f t="shared" si="26"/>
        <v>0.85398674188599721</v>
      </c>
      <c r="P44">
        <f t="shared" si="27"/>
        <v>0.48819087881042644</v>
      </c>
      <c r="Q44">
        <f t="shared" si="28"/>
        <v>0.61187389252979685</v>
      </c>
      <c r="R44">
        <f>IF(C44&lt;25, HT_f_low, IF(C44&lt;30, HT_f_mod, HT_f_high))</f>
        <v>0.42</v>
      </c>
      <c r="S44">
        <f>IF(C44&lt;25, HT_m_low, IF(C44&lt;30, HT_m_mod, HT_m_high))</f>
        <v>0.43099999999999999</v>
      </c>
      <c r="T44">
        <f>PREV_FEMALE*PREV_SMOKE*(1-$R44)*(1-EXP(-J44/10))+PREV_FEMALE*PREV_SMOKE*$R44*(1-EXP(-K44/10))+PREV_FEMALE*(1-PREV_SMOKE)*(1-$R44)*(1-EXP(-L44/10))+PREV_FEMALE*(1-PREV_SMOKE)*$R44*(1-EXP(-M44/10))+(1-PREV_FEMALE)*PREV_SMOKE*(1-$S44)*(1-EXP(-N44/10))+(1-PREV_FEMALE)*PREV_SMOKE*$S44*(1-EXP(-O44/10))+(1-PREV_FEMALE)*(1-PREV_SMOKE)*(1-$S44)*(1-EXP(-P44/10))+(1-PREV_FEMALE)*(1-PREV_SMOKE)*$S44*(1-EXP(-Q44/10))</f>
        <v>3.1468101340056273E-2</v>
      </c>
      <c r="U44">
        <f t="shared" si="29"/>
        <v>0.6502515499199415</v>
      </c>
      <c r="V44">
        <f t="shared" si="30"/>
        <v>0.77036719798001085</v>
      </c>
      <c r="W44">
        <f t="shared" si="31"/>
        <v>0.39184466328677947</v>
      </c>
      <c r="X44">
        <f t="shared" si="32"/>
        <v>0.50167325252770079</v>
      </c>
      <c r="Y44">
        <f t="shared" si="33"/>
        <v>0.90144391980282701</v>
      </c>
      <c r="Z44">
        <f t="shared" si="34"/>
        <v>0.96214826214626448</v>
      </c>
      <c r="AA44">
        <f t="shared" si="35"/>
        <v>0.68010838460373368</v>
      </c>
      <c r="AB44">
        <f t="shared" si="36"/>
        <v>0.80020964406645989</v>
      </c>
      <c r="AC44">
        <f>PREV_FEMALE*PREV_SMOKE*(1-$R44)*(1-EXP(-U44/10))+PREV_FEMALE*PREV_SMOKE*$R44*(1-EXP(-V44/10))+PREV_FEMALE*(1-PREV_SMOKE)*(1-$R44)*(1-EXP(-W44/10))+PREV_FEMALE*(1-PREV_SMOKE)*$R44*(1-EXP(-X44/10))+(1-PREV_FEMALE)*PREV_SMOKE*(1-$S44)*(1-EXP(-Y44/10))+(1-PREV_FEMALE)*PREV_SMOKE*$S44*(1-EXP(-Z44/10))+(1-PREV_FEMALE)*(1-PREV_SMOKE)*(1-$S44)*(1-EXP(-AA44/10))+(1-PREV_FEMALE)*(1-PREV_SMOKE)*$S44*(1-EXP(-AB44/10))</f>
        <v>5.1314121871976232E-2</v>
      </c>
      <c r="AD44">
        <f t="shared" si="37"/>
        <v>2.7398179256404195E-2</v>
      </c>
      <c r="AE44">
        <f t="shared" si="6"/>
        <v>8.4062374007080019E-3</v>
      </c>
      <c r="AF44">
        <f t="shared" si="7"/>
        <v>5.2862219058334421E-4</v>
      </c>
      <c r="AG44">
        <f t="shared" si="8"/>
        <v>1.5278161817917333E-3</v>
      </c>
      <c r="AH44">
        <f>AD43*T43*p_MI*p_MI_rec_old*(1-I43)+AE43*T43*p_MI*p_MI_rec_old*(1-I43) + AH43*(PREV_FEMALE*p_recur_MI_F + (1-PREV_FEMALE)*p_recur_MI_M)*p_MI_rec_old*(1-I43) + AI43*(PREV_FEMALE*p_recur_MI_F + (1-PREV_FEMALE)*p_recur_MI_M)*p_MI_rec_old*(1-I43)</f>
        <v>2.4380815857709336E-4</v>
      </c>
      <c r="AI44">
        <f>AH43*(1-(PREV_FEMALE*p_recur_MI_F + (1-PREV_FEMALE)*p_recur_MI_M) - T43*p_Stroke - p_toHF_old - H43*rr_MI)*(1-I43) + AI43*(1-(PREV_FEMALE*p_recur_MI_F + (1-PREV_FEMALE)*p_recur_MI_M) - T43*p_Stroke - p_toHF_old - H43*rr_MI)*(1-I43)</f>
        <v>9.9367369043867242E-4</v>
      </c>
      <c r="AJ44">
        <f t="shared" si="11"/>
        <v>1.5740690184611786E-5</v>
      </c>
      <c r="AK44">
        <f>AF43*T43*p_MI*p_MI_rec_old*(1-I43) + AG43*T43*p_MI*p_MI_rec_old*(1-I43) + AJ43*(PREV_FEMALE*p_recur_MI_F + (1-PREV_FEMALE)*p_recur_MI_M)*p_MI_rec_old*(1-I43) + AK43*(PREV_FEMALE*p_recur_MI_F + (1-PREV_FEMALE)*p_recur_MI_M)*p_MI_rec_old*(1-I43) + AL43*(PREV_FEMALE*p_recur_MI_F + (1-PREV_FEMALE)*p_recur_MI_M)*p_MI_rec_old*(1-I43)</f>
        <v>1.3626917691090368E-5</v>
      </c>
      <c r="AL44">
        <f>AJ43*(1-p_recur_Stroke-(PREV_FEMALE*p_recur_MI_F + (1-PREV_FEMALE)*p_recur_MI_M) - p_toHF_old - H43*rr_MI*rr_Stroke)*(1-I43) + AK43*(1-p_recur_Stroke-(PREV_FEMALE*p_recur_MI_F + (1-PREV_FEMALE)*p_recur_MI_M) - p_toHF_old - H43*rr_MI*rr_Stroke)*(1-I43) + AL43*(1-p_recur_Stroke-(PREV_FEMALE*p_recur_MI_F + (1-PREV_FEMALE)*p_recur_MI_M) - p_toHF_old - H43*rr_MI*rr_Stroke)*(1-I43)</f>
        <v>2.0770373836084687E-5</v>
      </c>
      <c r="AM44">
        <f>AD43*T43*p_MI*p_MI_HF_old*(1-I43) + AE43*T43*p_MI*p_MI_HF_old*(1-I43) + AH43*p_toHF_old*(1-I43) + AH43*(PREV_FEMALE*p_recur_MI_F + (1-PREV_FEMALE)*p_recur_MI_M)*p_MI_HF_old*(1-I43) + AI43*p_toHF_old*(1-I43) + AI43*(PREV_FEMALE*p_recur_MI_F + (1-PREV_FEMALE)*p_recur_MI_M)*p_MI_HF_old*(1-I43)</f>
        <v>2.112619704610413E-4</v>
      </c>
      <c r="AN44">
        <f t="shared" si="15"/>
        <v>2.7065912743070237E-3</v>
      </c>
      <c r="AO44">
        <f>AF43*T43*p_MI*p_MI_HF_old*(1-I43) + AG43*T43*p_MI*p_MI_HF_old*(1-I43) + AJ43*(PREV_FEMALE*p_recur_MI_F + (1-PREV_FEMALE)*p_recur_MI_M)*p_MI_HF_old*(1-I43) + AJ43*p_toHF_old*(1-I43) + AK43*(PREV_FEMALE*p_recur_MI_F + (1-PREV_FEMALE)*p_recur_MI_M)*p_MI_HF_old*(1-I43) + AK43*p_toHF_old*(1-I43) + AL43*(PREV_FEMALE*p_recur_MI_F + (1-PREV_FEMALE)*p_recur_MI_M)*p_MI_HF_old*(1-I43) + AL43*p_toHF_old*(1-I43)</f>
        <v>1.0474352931893685E-5</v>
      </c>
      <c r="AP44">
        <f>AM43*T43*p_Stroke*p_Stroke_rec*(1-I43) + AN43*T43*p_Stroke*p_Stroke_rec*(1-I43) + AO43*(p_recur_Stroke*p_Stroke_rec)*(1-I43) + AP43*(p_recur_Stroke*p_Stroke_rec)*(1-I43) + AQ43*(p_recur_Stroke*p_Stroke_rec)*(1-I43)</f>
        <v>3.2983549661526004E-5</v>
      </c>
      <c r="AQ44">
        <f>AO43*(1-p_recur_Stroke-H43*rr_Stroke*rr_HF)*(1-I43) + AP43*(1-p_recur_Stroke-H43*rr_Stroke*rr_HF)*(1-I43) + AQ43*(1-p_recur_Stroke-H43*rr_Stroke*rr_HF)*(1-I43)</f>
        <v>4.8773184889498069E-5</v>
      </c>
      <c r="AR44">
        <f>AR43*(1-AC43-H43*rr_DM) + AD43*(1-T43-H43)*I43</f>
        <v>0.10598848257088134</v>
      </c>
      <c r="AS44">
        <f>AR43*AC43*p_Other + AD43*T43*p_Other*I43 + AE43*(1-T43*p_Stroke-T43*p_MI-H43*rr_Other)*I43 + AS43*(1-AC43*p_Stroke-AC43*p_MI-H43*rr_Other*rr_DM)</f>
        <v>5.3171934066540083E-2</v>
      </c>
      <c r="AT44">
        <f>AR43*AC43*p_Stroke*p_Stroke_rec + AD43*T43*p_Stroke*p_Stroke_rec*I43 + AE43*T43*p_Stroke*p_Stroke_rec*I43 + AF43*p_recur_Stroke*p_Stroke_rec*I43 + AG43*p_recur_Stroke*p_Stroke_rec*I43 + AS43*AC43*p_Stroke*p_Stroke_rec + AT43*p_recur_Stroke*p_Stroke_rec + AU43*p_recur_Stroke*p_Stroke_rec</f>
        <v>3.8472502651115612E-3</v>
      </c>
      <c r="AU44">
        <f>AF43*(1-p_recur_Stroke-T43*p_MI-H43*rr_Stroke)*I43 + AG43*(1-p_recur_Stroke-T43*p_MI-H43*rr_Stroke)*I43 + AT43*(1-p_recur_Stroke-AC43*p_MI-H43*rr_Stroke*rr_DM) + AU43*(1-p_recur_Stroke-AC43*p_MI-H43*rr_Stroke*rr_DM)</f>
        <v>1.0075797321526751E-2</v>
      </c>
      <c r="AV44">
        <f>AR43*AC43*p_MI*p_MI_rec_old + AD43*T43*p_MI*p_MI_rec_old*I43 + AE43*T43*p_MI*p_MI_rec_old*I43 +AH43*(PREV_FEMALE*p_recur_MI_F + (1-PREV_FEMALE)*p_recur_MI_M)*p_MI_rec_old*I43 + AI43*(PREV_FEMALE*p_recur_MI_F + (1-PREV_FEMALE)*p_recur_MI_M)*p_MI_rec_old*I43 + AS43*AC43*p_MI*p_MI_rec_old + AV43*(PREV_FEMALE*p_recur_MI_F + (1-PREV_FEMALE)*p_recur_MI_M)*p_MI_rec_old + AW43*(PREV_FEMALE*p_recur_MI_F + (1-PREV_FEMALE)*p_recur_MI_M)*p_MI_rec_old</f>
        <v>1.844326537358606E-3</v>
      </c>
      <c r="AW44">
        <f>AH43*(1-(PREV_FEMALE*p_recur_MI_F + (1-PREV_FEMALE)*p_recur_MI_M) - T43*p_Stroke - p_toHF_old - H43*rr_MI)*I43 + AI43*(1-(PREV_FEMALE*p_recur_MI_F + (1-PREV_FEMALE)*p_recur_MI_M) - T43*p_Stroke - p_toHF_old - H43*rr_MI)*I43 + AV43*(1-(PREV_FEMALE*p_recur_MI_F + (1-PREV_FEMALE)*p_recur_MI_M) - AC43*p_Stroke - p_toHF_old - H43*rr_MI*rr_DM) + AW43*(1-(PREV_FEMALE*p_recur_MI_F + (1-PREV_FEMALE)*p_recur_MI_M) - AC43*p_Stroke - p_toHF_old - H43*rr_MI*rr_DM)</f>
        <v>7.4083834292741988E-3</v>
      </c>
      <c r="AX44">
        <f>AH43*T43*p_Stroke*p_Stroke_rec*I43 + AI43*T43*p_Stroke*p_Stroke_rec*I43 + AJ43*p_recur_Stroke*p_Stroke_rec*I43 + AK43*p_recur_Stroke*p_Stroke_rec*I43 + AL43*p_recur_Stroke*p_Stroke_rec*I43 + AV43*AC43*p_Stroke*p_Stroke_rec + AW43*AC43*p_Stroke*p_Stroke_rec + AX43*p_recur_Stroke*p_Stroke_rec + AY43*p_recur_Stroke*p_Stroke_rec + AZ43*p_recur_Stroke*p_Stroke_rec</f>
        <v>1.8886169525689607E-4</v>
      </c>
      <c r="AY44">
        <f>AF43*T43*p_MI*p_MI_rec_old*I43 + AG43*T43*p_MI*p_MI_rec_old*I43 + AJ43*(PREV_FEMALE*p_recur_MI_F+(1-PREV_FEMALE)*p_recur_MI_M)*p_MI_rec_old*I43 + AK43*(PREV_FEMALE*p_recur_MI_F+(1-PREV_FEMALE)*p_recur_MI_M)*p_MI_rec_old*I43 + AL43*(PREV_FEMALE*p_recur_MI_F+(1-PREV_FEMALE)*p_recur_MI_M)*p_MI_rec_old*I43 + AT43*AC43*p_MI*p_MI_rec_old + AU43*AC43*p_MI*p_MI_rec_old + AX43*(PREV_FEMALE*p_recur_MI_F+(1-PREV_FEMALE)*p_recur_MI_M)*p_MI_rec_old + AY43*(PREV_FEMALE*p_recur_MI_F+(1-PREV_FEMALE)*p_recur_MI_M)*p_MI_rec_old + AZ43*(PREV_FEMALE*p_recur_MI_F+(1-PREV_FEMALE)*p_recur_MI_M)*p_MI_rec_old</f>
        <v>1.5606574487338052E-4</v>
      </c>
      <c r="AZ44">
        <f>AJ43*(1-p_recur_Stroke-(PREV_FEMALE*p_recur_MI_F + (1-PREV_FEMALE)*p_recur_MI_M) - p_toHF_old - H43*rr_MI*rr_Stroke)*I43 + AK43*(1-p_recur_Stroke-(PREV_FEMALE*p_recur_MI_F + (1-PREV_FEMALE)*p_recur_MI_M) - p_toHF_old - H43*rr_MI*rr_Stroke)*I43 + AL43*(1-p_recur_Stroke-(PREV_FEMALE*p_recur_MI_F + (1-PREV_FEMALE)*p_recur_MI_M) - p_toHF_old - H43*rr_MI*rr_Stroke)*I43 + AX43*(1-p_recur_Stroke-(PREV_FEMALE*p_recur_MI_F + (1-PREV_FEMALE)*p_recur_MI_M) - p_toHF_old - H43*rr_MI*rr_Stroke*rr_DM) + AY43*(1-p_recur_Stroke-(PREV_FEMALE*p_recur_MI_F + (1-PREV_FEMALE)*p_recur_MI_M) - p_toHF_old - H43*rr_MI*rr_Stroke*rr_DM) + AZ43*(1-p_recur_Stroke-(PREV_FEMALE*p_recur_MI_F + (1-PREV_FEMALE)*p_recur_MI_M) - p_toHF_old - H43*rr_MI*rr_Stroke*rr_DM)</f>
        <v>1.9352828815815572E-4</v>
      </c>
      <c r="BA44">
        <f>AR43*AC43*p_MI*p_MI_HF_old + AD43*T43*p_MI*p_MI_HF_old*I43 + AE43*T43*p_MI*p_MI_HF_old*I43 + AH43*p_toHF_old*I43 + AH43*(PREV_FEMALE*p_recur_MI_F + (1-PREV_FEMALE)*p_recur_MI_M)*p_MI_HF_old*I43 + AI43*p_toHF_old*I43 + AI43*(PREV_FEMALE*p_recur_MI_F + (1-PREV_FEMALE)*p_recur_MI_M)*p_MI_HF_old*I43 + AS43*AC43*p_MI*p_MI_HF_old + AV43*(PREV_FEMALE*p_recur_MI_F + (1-PREV_FEMALE)*p_recur_MI_M)*p_MI_HF_old + AV43*p_toHF_old + AW43*(PREV_FEMALE*p_recur_MI_F + (1-PREV_FEMALE)*p_recur_MI_M)*p_MI_HF_old + AW43*p_toHF_old</f>
        <v>1.6132548609086863E-3</v>
      </c>
      <c r="BB44">
        <f>AM43*(1-T43*p_Stroke - H43*rr_HF)*I43 + AN43*(1-T43*p_Stroke - H43*rr_HF)*I43 + BA43*(1-AC43*p_Stroke - H43*rr_HF*rr_DM) + BB43*(1-AC43*p_Stroke - H43*rr_HF*rr_DM)</f>
        <v>1.9738989384826267E-2</v>
      </c>
      <c r="BC44">
        <f>AF43*T43*p_MI*p_MI_HF_old*I43 + AG43*T43*p_MI*p_MI_HF_old*I43 + AJ43*(PREV_FEMALE*p_recur_MI_F + (1-PREV_FEMALE)*p_recur_MI_M)*p_MI_HF_old*I43 + AJ43*p_toHF_old*I43 + AK43*(PREV_FEMALE*p_recur_MI_F + (1-PREV_FEMALE)*p_recur_MI_M)*p_MI_HF_old*I43 + AK43*p_toHF_old*I43 + AL43*(PREV_FEMALE*p_recur_MI_F + (1-PREV_FEMALE)*p_recur_MI_M)*p_MI_HF_old*I43 + AL43*p_toHF_old*I43 + AT43*AC43*p_MI*p_MI_HF_old + AU43*AC43*p_MI*p_MI_HF_old + AX43*(PREV_FEMALE*p_recur_MI_F + (1-PREV_FEMALE)*p_recur_MI_M)*p_MI_HF_old + AX43*p_toHF_old + AY43*(PREV_FEMALE*p_recur_MI_F + (1-PREV_FEMALE)*p_recur_MI_M)*p_MI_HF_old + AY43*p_toHF_old + AZ43*(PREV_FEMALE*p_recur_MI_F + (1-PREV_FEMALE)*p_recur_MI_M)*p_MI_HF_old + AZ43*p_toHF_old</f>
        <v>1.1876097502790611E-4</v>
      </c>
      <c r="BD44">
        <f>AM43*T43*p_Stroke*p_Stroke_rec*I43 + AN43*T43*p_Stroke*p_Stroke_rec*I43 + AO43*(p_recur_Stroke*p_Stroke_rec)*I43 + AP43*(p_recur_Stroke*p_Stroke_rec)*I43 + AQ43*(p_recur_Stroke*p_Stroke_rec)*I43 + BA43*AC43*p_Stroke*p_Stroke_rec + BB43*AC43*p_Stroke*p_Stroke_rec + BC43*(p_recur_Stroke*p_Stroke_rec) + BD43*(p_recur_Stroke*p_Stroke_rec) + BE43*(p_recur_Stroke*p_Stroke_rec)</f>
        <v>3.8607574499376995E-4</v>
      </c>
      <c r="BE44">
        <f>AO43*(1-p_recur_Stroke - H43*rr_Stroke*rr_HF)*I43 + AP43*(1-p_recur_Stroke-H43*rr_Stroke*rr_HF)*I43 + AQ43*(1-p_recur_Stroke-H43*rr_Stroke*rr_HF)*I43 + BC43*(1-p_recur_Stroke - H43*rr_Stroke*rr_HF*rr_DM) + BD43*(1-p_recur_Stroke-H43*rr_Stroke*rr_HF*rr_DM) + BE43*(1-p_recur_Stroke-H43*rr_Stroke*rr_HF*rr_DM)</f>
        <v>4.4377089457154083E-4</v>
      </c>
      <c r="BF44">
        <f>AD43*H43 + AE43*H43*rr_Other + AF43*H43*rr_Stroke + AG43*H43*rr_Stroke + AH43*H43*rr_MI + AI43*H43*rr_MI + AJ43*H43*rr_Stroke*rr_MI + AK43*H43*rr_Stroke*rr_MI + AL43*H43*rr_Stroke*rr_MI + AM43*H43*rr_HF + AN43*H43*rr_HF + AO43*H43*rr_Stroke*rr_HF + AP43*H43*rr_Stroke*rr_HF + AR43*H43*rr_DM + AS43*H43*rr_DM*rr_Other + AT43*H43*rr_DM*rr_Stroke + AU43*H43*rr_DM*rr_Stroke + AV43*H43*rr_DM*rr_MI + AW43*H43*rr_DM*rr_MI + AX43*H43*rr_DM*rr_Stroke*rr_MI + AY43*H43*rr_DM*rr_Stroke*rr_MI + AZ43*H43*rr_DM*rr_Stroke*rr_MI + BA43*H43*rr_DM*rr_HF + BB43*H43*rr_DM*rr_HF + BC43*H43*rr_DM*rr_Stroke*rr_HF + BD43*H43*rr_DM*rr_Stroke*rr_HF + AQ43*H43*rr_Stroke*rr_HF + BE43*H43*rr_DM*rr_Stroke*rr_HF
+ AD43*T43*p_MI*p_MI_mort + AD43*T43*p_Stroke*p_Stroke_mort + AE43*T43*p_MI*p_MI_mort + AE43*T43*p_Stroke*p_Stroke_mort + AF43*T43*p_MI*p_MI_mort + AF43*p_recur_Stroke*p_Stroke_mort + AG43*T43*p_MI*p_MI_mort + AG43*p_recur_Stroke*p_Stroke_mort + AH43*(PREV_FEMALE*p_recur_MI_F + (1-PREV_FEMALE)*p_recur_MI_M)*p_MI_mort + AH43*T43*p_Stroke*p_Stroke_mort + AI43*(PREV_FEMALE*p_recur_MI_F + (1-PREV_FEMALE)*p_recur_MI_M)*p_MI_mort + AI43*T43*p_Stroke*p_Stroke_mort + AJ43*(PREV_FEMALE*p_recur_MI_F + (1-PREV_FEMALE)*p_recur_MI_M)*p_MI_mort + AJ43*p_recur_Stroke*p_Stroke_mort + AK43*(PREV_FEMALE*p_recur_MI_F + (1-PREV_FEMALE)*p_recur_MI_M)*p_MI_mort + AK43*p_recur_Stroke*p_Stroke_mort + AL43*(PREV_FEMALE*p_recur_MI_F + (1-PREV_FEMALE)*p_recur_MI_M)*p_MI_mort + AL43*p_recur_Stroke*p_Stroke_mort + AM43*T43*p_Stroke*p_Stroke_mort + AN43*T43*p_Stroke*p_Stroke_mort + AO43*p_recur_Stroke*p_Stroke_mort + AP43*p_recur_Stroke*p_Stroke_mort + AQ43*p_recur_Stroke*p_Stroke_mort
+ AR43*AC43*p_MI*p_MI_mort + AR43*AC43*p_Stroke*p_Stroke_mort + AS43*AC43*p_MI*p_MI_mort + AS43*AC43*p_Stroke*p_Stroke_mort + AT43*AC43*p_MI*p_MI_mort + AT43*p_recur_Stroke*p_Stroke_mort + AU43*AC43*p_MI*p_MI_mort + AU43*p_recur_Stroke*p_Stroke_mort + AV43*(PREV_FEMALE*p_recur_MI_F + (1-PREV_FEMALE)*p_recur_MI_M)*p_MI_mort + AV43*AC43*p_Stroke*p_Stroke_mort + AW43*(PREV_FEMALE*p_recur_MI_F + (1-PREV_FEMALE)*p_recur_MI_M)*p_MI_mort + AW43*AC43*p_Stroke*p_Stroke_mort + AX43*(PREV_FEMALE*p_recur_MI_F + (1-PREV_FEMALE)*p_recur_MI_M)*p_MI_mort + AX43*p_recur_Stroke*p_Stroke_mort + AY43*(PREV_FEMALE*p_recur_MI_F + (1-PREV_FEMALE)*p_recur_MI_M)*p_MI_mort + AY43*p_recur_Stroke*p_Stroke_mort + AZ43*(PREV_FEMALE*p_recur_MI_F + (1-PREV_FEMALE)*p_recur_MI_M)*p_MI_mort + AZ43*p_recur_Stroke*p_Stroke_mort + BA43*AC43*p_Stroke*p_Stroke_mort + BB43*AC43*p_Stroke*p_Stroke_mort + BC43*p_recur_Stroke*p_Stroke_mort + BD43*p_recur_Stroke*p_Stroke_mort + BE43*p_recur_Stroke*p_Stroke_mort
+BF43</f>
        <v>0.69966595902822537</v>
      </c>
      <c r="BG44">
        <f t="shared" si="17"/>
        <v>0.94700000000000029</v>
      </c>
      <c r="BH44">
        <f>(0.9442 - 0.0007*$B44 - dis_BMI*($C44-21.75))*AD44</f>
        <v>2.2908806757259273E-2</v>
      </c>
      <c r="BI44">
        <f>0.959*(0.9442 - 0.0007*$B44 - dis_BMI*($C44-21.75))*AE44</f>
        <v>6.740638304656309E-3</v>
      </c>
      <c r="BJ44">
        <f>(0.943*(0.9442 - 0.0007*$B44 - dis_BMI*($C44-21.75)) - 0.19*0.5)*AF44</f>
        <v>3.6659062216664874E-4</v>
      </c>
      <c r="BK44">
        <f>(0.943*(0.9442 - 0.0007*$B44 - dis_BMI*($C44-21.75)))*AG44</f>
        <v>1.2046574320597114E-3</v>
      </c>
      <c r="BL44">
        <f>(0.955*(0.9442 - 0.0007*$B44 - dis_BMI*($C44-21.75)) - 0.15*0.5)*AH44</f>
        <v>1.7639933454739046E-4</v>
      </c>
      <c r="BM44">
        <f>(0.955*(0.9442 - 0.0007*$B44 - dis_BMI*($C44-21.75)))*AI44</f>
        <v>7.9346528160331178E-4</v>
      </c>
      <c r="BN44">
        <f>(0.955*0.943*(0.9442 - 0.0007*$B44 - dis_BMI*($C44-21.75)) - 0.19*0.5)*AJ44</f>
        <v>1.0357397453767273E-5</v>
      </c>
      <c r="BO44">
        <f>(0.955*0.943*(0.9442 - 0.0007*$B44 - dis_BMI*($C44-21.75)) - 0.15*0.5)*AK44</f>
        <v>9.2390703763105353E-6</v>
      </c>
      <c r="BP44">
        <f>(0.955*0.943*(0.9442 - 0.0007*$B44 - dis_BMI*($C44-21.75)))*AL44</f>
        <v>1.5640122259931599E-5</v>
      </c>
      <c r="BQ44">
        <f>(0.93*(0.9442 - 0.0007*$B44 - dis_BMI*($C44-21.75)))*AM44</f>
        <v>1.6428013111295501E-4</v>
      </c>
      <c r="BR44">
        <f>(0.93*(0.9442 - 0.0007*$B44 - dis_BMI*($C44-21.75)))*AN44</f>
        <v>2.104681540373749E-3</v>
      </c>
      <c r="BS44">
        <f>(0.93*0.943*(0.9442 - 0.0007*$B44 - dis_BMI*($C44-21.75)))*AO44</f>
        <v>7.6807319806501744E-6</v>
      </c>
      <c r="BT44">
        <f>(0.93*0.943*(0.9442 - 0.0007*$B44 - dis_BMI*($C44-21.75))-0.19*0.5)*AP44</f>
        <v>2.1053050135397617E-5</v>
      </c>
      <c r="BU44">
        <f>(0.93*0.943*(0.9442 - 0.0007*$B44 - dis_BMI*($C44-21.75)))*AQ44</f>
        <v>3.5764859501560092E-5</v>
      </c>
      <c r="BV44">
        <f>0.962*(0.9442 - 0.0007*$B44 - dis_BMI*($C44-21.75))*AR44</f>
        <v>8.5253950510906479E-2</v>
      </c>
      <c r="BW44">
        <f>0.962*0.959*(0.9442 - 0.0007*$B44 - dis_BMI*($C44-21.75))*AS44</f>
        <v>4.1016339843492892E-2</v>
      </c>
      <c r="BX44">
        <f>0.962*(0.943*(0.9442 - 0.0007*$B44 - dis_BMI*($C44-21.75)) - 0.19*0.5)*AT44</f>
        <v>2.566619391866132E-3</v>
      </c>
      <c r="BY44">
        <f>0.962*(0.943*(0.9442 - 0.0007*$B44 - dis_BMI*($C44-21.75)))*AU44</f>
        <v>7.64270248582737E-3</v>
      </c>
      <c r="BZ44">
        <f>0.962*(0.955*(0.9442 - 0.0007*$B44 - dis_BMI*($C44-21.75)) - 0.15*0.5)*AV44</f>
        <v>1.2836942483687103E-3</v>
      </c>
      <c r="CA44">
        <f>0.962*(0.955*(0.9442 - 0.0007*$B44 - dis_BMI*($C44-21.75)))*AW44</f>
        <v>5.6909223688597459E-3</v>
      </c>
      <c r="CB44">
        <f>0.962*(0.955*0.943*(0.9442 - 0.0007*$B44 - dis_BMI*($C44-21.75)) - 0.19*0.5)*AX44</f>
        <v>1.1954896673006177E-4</v>
      </c>
      <c r="CC44">
        <f>0.962*(0.955*0.943*(0.9442 - 0.0007*$B44 - dis_BMI*($C44-21.75)) - 0.15*0.5)*AY44</f>
        <v>1.0179191952668722E-4</v>
      </c>
      <c r="CD44">
        <f>0.962*(0.955*0.943*(0.9442 - 0.0007*$B44 - dis_BMI*($C44-21.75)))*AZ44</f>
        <v>1.4018945827365319E-4</v>
      </c>
      <c r="CE44">
        <f>0.962*(0.93*(0.9442 - 0.0007*$B44 - dis_BMI*($C44-21.75)))*BA44</f>
        <v>1.2068179717801921E-3</v>
      </c>
      <c r="CF44">
        <f>0.962*(0.93*(0.9442 - 0.0007*$B44 - dis_BMI*($C44-21.75)))*BB44</f>
        <v>1.4766028425892414E-2</v>
      </c>
      <c r="CG44">
        <f>0.962*(0.93*0.943*(0.9442 - 0.0007*$B44 - dis_BMI*($C44-21.75)))*BC44</f>
        <v>8.3776889926821165E-5</v>
      </c>
      <c r="CH44">
        <f>0.962*(0.93*0.943*(0.9442 - 0.0007*$B44 - dis_BMI*($C44-21.75))-0.19*0.5)*BD44</f>
        <v>2.3706378964874882E-4</v>
      </c>
      <c r="CI44">
        <f>0.962*(0.93*0.943*(0.9442 - 0.0007*$B44 - dis_BMI*($C44-21.75)))*BE44</f>
        <v>3.1304681843939914E-4</v>
      </c>
      <c r="CJ44">
        <f t="shared" si="18"/>
        <v>0</v>
      </c>
      <c r="CK44">
        <f t="shared" si="19"/>
        <v>0.1949817477250263</v>
      </c>
      <c r="CL44">
        <f>CK44/(1+r_)^A44</f>
        <v>5.8032027758387825E-2</v>
      </c>
      <c r="CM44">
        <f>AD44*c_BN_2</f>
        <v>57.399185542166791</v>
      </c>
      <c r="CN44">
        <f>AE44*(c_Other+c_BN_2)</f>
        <v>137.64373119919281</v>
      </c>
      <c r="CO44">
        <f>AF44*(c_Stroke1+c_Stroke2+c_BN_2)</f>
        <v>13.697129580205031</v>
      </c>
      <c r="CP44">
        <f>AG44*(c_Stroke2 + c_BN_2)</f>
        <v>13.131580082499948</v>
      </c>
      <c r="CQ44">
        <f>AH44*(c_MI1+c_MI2 + c_BN_2)</f>
        <v>7.618029722899859</v>
      </c>
      <c r="CR44">
        <f>AI44*(c_MI2+c_BN_2)</f>
        <v>5.1790272745663604</v>
      </c>
      <c r="CS44">
        <f>AJ44*(c_Stroke1+c_Stroke2+c_MI2+c_BN_2)</f>
        <v>0.45692075467891091</v>
      </c>
      <c r="CT44">
        <f>AK44*(c_Stroke2+c_MI1+c_MI2+c_BN_2)</f>
        <v>0.51436163516789701</v>
      </c>
      <c r="CU44">
        <f>AL44*(c_Stroke2+c_MI2+c_BN_2)</f>
        <v>0.24326261836822385</v>
      </c>
      <c r="CV44">
        <f>AM44*(c_HF1+c_BN_2)</f>
        <v>6.1530048896778275</v>
      </c>
      <c r="CW44">
        <f>AN44*(c_HF2+c_BN_2)</f>
        <v>47.906665555234319</v>
      </c>
      <c r="CX44">
        <f>AO44*(c_Stroke2+c_HF1+c_BN_2)</f>
        <v>0.37314882319871251</v>
      </c>
      <c r="CY44">
        <f>AP44*(c_Stroke1+c_Stroke2+c_HF2+c_BN_2)</f>
        <v>1.3693450477479137</v>
      </c>
      <c r="CZ44">
        <f>AQ44*(c_Stroke2+c_HF2+c_BN_2)</f>
        <v>1.1803110743258534</v>
      </c>
      <c r="DA44">
        <f>AR44*(c_DM+c_BN_2)</f>
        <v>1432.9642843583156</v>
      </c>
      <c r="DB44">
        <f>AS44*(c_Other+c_DM+c_BN_2)</f>
        <v>1478.1265951157477</v>
      </c>
      <c r="DC44">
        <f>AT44*(c_Stroke1+c_Stroke2+c_DM+c_BN_2)</f>
        <v>143.64093589820524</v>
      </c>
      <c r="DD44">
        <f>AU44*(c_Stroke2+c_DM+c_BN_2)</f>
        <v>201.71746237696556</v>
      </c>
      <c r="DE44">
        <f>AV44*(c_MI1+c_MI2+c_DM+c_BN_2)</f>
        <v>78.699257675629084</v>
      </c>
      <c r="DF44">
        <f>AW44*(c_MI2+c_DM+c_BN_2)</f>
        <v>123.25327511283484</v>
      </c>
      <c r="DG44">
        <f>AX44*(c_Stroke1+c_Stroke2+c_MI2+c_DM+c_BN_2)</f>
        <v>7.6400221582272172</v>
      </c>
      <c r="DH44">
        <f>AY44*(c_Stroke2+c_MI1+c_MI2+c_DM+c_BN_2)</f>
        <v>7.6739087411689937</v>
      </c>
      <c r="DI44">
        <f>AZ44*(c_Stroke2+c_MI2+c_DM+c_BN_2)</f>
        <v>4.4776640031152493</v>
      </c>
      <c r="DJ44">
        <f>BA44*(c_HF1+c_DM+c_BN_2)</f>
        <v>65.417484609847236</v>
      </c>
      <c r="DK44">
        <f>BB44*(c_HF2+c_DM+c_BN_2)</f>
        <v>574.89806583306506</v>
      </c>
      <c r="DL44">
        <f>BC44*(c_Stroke2+c_HF1+c_DM+c_BN_2)</f>
        <v>5.5877038750629824</v>
      </c>
      <c r="DM44">
        <f>BD44*(c_Stroke1+c_Stroke2+c_HF2+c_DM+c_BN_2)</f>
        <v>20.439236015715174</v>
      </c>
      <c r="DN44">
        <f>BE44*(c_Stroke2+c_HF2+c_DM+c_BN_2)</f>
        <v>15.809338119111143</v>
      </c>
      <c r="DO44">
        <f t="shared" si="5"/>
        <v>0</v>
      </c>
      <c r="DP44">
        <f t="shared" si="38"/>
        <v>4453.2109376929411</v>
      </c>
      <c r="DQ44">
        <f>DP44/(1+r_)^A44</f>
        <v>1325.4002683092331</v>
      </c>
    </row>
    <row r="45" spans="1:121" x14ac:dyDescent="0.3">
      <c r="A45">
        <v>42</v>
      </c>
      <c r="B45">
        <v>87</v>
      </c>
      <c r="C45">
        <f t="shared" si="39"/>
        <v>36.251999999999995</v>
      </c>
      <c r="D45">
        <f t="shared" si="1"/>
        <v>125</v>
      </c>
      <c r="E45">
        <f t="shared" ref="E45:E67" si="41">E$4</f>
        <v>5.7</v>
      </c>
      <c r="F45">
        <v>9.1389999999999999E-2</v>
      </c>
      <c r="G45">
        <v>0.11588</v>
      </c>
      <c r="H45">
        <f t="shared" ref="H45:H67" si="42">(PREV_FEMALE*F45 + (1-PREV_FEMALE)*G45)</f>
        <v>9.6287999999999985E-2</v>
      </c>
      <c r="I45">
        <f t="shared" ref="I45:I67" si="43">0.00000146 * EXP(1.87 * E45) * 0.0197 * EXP(0.101*C45)</f>
        <v>4.7655426853004217E-2</v>
      </c>
      <c r="J45">
        <f t="shared" si="21"/>
        <v>0.39234234885932695</v>
      </c>
      <c r="K45">
        <f t="shared" si="22"/>
        <v>0.50224428917905328</v>
      </c>
      <c r="L45">
        <f t="shared" si="23"/>
        <v>0.21007764144120478</v>
      </c>
      <c r="M45">
        <f t="shared" si="24"/>
        <v>0.28126657319199277</v>
      </c>
      <c r="N45">
        <f t="shared" si="25"/>
        <v>0.75624503269466814</v>
      </c>
      <c r="O45">
        <f t="shared" si="26"/>
        <v>0.86392697141673902</v>
      </c>
      <c r="P45">
        <f t="shared" si="27"/>
        <v>0.50060004950457171</v>
      </c>
      <c r="Q45">
        <f t="shared" si="28"/>
        <v>0.62510377789425664</v>
      </c>
      <c r="R45">
        <f>IF(C45&lt;25, HT_f_low, IF(C45&lt;30, HT_f_mod, HT_f_high))</f>
        <v>0.42</v>
      </c>
      <c r="S45">
        <f>IF(C45&lt;25, HT_m_low, IF(C45&lt;30, HT_m_mod, HT_m_high))</f>
        <v>0.43099999999999999</v>
      </c>
      <c r="T45">
        <f>PREV_FEMALE*PREV_SMOKE*(1-$R45)*(1-EXP(-J45/10))+PREV_FEMALE*PREV_SMOKE*$R45*(1-EXP(-K45/10))+PREV_FEMALE*(1-PREV_SMOKE)*(1-$R45)*(1-EXP(-L45/10))+PREV_FEMALE*(1-PREV_SMOKE)*$R45*(1-EXP(-M45/10))+(1-PREV_FEMALE)*PREV_SMOKE*(1-$S45)*(1-EXP(-N45/10))+(1-PREV_FEMALE)*PREV_SMOKE*$S45*(1-EXP(-O45/10))+(1-PREV_FEMALE)*(1-PREV_SMOKE)*(1-$S45)*(1-EXP(-P45/10))+(1-PREV_FEMALE)*(1-PREV_SMOKE)*$S45*(1-EXP(-Q45/10))</f>
        <v>3.224347738568769E-2</v>
      </c>
      <c r="U45">
        <f t="shared" si="29"/>
        <v>0.66179873907950248</v>
      </c>
      <c r="V45">
        <f t="shared" si="30"/>
        <v>0.7809143391721094</v>
      </c>
      <c r="W45">
        <f t="shared" si="31"/>
        <v>0.40143393106546688</v>
      </c>
      <c r="X45">
        <f t="shared" si="32"/>
        <v>0.51264277641144429</v>
      </c>
      <c r="Y45">
        <f t="shared" si="33"/>
        <v>0.90946684024395907</v>
      </c>
      <c r="Z45">
        <f t="shared" si="34"/>
        <v>0.96642772237408836</v>
      </c>
      <c r="AA45">
        <f t="shared" si="35"/>
        <v>0.69319386171269581</v>
      </c>
      <c r="AB45">
        <f t="shared" si="36"/>
        <v>0.81165912699018872</v>
      </c>
      <c r="AC45">
        <f>PREV_FEMALE*PREV_SMOKE*(1-$R45)*(1-EXP(-U45/10))+PREV_FEMALE*PREV_SMOKE*$R45*(1-EXP(-V45/10))+PREV_FEMALE*(1-PREV_SMOKE)*(1-$R45)*(1-EXP(-W45/10))+PREV_FEMALE*(1-PREV_SMOKE)*$R45*(1-EXP(-X45/10))+(1-PREV_FEMALE)*PREV_SMOKE*(1-$S45)*(1-EXP(-Y45/10))+(1-PREV_FEMALE)*PREV_SMOKE*$S45*(1-EXP(-Z45/10))+(1-PREV_FEMALE)*(1-PREV_SMOKE)*(1-$S45)*(1-EXP(-AA45/10))+(1-PREV_FEMALE)*(1-PREV_SMOKE)*$S45*(1-EXP(-AB45/10))</f>
        <v>5.2314509836745716E-2</v>
      </c>
      <c r="AD45">
        <f t="shared" ref="AD45:AD67" si="44">AD44*(1-T44-H44)*(1-I44)</f>
        <v>2.3021625312170758E-2</v>
      </c>
      <c r="AE45">
        <f t="shared" ref="AE45:AE67" si="45">AD44*T44*p_Other*(1-I44) + AE44*(1-T44*(1-p_Other)-H44*rr_Other)*(1-I44)</f>
        <v>7.0323366441807219E-3</v>
      </c>
      <c r="AF45">
        <f t="shared" ref="AF45:AF67" si="46">AD44*T44*p_Stroke*p_Stroke_rec*(1-I44)+AE44*T44*p_Stroke*p_Stroke_rec*(1-I44) + AF44*p_recur_Stroke*p_Stroke_rec*(1-I44) + AG44*p_recur_Stroke*p_Stroke_rec*(1-I44)</f>
        <v>4.4325914765782037E-4</v>
      </c>
      <c r="AG45">
        <f t="shared" ref="AG45:AG67" si="47">AF44*(1-p_recur_Stroke-T44*p_MI-H44*rr_Stroke)*(1-I44) + AG44*(1-p_recur_Stroke-T44*p_MI-H44*rr_Stroke)*(1-I44)</f>
        <v>1.1813217216324686E-3</v>
      </c>
      <c r="AH45">
        <f>AD44*T44*p_MI*p_MI_rec_old*(1-I44)+AE44*T44*p_MI*p_MI_rec_old*(1-I44) + AH44*(PREV_FEMALE*p_recur_MI_F + (1-PREV_FEMALE)*p_recur_MI_M)*p_MI_rec_old*(1-I44) + AI44*(PREV_FEMALE*p_recur_MI_F + (1-PREV_FEMALE)*p_recur_MI_M)*p_MI_rec_old*(1-I44)</f>
        <v>2.1084920986028268E-4</v>
      </c>
      <c r="AI45">
        <f>AH44*(1-(PREV_FEMALE*p_recur_MI_F + (1-PREV_FEMALE)*p_recur_MI_M) - T44*p_Stroke - p_toHF_old - H44*rr_MI)*(1-I44) + AI44*(1-(PREV_FEMALE*p_recur_MI_F + (1-PREV_FEMALE)*p_recur_MI_M) - T44*p_Stroke - p_toHF_old - H44*rr_MI)*(1-I44)</f>
        <v>8.2781829752104396E-4</v>
      </c>
      <c r="AJ45">
        <f t="shared" ref="AJ45:AJ67" si="48">AH44*T44*p_Stroke*p_Stroke_rec*(1-I44) + AI44*T44*p_Stroke*p_Stroke_rec*(1-I44) + AJ44*p_recur_Stroke*p_Stroke_rec*(1-I44) + AK44*p_recur_Stroke*p_Stroke_rec*(1-I44) + AL44*p_recur_Stroke*p_Stroke_rec*(1-I44)</f>
        <v>1.3118729341759103E-5</v>
      </c>
      <c r="AK45">
        <f>AF44*T44*p_MI*p_MI_rec_old*(1-I44) + AG44*T44*p_MI*p_MI_rec_old*(1-I44) + AJ44*(PREV_FEMALE*p_recur_MI_F + (1-PREV_FEMALE)*p_recur_MI_M)*p_MI_rec_old*(1-I44) + AK44*(PREV_FEMALE*p_recur_MI_F + (1-PREV_FEMALE)*p_recur_MI_M)*p_MI_rec_old*(1-I44) + AL44*(PREV_FEMALE*p_recur_MI_F + (1-PREV_FEMALE)*p_recur_MI_M)*p_MI_rec_old*(1-I44)</f>
        <v>1.1146856001980954E-5</v>
      </c>
      <c r="AL45">
        <f>AJ44*(1-p_recur_Stroke-(PREV_FEMALE*p_recur_MI_F + (1-PREV_FEMALE)*p_recur_MI_M) - p_toHF_old - H44*rr_MI*rr_Stroke)*(1-I44) + AK44*(1-p_recur_Stroke-(PREV_FEMALE*p_recur_MI_F + (1-PREV_FEMALE)*p_recur_MI_M) - p_toHF_old - H44*rr_MI*rr_Stroke)*(1-I44) + AL44*(1-p_recur_Stroke-(PREV_FEMALE*p_recur_MI_F + (1-PREV_FEMALE)*p_recur_MI_M) - p_toHF_old - H44*rr_MI*rr_Stroke)*(1-I44)</f>
        <v>1.4300135038347219E-5</v>
      </c>
      <c r="AM45">
        <f>AD44*T44*p_MI*p_MI_HF_old*(1-I44) + AE44*T44*p_MI*p_MI_HF_old*(1-I44) + AH44*p_toHF_old*(1-I44) + AH44*(PREV_FEMALE*p_recur_MI_F + (1-PREV_FEMALE)*p_recur_MI_M)*p_MI_HF_old*(1-I44) + AI44*p_toHF_old*(1-I44) + AI44*(PREV_FEMALE*p_recur_MI_F + (1-PREV_FEMALE)*p_recur_MI_M)*p_MI_HF_old*(1-I44)</f>
        <v>1.8094880998886526E-4</v>
      </c>
      <c r="AN45">
        <f t="shared" ref="AN45:AN67" si="49">AM44*(1-T44*p_Stroke - H44*rr_HF)*(1-I44) + AN44*(1-T44*p_Stroke-H44*rr_HF)*(1-I44)</f>
        <v>2.3226187673531431E-3</v>
      </c>
      <c r="AO45">
        <f>AF44*T44*p_MI*p_MI_HF_old*(1-I44) + AG44*T44*p_MI*p_MI_HF_old*(1-I44) + AJ44*(PREV_FEMALE*p_recur_MI_F + (1-PREV_FEMALE)*p_recur_MI_M)*p_MI_HF_old*(1-I44) + AJ44*p_toHF_old*(1-I44) + AK44*(PREV_FEMALE*p_recur_MI_F + (1-PREV_FEMALE)*p_recur_MI_M)*p_MI_HF_old*(1-I44) + AK44*p_toHF_old*(1-I44) + AL44*(PREV_FEMALE*p_recur_MI_F + (1-PREV_FEMALE)*p_recur_MI_M)*p_MI_HF_old*(1-I44) + AL44*p_toHF_old*(1-I44)</f>
        <v>8.401727299492761E-6</v>
      </c>
      <c r="AP45">
        <f>AM44*T44*p_Stroke*p_Stroke_rec*(1-I44) + AN44*T44*p_Stroke*p_Stroke_rec*(1-I44) + AO44*(p_recur_Stroke*p_Stroke_rec)*(1-I44) + AP44*(p_recur_Stroke*p_Stroke_rec)*(1-I44) + AQ44*(p_recur_Stroke*p_Stroke_rec)*(1-I44)</f>
        <v>2.8200138266404366E-5</v>
      </c>
      <c r="AQ45">
        <f>AO44*(1-p_recur_Stroke-H44*rr_Stroke*rr_HF)*(1-I44) + AP44*(1-p_recur_Stroke-H44*rr_Stroke*rr_HF)*(1-I44) + AQ44*(1-p_recur_Stroke-H44*rr_Stroke*rr_HF)*(1-I44)</f>
        <v>3.4151986702581943E-5</v>
      </c>
      <c r="AR45">
        <f>AR44*(1-AC44-H44*rr_DM) + AD44*(1-T44-H44)*I44</f>
        <v>9.1192217754498567E-2</v>
      </c>
      <c r="AS45">
        <f>AR44*AC44*p_Other + AD44*T44*p_Other*I44 + AE44*(1-T44*p_Stroke-T44*p_MI-H44*rr_Other)*I44 + AS44*(1-AC44*p_Stroke-AC44*p_MI-H44*rr_Other*rr_DM)</f>
        <v>4.5269746615600806E-2</v>
      </c>
      <c r="AT45">
        <f>AR44*AC44*p_Stroke*p_Stroke_rec + AD44*T44*p_Stroke*p_Stroke_rec*I44 + AE44*T44*p_Stroke*p_Stroke_rec*I44 + AF44*p_recur_Stroke*p_Stroke_rec*I44 + AG44*p_recur_Stroke*p_Stroke_rec*I44 + AS44*AC44*p_Stroke*p_Stroke_rec + AT44*p_recur_Stroke*p_Stroke_rec + AU44*p_recur_Stroke*p_Stroke_rec</f>
        <v>3.287459846608662E-3</v>
      </c>
      <c r="AU45">
        <f>AF44*(1-p_recur_Stroke-T44*p_MI-H44*rr_Stroke)*I44 + AG44*(1-p_recur_Stroke-T44*p_MI-H44*rr_Stroke)*I44 + AT44*(1-p_recur_Stroke-AC44*p_MI-H44*rr_Stroke*rr_DM) + AU44*(1-p_recur_Stroke-AC44*p_MI-H44*rr_Stroke*rr_DM)</f>
        <v>7.8330137453880774E-3</v>
      </c>
      <c r="AV45">
        <f>AR44*AC44*p_MI*p_MI_rec_old + AD44*T44*p_MI*p_MI_rec_old*I44 + AE44*T44*p_MI*p_MI_rec_old*I44 +AH44*(PREV_FEMALE*p_recur_MI_F + (1-PREV_FEMALE)*p_recur_MI_M)*p_MI_rec_old*I44 + AI44*(PREV_FEMALE*p_recur_MI_F + (1-PREV_FEMALE)*p_recur_MI_M)*p_MI_rec_old*I44 + AS44*AC44*p_MI*p_MI_rec_old + AV44*(PREV_FEMALE*p_recur_MI_F + (1-PREV_FEMALE)*p_recur_MI_M)*p_MI_rec_old + AW44*(PREV_FEMALE*p_recur_MI_F + (1-PREV_FEMALE)*p_recur_MI_M)*p_MI_rec_old</f>
        <v>1.6290788159889795E-3</v>
      </c>
      <c r="AW45">
        <f>AH44*(1-(PREV_FEMALE*p_recur_MI_F + (1-PREV_FEMALE)*p_recur_MI_M) - T44*p_Stroke - p_toHF_old - H44*rr_MI)*I44 + AI44*(1-(PREV_FEMALE*p_recur_MI_F + (1-PREV_FEMALE)*p_recur_MI_M) - T44*p_Stroke - p_toHF_old - H44*rr_MI)*I44 + AV44*(1-(PREV_FEMALE*p_recur_MI_F + (1-PREV_FEMALE)*p_recur_MI_M) - AC44*p_Stroke - p_toHF_old - H44*rr_MI*rr_DM) + AW44*(1-(PREV_FEMALE*p_recur_MI_F + (1-PREV_FEMALE)*p_recur_MI_M) - AC44*p_Stroke - p_toHF_old - H44*rr_MI*rr_DM)</f>
        <v>6.3094758093775564E-3</v>
      </c>
      <c r="AX45">
        <f>AH44*T44*p_Stroke*p_Stroke_rec*I44 + AI44*T44*p_Stroke*p_Stroke_rec*I44 + AJ44*p_recur_Stroke*p_Stroke_rec*I44 + AK44*p_recur_Stroke*p_Stroke_rec*I44 + AL44*p_recur_Stroke*p_Stroke_rec*I44 + AV44*AC44*p_Stroke*p_Stroke_rec + AW44*AC44*p_Stroke*p_Stroke_rec + AX44*p_recur_Stroke*p_Stroke_rec + AY44*p_recur_Stroke*p_Stroke_rec + AZ44*p_recur_Stroke*p_Stroke_rec</f>
        <v>1.6056853080011554E-4</v>
      </c>
      <c r="AY45">
        <f>AF44*T44*p_MI*p_MI_rec_old*I44 + AG44*T44*p_MI*p_MI_rec_old*I44 + AJ44*(PREV_FEMALE*p_recur_MI_F+(1-PREV_FEMALE)*p_recur_MI_M)*p_MI_rec_old*I44 + AK44*(PREV_FEMALE*p_recur_MI_F+(1-PREV_FEMALE)*p_recur_MI_M)*p_MI_rec_old*I44 + AL44*(PREV_FEMALE*p_recur_MI_F+(1-PREV_FEMALE)*p_recur_MI_M)*p_MI_rec_old*I44 + AT44*AC44*p_MI*p_MI_rec_old + AU44*AC44*p_MI*p_MI_rec_old + AX44*(PREV_FEMALE*p_recur_MI_F+(1-PREV_FEMALE)*p_recur_MI_M)*p_MI_rec_old + AY44*(PREV_FEMALE*p_recur_MI_F+(1-PREV_FEMALE)*p_recur_MI_M)*p_MI_rec_old + AZ44*(PREV_FEMALE*p_recur_MI_F+(1-PREV_FEMALE)*p_recur_MI_M)*p_MI_rec_old</f>
        <v>1.2905286810978333E-4</v>
      </c>
      <c r="AZ45">
        <f>AJ44*(1-p_recur_Stroke-(PREV_FEMALE*p_recur_MI_F + (1-PREV_FEMALE)*p_recur_MI_M) - p_toHF_old - H44*rr_MI*rr_Stroke)*I44 + AK44*(1-p_recur_Stroke-(PREV_FEMALE*p_recur_MI_F + (1-PREV_FEMALE)*p_recur_MI_M) - p_toHF_old - H44*rr_MI*rr_Stroke)*I44 + AL44*(1-p_recur_Stroke-(PREV_FEMALE*p_recur_MI_F + (1-PREV_FEMALE)*p_recur_MI_M) - p_toHF_old - H44*rr_MI*rr_Stroke)*I44 + AX44*(1-p_recur_Stroke-(PREV_FEMALE*p_recur_MI_F + (1-PREV_FEMALE)*p_recur_MI_M) - p_toHF_old - H44*rr_MI*rr_Stroke*rr_DM) + AY44*(1-p_recur_Stroke-(PREV_FEMALE*p_recur_MI_F + (1-PREV_FEMALE)*p_recur_MI_M) - p_toHF_old - H44*rr_MI*rr_Stroke*rr_DM) + AZ44*(1-p_recur_Stroke-(PREV_FEMALE*p_recur_MI_F + (1-PREV_FEMALE)*p_recur_MI_M) - p_toHF_old - H44*rr_MI*rr_Stroke*rr_DM)</f>
        <v>1.2753590685675252E-4</v>
      </c>
      <c r="BA45">
        <f>AR44*AC44*p_MI*p_MI_HF_old + AD44*T44*p_MI*p_MI_HF_old*I44 + AE44*T44*p_MI*p_MI_HF_old*I44 + AH44*p_toHF_old*I44 + AH44*(PREV_FEMALE*p_recur_MI_F + (1-PREV_FEMALE)*p_recur_MI_M)*p_MI_HF_old*I44 + AI44*p_toHF_old*I44 + AI44*(PREV_FEMALE*p_recur_MI_F + (1-PREV_FEMALE)*p_recur_MI_M)*p_MI_HF_old*I44 + AS44*AC44*p_MI*p_MI_HF_old + AV44*(PREV_FEMALE*p_recur_MI_F + (1-PREV_FEMALE)*p_recur_MI_M)*p_MI_HF_old + AV44*p_toHF_old + AW44*(PREV_FEMALE*p_recur_MI_F + (1-PREV_FEMALE)*p_recur_MI_M)*p_MI_HF_old + AW44*p_toHF_old</f>
        <v>1.4145559692010606E-3</v>
      </c>
      <c r="BB45">
        <f>AM44*(1-T44*p_Stroke - H44*rr_HF)*I44 + AN44*(1-T44*p_Stroke - H44*rr_HF)*I44 + BA44*(1-AC44*p_Stroke - H44*rr_HF*rr_DM) + BB44*(1-AC44*p_Stroke - H44*rr_HF*rr_DM)</f>
        <v>1.7363091985784382E-2</v>
      </c>
      <c r="BC45">
        <f>AF44*T44*p_MI*p_MI_HF_old*I44 + AG44*T44*p_MI*p_MI_HF_old*I44 + AJ44*(PREV_FEMALE*p_recur_MI_F + (1-PREV_FEMALE)*p_recur_MI_M)*p_MI_HF_old*I44 + AJ44*p_toHF_old*I44 + AK44*(PREV_FEMALE*p_recur_MI_F + (1-PREV_FEMALE)*p_recur_MI_M)*p_MI_HF_old*I44 + AK44*p_toHF_old*I44 + AL44*(PREV_FEMALE*p_recur_MI_F + (1-PREV_FEMALE)*p_recur_MI_M)*p_MI_HF_old*I44 + AL44*p_toHF_old*I44 + AT44*AC44*p_MI*p_MI_HF_old + AU44*AC44*p_MI*p_MI_HF_old + AX44*(PREV_FEMALE*p_recur_MI_F + (1-PREV_FEMALE)*p_recur_MI_M)*p_MI_HF_old + AX44*p_toHF_old + AY44*(PREV_FEMALE*p_recur_MI_F + (1-PREV_FEMALE)*p_recur_MI_M)*p_MI_HF_old + AY44*p_toHF_old + AZ44*(PREV_FEMALE*p_recur_MI_F + (1-PREV_FEMALE)*p_recur_MI_M)*p_MI_HF_old + AZ44*p_toHF_old</f>
        <v>9.6313876957507627E-5</v>
      </c>
      <c r="BD45">
        <f>AM44*T44*p_Stroke*p_Stroke_rec*I44 + AN44*T44*p_Stroke*p_Stroke_rec*I44 + AO44*(p_recur_Stroke*p_Stroke_rec)*I44 + AP44*(p_recur_Stroke*p_Stroke_rec)*I44 + AQ44*(p_recur_Stroke*p_Stroke_rec)*I44 + BA44*AC44*p_Stroke*p_Stroke_rec + BB44*AC44*p_Stroke*p_Stroke_rec + BC44*(p_recur_Stroke*p_Stroke_rec) + BD44*(p_recur_Stroke*p_Stroke_rec) + BE44*(p_recur_Stroke*p_Stroke_rec)</f>
        <v>3.3798154265110933E-4</v>
      </c>
      <c r="BE45">
        <f>AO44*(1-p_recur_Stroke - H44*rr_Stroke*rr_HF)*I44 + AP44*(1-p_recur_Stroke-H44*rr_Stroke*rr_HF)*I44 + AQ44*(1-p_recur_Stroke-H44*rr_Stroke*rr_HF)*I44 + BC44*(1-p_recur_Stroke - H44*rr_Stroke*rr_HF*rr_DM) + BD44*(1-p_recur_Stroke-H44*rr_Stroke*rr_HF*rr_DM) + BE44*(1-p_recur_Stroke-H44*rr_Stroke*rr_HF*rr_DM)</f>
        <v>3.00652049518651E-4</v>
      </c>
      <c r="BF45">
        <f>AD44*H44 + AE44*H44*rr_Other + AF44*H44*rr_Stroke + AG44*H44*rr_Stroke + AH44*H44*rr_MI + AI44*H44*rr_MI + AJ44*H44*rr_Stroke*rr_MI + AK44*H44*rr_Stroke*rr_MI + AL44*H44*rr_Stroke*rr_MI + AM44*H44*rr_HF + AN44*H44*rr_HF + AO44*H44*rr_Stroke*rr_HF + AP44*H44*rr_Stroke*rr_HF + AR44*H44*rr_DM + AS44*H44*rr_DM*rr_Other + AT44*H44*rr_DM*rr_Stroke + AU44*H44*rr_DM*rr_Stroke + AV44*H44*rr_DM*rr_MI + AW44*H44*rr_DM*rr_MI + AX44*H44*rr_DM*rr_Stroke*rr_MI + AY44*H44*rr_DM*rr_Stroke*rr_MI + AZ44*H44*rr_DM*rr_Stroke*rr_MI + BA44*H44*rr_DM*rr_HF + BB44*H44*rr_DM*rr_HF + BC44*H44*rr_DM*rr_Stroke*rr_HF + BD44*H44*rr_DM*rr_Stroke*rr_HF + AQ44*H44*rr_Stroke*rr_HF + BE44*H44*rr_DM*rr_Stroke*rr_HF
+ AD44*T44*p_MI*p_MI_mort + AD44*T44*p_Stroke*p_Stroke_mort + AE44*T44*p_MI*p_MI_mort + AE44*T44*p_Stroke*p_Stroke_mort + AF44*T44*p_MI*p_MI_mort + AF44*p_recur_Stroke*p_Stroke_mort + AG44*T44*p_MI*p_MI_mort + AG44*p_recur_Stroke*p_Stroke_mort + AH44*(PREV_FEMALE*p_recur_MI_F + (1-PREV_FEMALE)*p_recur_MI_M)*p_MI_mort + AH44*T44*p_Stroke*p_Stroke_mort + AI44*(PREV_FEMALE*p_recur_MI_F + (1-PREV_FEMALE)*p_recur_MI_M)*p_MI_mort + AI44*T44*p_Stroke*p_Stroke_mort + AJ44*(PREV_FEMALE*p_recur_MI_F + (1-PREV_FEMALE)*p_recur_MI_M)*p_MI_mort + AJ44*p_recur_Stroke*p_Stroke_mort + AK44*(PREV_FEMALE*p_recur_MI_F + (1-PREV_FEMALE)*p_recur_MI_M)*p_MI_mort + AK44*p_recur_Stroke*p_Stroke_mort + AL44*(PREV_FEMALE*p_recur_MI_F + (1-PREV_FEMALE)*p_recur_MI_M)*p_MI_mort + AL44*p_recur_Stroke*p_Stroke_mort + AM44*T44*p_Stroke*p_Stroke_mort + AN44*T44*p_Stroke*p_Stroke_mort + AO44*p_recur_Stroke*p_Stroke_mort + AP44*p_recur_Stroke*p_Stroke_mort + AQ44*p_recur_Stroke*p_Stroke_mort
+ AR44*AC44*p_MI*p_MI_mort + AR44*AC44*p_Stroke*p_Stroke_mort + AS44*AC44*p_MI*p_MI_mort + AS44*AC44*p_Stroke*p_Stroke_mort + AT44*AC44*p_MI*p_MI_mort + AT44*p_recur_Stroke*p_Stroke_mort + AU44*AC44*p_MI*p_MI_mort + AU44*p_recur_Stroke*p_Stroke_mort + AV44*(PREV_FEMALE*p_recur_MI_F + (1-PREV_FEMALE)*p_recur_MI_M)*p_MI_mort + AV44*AC44*p_Stroke*p_Stroke_mort + AW44*(PREV_FEMALE*p_recur_MI_F + (1-PREV_FEMALE)*p_recur_MI_M)*p_MI_mort + AW44*AC44*p_Stroke*p_Stroke_mort + AX44*(PREV_FEMALE*p_recur_MI_F + (1-PREV_FEMALE)*p_recur_MI_M)*p_MI_mort + AX44*p_recur_Stroke*p_Stroke_mort + AY44*(PREV_FEMALE*p_recur_MI_F + (1-PREV_FEMALE)*p_recur_MI_M)*p_MI_mort + AY44*p_recur_Stroke*p_Stroke_mort + AZ44*(PREV_FEMALE*p_recur_MI_F + (1-PREV_FEMALE)*p_recur_MI_M)*p_MI_mort + AZ44*p_recur_Stroke*p_Stroke_mort + BA44*AC44*p_Stroke*p_Stroke_mort + BB44*AC44*p_Stroke*p_Stroke_mort + BC44*p_recur_Stroke*p_Stroke_mort + BD44*p_recur_Stroke*p_Stroke_mort + BE44*p_recur_Stroke*p_Stroke_mort
+BF44</f>
        <v>0.73621915719964259</v>
      </c>
      <c r="BG45">
        <f t="shared" ref="BG45:BG67" si="50">SUM(AD45:BF45)</f>
        <v>0.94700000000000029</v>
      </c>
      <c r="BH45">
        <f>(0.9442 - 0.0007*$B45 - dis_BMI*($C45-21.75))*AD45</f>
        <v>1.9233264924326001E-2</v>
      </c>
      <c r="BI45">
        <f>0.959*(0.9442 - 0.0007*$B45 - dis_BMI*($C45-21.75))*AE45</f>
        <v>5.6342393472846161E-3</v>
      </c>
      <c r="BJ45">
        <f>(0.943*(0.9442 - 0.0007*$B45 - dis_BMI*($C45-21.75)) - 0.19*0.5)*AF45</f>
        <v>3.0710018839703857E-4</v>
      </c>
      <c r="BK45">
        <f>(0.943*(0.9442 - 0.0007*$B45 - dis_BMI*($C45-21.75)))*AG45</f>
        <v>9.3067257178445757E-4</v>
      </c>
      <c r="BL45">
        <f>(0.955*(0.9442 - 0.0007*$B45 - dis_BMI*($C45-21.75)) - 0.15*0.5)*AH45</f>
        <v>1.5241202389868242E-4</v>
      </c>
      <c r="BM45">
        <f>(0.955*(0.9442 - 0.0007*$B45 - dis_BMI*($C45-21.75)))*AI45</f>
        <v>6.6047354307534887E-4</v>
      </c>
      <c r="BN45">
        <f>(0.955*0.943*(0.9442 - 0.0007*$B45 - dis_BMI*($C45-21.75)) - 0.19*0.5)*AJ45</f>
        <v>8.6238733480483758E-6</v>
      </c>
      <c r="BO45">
        <f>(0.955*0.943*(0.9442 - 0.0007*$B45 - dis_BMI*($C45-21.75)) - 0.15*0.5)*AK45</f>
        <v>7.5505579502081129E-6</v>
      </c>
      <c r="BP45">
        <f>(0.955*0.943*(0.9442 - 0.0007*$B45 - dis_BMI*($C45-21.75)))*AL45</f>
        <v>1.0759008121898184E-5</v>
      </c>
      <c r="BQ45">
        <f>(0.93*(0.9442 - 0.0007*$B45 - dis_BMI*($C45-21.75)))*AM45</f>
        <v>1.4059041481003797E-4</v>
      </c>
      <c r="BR45">
        <f>(0.93*(0.9442 - 0.0007*$B45 - dis_BMI*($C45-21.75)))*AN45</f>
        <v>1.8045873635082268E-3</v>
      </c>
      <c r="BS45">
        <f>(0.93*0.943*(0.9442 - 0.0007*$B45 - dis_BMI*($C45-21.75)))*AO45</f>
        <v>6.1557398119066326E-6</v>
      </c>
      <c r="BT45">
        <f>(0.93*0.943*(0.9442 - 0.0007*$B45 - dis_BMI*($C45-21.75))-0.19*0.5)*AP45</f>
        <v>1.7982537476820759E-5</v>
      </c>
      <c r="BU45">
        <f>(0.93*0.943*(0.9442 - 0.0007*$B45 - dis_BMI*($C45-21.75)))*AQ45</f>
        <v>2.5022324184871112E-5</v>
      </c>
      <c r="BV45">
        <f>0.962*(0.9442 - 0.0007*$B45 - dis_BMI*($C45-21.75))*AR45</f>
        <v>7.3290870869093028E-2</v>
      </c>
      <c r="BW45">
        <f>0.962*0.959*(0.9442 - 0.0007*$B45 - dis_BMI*($C45-21.75))*AS45</f>
        <v>3.4891430502915856E-2</v>
      </c>
      <c r="BX45">
        <f>0.962*(0.943*(0.9442 - 0.0007*$B45 - dis_BMI*($C45-21.75)) - 0.19*0.5)*AT45</f>
        <v>2.1910783362733793E-3</v>
      </c>
      <c r="BY45">
        <f>0.962*(0.943*(0.9442 - 0.0007*$B45 - dis_BMI*($C45-21.75)))*AU45</f>
        <v>5.9365302601537559E-3</v>
      </c>
      <c r="BZ45">
        <f>0.962*(0.955*(0.9442 - 0.0007*$B45 - dis_BMI*($C45-21.75)) - 0.15*0.5)*AV45</f>
        <v>1.1328291626754598E-3</v>
      </c>
      <c r="CA45">
        <f>0.962*(0.955*(0.9442 - 0.0007*$B45 - dis_BMI*($C45-21.75)))*AW45</f>
        <v>4.8427132678119057E-3</v>
      </c>
      <c r="CB45">
        <f>0.962*(0.955*0.943*(0.9442 - 0.0007*$B45 - dis_BMI*($C45-21.75)) - 0.19*0.5)*AX45</f>
        <v>1.0154209123566588E-4</v>
      </c>
      <c r="CC45">
        <f>0.962*(0.955*0.943*(0.9442 - 0.0007*$B45 - dis_BMI*($C45-21.75)) - 0.15*0.5)*AY45</f>
        <v>8.4094847469399735E-5</v>
      </c>
      <c r="CD45">
        <f>0.962*(0.955*0.943*(0.9442 - 0.0007*$B45 - dis_BMI*($C45-21.75)))*AZ45</f>
        <v>9.2308064194700673E-5</v>
      </c>
      <c r="CE45">
        <f>0.962*(0.93*(0.9442 - 0.0007*$B45 - dis_BMI*($C45-21.75)))*BA45</f>
        <v>1.0572925906252126E-3</v>
      </c>
      <c r="CF45">
        <f>0.962*(0.93*(0.9442 - 0.0007*$B45 - dis_BMI*($C45-21.75)))*BB45</f>
        <v>1.297783114038417E-2</v>
      </c>
      <c r="CG45">
        <f>0.962*(0.93*0.943*(0.9442 - 0.0007*$B45 - dis_BMI*($C45-21.75)))*BC45</f>
        <v>6.7885279556911723E-5</v>
      </c>
      <c r="CH45">
        <f>0.962*(0.93*0.943*(0.9442 - 0.0007*$B45 - dis_BMI*($C45-21.75))-0.19*0.5)*BD45</f>
        <v>2.0733269472615471E-4</v>
      </c>
      <c r="CI45">
        <f>0.962*(0.93*0.943*(0.9442 - 0.0007*$B45 - dis_BMI*($C45-21.75)))*BE45</f>
        <v>2.1190973799068059E-4</v>
      </c>
      <c r="CJ45">
        <f t="shared" ref="CJ45:CJ67" si="51">0*BF45</f>
        <v>0</v>
      </c>
      <c r="CK45">
        <f t="shared" ref="CK45:CK67" si="52">SUM(BH45:CJ45)</f>
        <v>0.16602508326308443</v>
      </c>
      <c r="CL45">
        <f>CK45/(1+r_)^A45</f>
        <v>4.7974479229276459E-2</v>
      </c>
      <c r="CM45">
        <f>AD45*c_BN_2</f>
        <v>48.230305028997741</v>
      </c>
      <c r="CN45">
        <f>AE45*(c_Other+c_BN_2)</f>
        <v>115.14748021181514</v>
      </c>
      <c r="CO45">
        <f>AF45*(c_Stroke1+c_Stroke2+c_BN_2)</f>
        <v>11.485287774961783</v>
      </c>
      <c r="CP45">
        <f>AG45*(c_Stroke2 + c_BN_2)</f>
        <v>10.153460197431068</v>
      </c>
      <c r="CQ45">
        <f>AH45*(c_MI1+c_MI2 + c_BN_2)</f>
        <v>6.5881944112943929</v>
      </c>
      <c r="CR45">
        <f>AI45*(c_MI2+c_BN_2)</f>
        <v>4.3145889666796808</v>
      </c>
      <c r="CS45">
        <f>AJ45*(c_Stroke1+c_Stroke2+c_MI2+c_BN_2)</f>
        <v>0.38081047533258322</v>
      </c>
      <c r="CT45">
        <f>AK45*(c_Stroke2+c_MI1+c_MI2+c_BN_2)</f>
        <v>0.42074922665077308</v>
      </c>
      <c r="CU45">
        <f>AL45*(c_Stroke2+c_MI2+c_BN_2)</f>
        <v>0.16748318156912262</v>
      </c>
      <c r="CV45">
        <f>AM45*(c_HF1+c_BN_2)</f>
        <v>5.2701340909257004</v>
      </c>
      <c r="CW45">
        <f>AN45*(c_HF2+c_BN_2)</f>
        <v>41.110352182150635</v>
      </c>
      <c r="CX45">
        <f>AO45*(c_Stroke2+c_HF1+c_BN_2)</f>
        <v>0.29931153504442959</v>
      </c>
      <c r="CY45">
        <f>AP45*(c_Stroke1+c_Stroke2+c_HF2+c_BN_2)</f>
        <v>1.1707569402680436</v>
      </c>
      <c r="CZ45">
        <f>AQ45*(c_Stroke2+c_HF2+c_BN_2)</f>
        <v>0.82647807820248298</v>
      </c>
      <c r="DA45">
        <f>AR45*(c_DM+c_BN_2)</f>
        <v>1232.9187840408206</v>
      </c>
      <c r="DB45">
        <f>AS45*(c_Other+c_DM+c_BN_2)</f>
        <v>1258.4536861670867</v>
      </c>
      <c r="DC45">
        <f>AT45*(c_Stroke1+c_Stroke2+c_DM+c_BN_2)</f>
        <v>122.740600832981</v>
      </c>
      <c r="DD45">
        <f>AU45*(c_Stroke2+c_DM+c_BN_2)</f>
        <v>156.81693518266931</v>
      </c>
      <c r="DE45">
        <f>AV45*(c_MI1+c_MI2+c_DM+c_BN_2)</f>
        <v>69.514422157065738</v>
      </c>
      <c r="DF45">
        <f>AW45*(c_MI2+c_DM+c_BN_2)</f>
        <v>104.97074904061441</v>
      </c>
      <c r="DG45">
        <f>AX45*(c_Stroke1+c_Stroke2+c_MI2+c_DM+c_BN_2)</f>
        <v>6.4954787764570741</v>
      </c>
      <c r="DH45">
        <f>AY45*(c_Stroke2+c_MI1+c_MI2+c_DM+c_BN_2)</f>
        <v>6.3456585778261561</v>
      </c>
      <c r="DI45">
        <f>AZ45*(c_Stroke2+c_MI2+c_DM+c_BN_2)</f>
        <v>2.950798276944683</v>
      </c>
      <c r="DJ45">
        <f>BA45*(c_HF1+c_DM+c_BN_2)</f>
        <v>57.360244551103008</v>
      </c>
      <c r="DK45">
        <f>BB45*(c_HF2+c_DM+c_BN_2)</f>
        <v>505.70005408597012</v>
      </c>
      <c r="DL45">
        <f>BC45*(c_Stroke2+c_HF1+c_DM+c_BN_2)</f>
        <v>4.5315679108507334</v>
      </c>
      <c r="DM45">
        <f>BD45*(c_Stroke1+c_Stroke2+c_HF2+c_DM+c_BN_2)</f>
        <v>17.893080849492378</v>
      </c>
      <c r="DN45">
        <f>BE45*(c_Stroke2+c_HF2+c_DM+c_BN_2)</f>
        <v>10.710729264101943</v>
      </c>
      <c r="DO45">
        <f t="shared" ref="DO45:DO67" si="53">BF45*0</f>
        <v>0</v>
      </c>
      <c r="DP45">
        <f t="shared" ref="DP45:DP67" si="54">SUM(CM45:DO45)</f>
        <v>3802.9681820153073</v>
      </c>
      <c r="DQ45">
        <f>DP45/(1+r_)^A45</f>
        <v>1098.9027348872846</v>
      </c>
    </row>
    <row r="46" spans="1:121" x14ac:dyDescent="0.3">
      <c r="A46">
        <v>43</v>
      </c>
      <c r="B46">
        <v>88</v>
      </c>
      <c r="C46">
        <f t="shared" si="39"/>
        <v>36.251999999999995</v>
      </c>
      <c r="D46">
        <f t="shared" si="1"/>
        <v>125</v>
      </c>
      <c r="E46">
        <f t="shared" si="41"/>
        <v>5.7</v>
      </c>
      <c r="F46">
        <v>0.1036</v>
      </c>
      <c r="G46">
        <v>0.13149</v>
      </c>
      <c r="H46">
        <f t="shared" si="42"/>
        <v>0.109178</v>
      </c>
      <c r="I46">
        <f t="shared" si="43"/>
        <v>4.7655426853004217E-2</v>
      </c>
      <c r="J46">
        <f t="shared" si="21"/>
        <v>0.40182889353340923</v>
      </c>
      <c r="K46">
        <f t="shared" si="22"/>
        <v>0.51309308910412765</v>
      </c>
      <c r="L46">
        <f t="shared" si="23"/>
        <v>0.21593978547189674</v>
      </c>
      <c r="M46">
        <f t="shared" si="24"/>
        <v>0.28872545175628839</v>
      </c>
      <c r="N46">
        <f t="shared" si="25"/>
        <v>0.76839380808012681</v>
      </c>
      <c r="O46">
        <f t="shared" si="26"/>
        <v>0.87341011020242909</v>
      </c>
      <c r="P46">
        <f t="shared" si="27"/>
        <v>0.51300230277490777</v>
      </c>
      <c r="Q46">
        <f t="shared" si="28"/>
        <v>0.63819131960405051</v>
      </c>
      <c r="R46">
        <f>IF(C46&lt;25, HT_f_low, IF(C46&lt;30, HT_f_mod, HT_f_high))</f>
        <v>0.42</v>
      </c>
      <c r="S46">
        <f>IF(C46&lt;25, HT_m_low, IF(C46&lt;30, HT_m_mod, HT_m_high))</f>
        <v>0.43099999999999999</v>
      </c>
      <c r="T46">
        <f>PREV_FEMALE*PREV_SMOKE*(1-$R46)*(1-EXP(-J46/10))+PREV_FEMALE*PREV_SMOKE*$R46*(1-EXP(-K46/10))+PREV_FEMALE*(1-PREV_SMOKE)*(1-$R46)*(1-EXP(-L46/10))+PREV_FEMALE*(1-PREV_SMOKE)*$R46*(1-EXP(-M46/10))+(1-PREV_FEMALE)*PREV_SMOKE*(1-$S46)*(1-EXP(-N46/10))+(1-PREV_FEMALE)*PREV_SMOKE*$S46*(1-EXP(-O46/10))+(1-PREV_FEMALE)*(1-PREV_SMOKE)*(1-$S46)*(1-EXP(-P46/10))+(1-PREV_FEMALE)*(1-PREV_SMOKE)*$S46*(1-EXP(-Q46/10))</f>
        <v>3.3021227564762362E-2</v>
      </c>
      <c r="U46">
        <f t="shared" si="29"/>
        <v>0.67318398172565774</v>
      </c>
      <c r="V46">
        <f t="shared" si="30"/>
        <v>0.79117331089373333</v>
      </c>
      <c r="W46">
        <f t="shared" si="31"/>
        <v>0.41105904034857044</v>
      </c>
      <c r="X46">
        <f t="shared" si="32"/>
        <v>0.52358274814903949</v>
      </c>
      <c r="Y46">
        <f t="shared" si="33"/>
        <v>0.91701007801074941</v>
      </c>
      <c r="Z46">
        <f t="shared" si="34"/>
        <v>0.9703110523729408</v>
      </c>
      <c r="AA46">
        <f t="shared" si="35"/>
        <v>0.70604605368135898</v>
      </c>
      <c r="AB46">
        <f t="shared" si="36"/>
        <v>0.82270987991368993</v>
      </c>
      <c r="AC46">
        <f>PREV_FEMALE*PREV_SMOKE*(1-$R46)*(1-EXP(-U46/10))+PREV_FEMALE*PREV_SMOKE*$R46*(1-EXP(-V46/10))+PREV_FEMALE*(1-PREV_SMOKE)*(1-$R46)*(1-EXP(-W46/10))+PREV_FEMALE*(1-PREV_SMOKE)*$R46*(1-EXP(-X46/10))+(1-PREV_FEMALE)*PREV_SMOKE*(1-$S46)*(1-EXP(-Y46/10))+(1-PREV_FEMALE)*PREV_SMOKE*$S46*(1-EXP(-Z46/10))+(1-PREV_FEMALE)*(1-PREV_SMOKE)*(1-$S46)*(1-EXP(-AA46/10))+(1-PREV_FEMALE)*(1-PREV_SMOKE)*$S46*(1-EXP(-AB46/10))</f>
        <v>5.3306458457298277E-2</v>
      </c>
      <c r="AD46">
        <f t="shared" si="44"/>
        <v>1.910652899335704E-2</v>
      </c>
      <c r="AE46">
        <f t="shared" si="45"/>
        <v>5.7636062051798628E-3</v>
      </c>
      <c r="AF46">
        <f t="shared" si="46"/>
        <v>3.6608457733631236E-4</v>
      </c>
      <c r="AG46">
        <f t="shared" si="47"/>
        <v>8.8424105387588099E-4</v>
      </c>
      <c r="AH46">
        <f>AD45*T45*p_MI*p_MI_rec_old*(1-I45)+AE45*T45*p_MI*p_MI_rec_old*(1-I45) + AH45*(PREV_FEMALE*p_recur_MI_F + (1-PREV_FEMALE)*p_recur_MI_M)*p_MI_rec_old*(1-I45) + AI45*(PREV_FEMALE*p_recur_MI_F + (1-PREV_FEMALE)*p_recur_MI_M)*p_MI_rec_old*(1-I45)</f>
        <v>1.8016555315621284E-4</v>
      </c>
      <c r="AI46">
        <f>AH45*(1-(PREV_FEMALE*p_recur_MI_F + (1-PREV_FEMALE)*p_recur_MI_M) - T45*p_Stroke - p_toHF_old - H45*rr_MI)*(1-I45) + AI45*(1-(PREV_FEMALE*p_recur_MI_F + (1-PREV_FEMALE)*p_recur_MI_M) - T45*p_Stroke - p_toHF_old - H45*rr_MI)*(1-I45)</f>
        <v>6.7891536441604312E-4</v>
      </c>
      <c r="AJ46">
        <f t="shared" si="48"/>
        <v>1.0803580558184224E-5</v>
      </c>
      <c r="AK46">
        <f>AF45*T45*p_MI*p_MI_rec_old*(1-I45) + AG45*T45*p_MI*p_MI_rec_old*(1-I45) + AJ45*(PREV_FEMALE*p_recur_MI_F + (1-PREV_FEMALE)*p_recur_MI_M)*p_MI_rec_old*(1-I45) + AK45*(PREV_FEMALE*p_recur_MI_F + (1-PREV_FEMALE)*p_recur_MI_M)*p_MI_rec_old*(1-I45) + AL45*(PREV_FEMALE*p_recur_MI_F + (1-PREV_FEMALE)*p_recur_MI_M)*p_MI_rec_old*(1-I45)</f>
        <v>8.9300655645006561E-6</v>
      </c>
      <c r="AL46">
        <f>AJ45*(1-p_recur_Stroke-(PREV_FEMALE*p_recur_MI_F + (1-PREV_FEMALE)*p_recur_MI_M) - p_toHF_old - H45*rr_MI*rr_Stroke)*(1-I45) + AK45*(1-p_recur_Stroke-(PREV_FEMALE*p_recur_MI_F + (1-PREV_FEMALE)*p_recur_MI_M) - p_toHF_old - H45*rr_MI*rr_Stroke)*(1-I45) + AL45*(1-p_recur_Stroke-(PREV_FEMALE*p_recur_MI_F + (1-PREV_FEMALE)*p_recur_MI_M) - p_toHF_old - H45*rr_MI*rr_Stroke)*(1-I45)</f>
        <v>9.171581575225626E-6</v>
      </c>
      <c r="AM46">
        <f>AD45*T45*p_MI*p_MI_HF_old*(1-I45) + AE45*T45*p_MI*p_MI_HF_old*(1-I45) + AH45*p_toHF_old*(1-I45) + AH45*(PREV_FEMALE*p_recur_MI_F + (1-PREV_FEMALE)*p_recur_MI_M)*p_MI_HF_old*(1-I45) + AI45*p_toHF_old*(1-I45) + AI45*(PREV_FEMALE*p_recur_MI_F + (1-PREV_FEMALE)*p_recur_MI_M)*p_MI_HF_old*(1-I45)</f>
        <v>1.5318932863489583E-4</v>
      </c>
      <c r="AN46">
        <f t="shared" si="49"/>
        <v>1.9487498666162107E-3</v>
      </c>
      <c r="AO46">
        <f>AF45*T45*p_MI*p_MI_HF_old*(1-I45) + AG45*T45*p_MI*p_MI_HF_old*(1-I45) + AJ45*(PREV_FEMALE*p_recur_MI_F + (1-PREV_FEMALE)*p_recur_MI_M)*p_MI_HF_old*(1-I45) + AJ45*p_toHF_old*(1-I45) + AK45*(PREV_FEMALE*p_recur_MI_F + (1-PREV_FEMALE)*p_recur_MI_M)*p_MI_HF_old*(1-I45) + AK45*p_toHF_old*(1-I45) + AL45*(PREV_FEMALE*p_recur_MI_F + (1-PREV_FEMALE)*p_recur_MI_M)*p_MI_HF_old*(1-I45) + AL45*p_toHF_old*(1-I45)</f>
        <v>6.6088688079887631E-6</v>
      </c>
      <c r="AP46">
        <f>AM45*T45*p_Stroke*p_Stroke_rec*(1-I45) + AN45*T45*p_Stroke*p_Stroke_rec*(1-I45) + AO45*(p_recur_Stroke*p_Stroke_rec)*(1-I45) + AP45*(p_recur_Stroke*p_Stroke_rec)*(1-I45) + AQ45*(p_recur_Stroke*p_Stroke_rec)*(1-I45)</f>
        <v>2.3706109109187539E-5</v>
      </c>
      <c r="AQ46">
        <f>AO45*(1-p_recur_Stroke-H45*rr_Stroke*rr_HF)*(1-I45) + AP45*(1-p_recur_Stroke-H45*rr_Stroke*rr_HF)*(1-I45) + AQ45*(1-p_recur_Stroke-H45*rr_Stroke*rr_HF)*(1-I45)</f>
        <v>2.2336190432491354E-5</v>
      </c>
      <c r="AR46">
        <f>AR45*(1-AC45-H45*rr_DM) + AD45*(1-T45-H45)*I45</f>
        <v>7.7279810684749942E-2</v>
      </c>
      <c r="AS46">
        <f>AR45*AC45*p_Other + AD45*T45*p_Other*I45 + AE45*(1-T45*p_Stroke-T45*p_MI-H45*rr_Other)*I45 + AS45*(1-AC45*p_Stroke-AC45*p_MI-H45*rr_Other*rr_DM)</f>
        <v>3.7592041528707827E-2</v>
      </c>
      <c r="AT46">
        <f>AR45*AC45*p_Stroke*p_Stroke_rec + AD45*T45*p_Stroke*p_Stroke_rec*I45 + AE45*T45*p_Stroke*p_Stroke_rec*I45 + AF45*p_recur_Stroke*p_Stroke_rec*I45 + AG45*p_recur_Stroke*p_Stroke_rec*I45 + AS45*AC45*p_Stroke*p_Stroke_rec + AT45*p_recur_Stroke*p_Stroke_rec + AU45*p_recur_Stroke*p_Stroke_rec</f>
        <v>2.7566190654368296E-3</v>
      </c>
      <c r="AU46">
        <f>AF45*(1-p_recur_Stroke-T45*p_MI-H45*rr_Stroke)*I45 + AG45*(1-p_recur_Stroke-T45*p_MI-H45*rr_Stroke)*I45 + AT45*(1-p_recur_Stroke-AC45*p_MI-H45*rr_Stroke*rr_DM) + AU45*(1-p_recur_Stroke-AC45*p_MI-H45*rr_Stroke*rr_DM)</f>
        <v>5.8480466163795515E-3</v>
      </c>
      <c r="AV46">
        <f>AR45*AC45*p_MI*p_MI_rec_old + AD45*T45*p_MI*p_MI_rec_old*I45 + AE45*T45*p_MI*p_MI_rec_old*I45 +AH45*(PREV_FEMALE*p_recur_MI_F + (1-PREV_FEMALE)*p_recur_MI_M)*p_MI_rec_old*I45 + AI45*(PREV_FEMALE*p_recur_MI_F + (1-PREV_FEMALE)*p_recur_MI_M)*p_MI_rec_old*I45 + AS45*AC45*p_MI*p_MI_rec_old + AV45*(PREV_FEMALE*p_recur_MI_F + (1-PREV_FEMALE)*p_recur_MI_M)*p_MI_rec_old + AW45*(PREV_FEMALE*p_recur_MI_F + (1-PREV_FEMALE)*p_recur_MI_M)*p_MI_rec_old</f>
        <v>1.4165621464666662E-3</v>
      </c>
      <c r="AW46">
        <f>AH45*(1-(PREV_FEMALE*p_recur_MI_F + (1-PREV_FEMALE)*p_recur_MI_M) - T45*p_Stroke - p_toHF_old - H45*rr_MI)*I45 + AI45*(1-(PREV_FEMALE*p_recur_MI_F + (1-PREV_FEMALE)*p_recur_MI_M) - T45*p_Stroke - p_toHF_old - H45*rr_MI)*I45 + AV45*(1-(PREV_FEMALE*p_recur_MI_F + (1-PREV_FEMALE)*p_recur_MI_M) - AC45*p_Stroke - p_toHF_old - H45*rr_MI*rr_DM) + AW45*(1-(PREV_FEMALE*p_recur_MI_F + (1-PREV_FEMALE)*p_recur_MI_M) - AC45*p_Stroke - p_toHF_old - H45*rr_MI*rr_DM)</f>
        <v>5.2647848159455748E-3</v>
      </c>
      <c r="AX46">
        <f>AH45*T45*p_Stroke*p_Stroke_rec*I45 + AI45*T45*p_Stroke*p_Stroke_rec*I45 + AJ45*p_recur_Stroke*p_Stroke_rec*I45 + AK45*p_recur_Stroke*p_Stroke_rec*I45 + AL45*p_recur_Stroke*p_Stroke_rec*I45 + AV45*AC45*p_Stroke*p_Stroke_rec + AW45*AC45*p_Stroke*p_Stroke_rec + AX45*p_recur_Stroke*p_Stroke_rec + AY45*p_recur_Stroke*p_Stroke_rec + AZ45*p_recur_Stroke*p_Stroke_rec</f>
        <v>1.3447259621074823E-4</v>
      </c>
      <c r="AY46">
        <f>AF45*T45*p_MI*p_MI_rec_old*I45 + AG45*T45*p_MI*p_MI_rec_old*I45 + AJ45*(PREV_FEMALE*p_recur_MI_F+(1-PREV_FEMALE)*p_recur_MI_M)*p_MI_rec_old*I45 + AK45*(PREV_FEMALE*p_recur_MI_F+(1-PREV_FEMALE)*p_recur_MI_M)*p_MI_rec_old*I45 + AL45*(PREV_FEMALE*p_recur_MI_F+(1-PREV_FEMALE)*p_recur_MI_M)*p_MI_rec_old*I45 + AT45*AC45*p_MI*p_MI_rec_old + AU45*AC45*p_MI*p_MI_rec_old + AX45*(PREV_FEMALE*p_recur_MI_F+(1-PREV_FEMALE)*p_recur_MI_M)*p_MI_rec_old + AY45*(PREV_FEMALE*p_recur_MI_F+(1-PREV_FEMALE)*p_recur_MI_M)*p_MI_rec_old + AZ45*(PREV_FEMALE*p_recur_MI_F+(1-PREV_FEMALE)*p_recur_MI_M)*p_MI_rec_old</f>
        <v>1.0404902503177854E-4</v>
      </c>
      <c r="AZ46">
        <f>AJ45*(1-p_recur_Stroke-(PREV_FEMALE*p_recur_MI_F + (1-PREV_FEMALE)*p_recur_MI_M) - p_toHF_old - H45*rr_MI*rr_Stroke)*I45 + AK45*(1-p_recur_Stroke-(PREV_FEMALE*p_recur_MI_F + (1-PREV_FEMALE)*p_recur_MI_M) - p_toHF_old - H45*rr_MI*rr_Stroke)*I45 + AL45*(1-p_recur_Stroke-(PREV_FEMALE*p_recur_MI_F + (1-PREV_FEMALE)*p_recur_MI_M) - p_toHF_old - H45*rr_MI*rr_Stroke)*I45 + AX45*(1-p_recur_Stroke-(PREV_FEMALE*p_recur_MI_F + (1-PREV_FEMALE)*p_recur_MI_M) - p_toHF_old - H45*rr_MI*rr_Stroke*rr_DM) + AY45*(1-p_recur_Stroke-(PREV_FEMALE*p_recur_MI_F + (1-PREV_FEMALE)*p_recur_MI_M) - p_toHF_old - H45*rr_MI*rr_Stroke*rr_DM) + AZ45*(1-p_recur_Stroke-(PREV_FEMALE*p_recur_MI_F + (1-PREV_FEMALE)*p_recur_MI_M) - p_toHF_old - H45*rr_MI*rr_Stroke*rr_DM)</f>
        <v>7.4833891088519697E-5</v>
      </c>
      <c r="BA46">
        <f>AR45*AC45*p_MI*p_MI_HF_old + AD45*T45*p_MI*p_MI_HF_old*I45 + AE45*T45*p_MI*p_MI_HF_old*I45 + AH45*p_toHF_old*I45 + AH45*(PREV_FEMALE*p_recur_MI_F + (1-PREV_FEMALE)*p_recur_MI_M)*p_MI_HF_old*I45 + AI45*p_toHF_old*I45 + AI45*(PREV_FEMALE*p_recur_MI_F + (1-PREV_FEMALE)*p_recur_MI_M)*p_MI_HF_old*I45 + AS45*AC45*p_MI*p_MI_HF_old + AV45*(PREV_FEMALE*p_recur_MI_F + (1-PREV_FEMALE)*p_recur_MI_M)*p_MI_HF_old + AV45*p_toHF_old + AW45*(PREV_FEMALE*p_recur_MI_F + (1-PREV_FEMALE)*p_recur_MI_M)*p_MI_HF_old + AW45*p_toHF_old</f>
        <v>1.2213120976581411E-3</v>
      </c>
      <c r="BB46">
        <f>AM45*(1-T45*p_Stroke - H45*rr_HF)*I45 + AN45*(1-T45*p_Stroke - H45*rr_HF)*I45 + BA45*(1-AC45*p_Stroke - H45*rr_HF*rr_DM) + BB45*(1-AC45*p_Stroke - H45*rr_HF*rr_DM)</f>
        <v>1.4864950504732903E-2</v>
      </c>
      <c r="BC46">
        <f>AF45*T45*p_MI*p_MI_HF_old*I45 + AG45*T45*p_MI*p_MI_HF_old*I45 + AJ45*(PREV_FEMALE*p_recur_MI_F + (1-PREV_FEMALE)*p_recur_MI_M)*p_MI_HF_old*I45 + AJ45*p_toHF_old*I45 + AK45*(PREV_FEMALE*p_recur_MI_F + (1-PREV_FEMALE)*p_recur_MI_M)*p_MI_HF_old*I45 + AK45*p_toHF_old*I45 + AL45*(PREV_FEMALE*p_recur_MI_F + (1-PREV_FEMALE)*p_recur_MI_M)*p_MI_HF_old*I45 + AL45*p_toHF_old*I45 + AT45*AC45*p_MI*p_MI_HF_old + AU45*AC45*p_MI*p_MI_HF_old + AX45*(PREV_FEMALE*p_recur_MI_F + (1-PREV_FEMALE)*p_recur_MI_M)*p_MI_HF_old + AX45*p_toHF_old + AY45*(PREV_FEMALE*p_recur_MI_F + (1-PREV_FEMALE)*p_recur_MI_M)*p_MI_HF_old + AY45*p_toHF_old + AZ45*(PREV_FEMALE*p_recur_MI_F + (1-PREV_FEMALE)*p_recur_MI_M)*p_MI_HF_old + AZ45*p_toHF_old</f>
        <v>7.6288231381767423E-5</v>
      </c>
      <c r="BD46">
        <f>AM45*T45*p_Stroke*p_Stroke_rec*I45 + AN45*T45*p_Stroke*p_Stroke_rec*I45 + AO45*(p_recur_Stroke*p_Stroke_rec)*I45 + AP45*(p_recur_Stroke*p_Stroke_rec)*I45 + AQ45*(p_recur_Stroke*p_Stroke_rec)*I45 + BA45*AC45*p_Stroke*p_Stroke_rec + BB45*AC45*p_Stroke*p_Stroke_rec + BC45*(p_recur_Stroke*p_Stroke_rec) + BD45*(p_recur_Stroke*p_Stroke_rec) + BE45*(p_recur_Stroke*p_Stroke_rec)</f>
        <v>2.901883306253243E-4</v>
      </c>
      <c r="BE46">
        <f>AO45*(1-p_recur_Stroke - H45*rr_Stroke*rr_HF)*I45 + AP45*(1-p_recur_Stroke-H45*rr_Stroke*rr_HF)*I45 + AQ45*(1-p_recur_Stroke-H45*rr_Stroke*rr_HF)*I45 + BC45*(1-p_recur_Stroke - H45*rr_Stroke*rr_HF*rr_DM) + BD45*(1-p_recur_Stroke-H45*rr_Stroke*rr_HF*rr_DM) + BE45*(1-p_recur_Stroke-H45*rr_Stroke*rr_HF*rr_DM)</f>
        <v>1.8427296913925629E-4</v>
      </c>
      <c r="BF46">
        <f>AD45*H45 + AE45*H45*rr_Other + AF45*H45*rr_Stroke + AG45*H45*rr_Stroke + AH45*H45*rr_MI + AI45*H45*rr_MI + AJ45*H45*rr_Stroke*rr_MI + AK45*H45*rr_Stroke*rr_MI + AL45*H45*rr_Stroke*rr_MI + AM45*H45*rr_HF + AN45*H45*rr_HF + AO45*H45*rr_Stroke*rr_HF + AP45*H45*rr_Stroke*rr_HF + AR45*H45*rr_DM + AS45*H45*rr_DM*rr_Other + AT45*H45*rr_DM*rr_Stroke + AU45*H45*rr_DM*rr_Stroke + AV45*H45*rr_DM*rr_MI + AW45*H45*rr_DM*rr_MI + AX45*H45*rr_DM*rr_Stroke*rr_MI + AY45*H45*rr_DM*rr_Stroke*rr_MI + AZ45*H45*rr_DM*rr_Stroke*rr_MI + BA45*H45*rr_DM*rr_HF + BB45*H45*rr_DM*rr_HF + BC45*H45*rr_DM*rr_Stroke*rr_HF + BD45*H45*rr_DM*rr_Stroke*rr_HF + AQ45*H45*rr_Stroke*rr_HF + BE45*H45*rr_DM*rr_Stroke*rr_HF
+ AD45*T45*p_MI*p_MI_mort + AD45*T45*p_Stroke*p_Stroke_mort + AE45*T45*p_MI*p_MI_mort + AE45*T45*p_Stroke*p_Stroke_mort + AF45*T45*p_MI*p_MI_mort + AF45*p_recur_Stroke*p_Stroke_mort + AG45*T45*p_MI*p_MI_mort + AG45*p_recur_Stroke*p_Stroke_mort + AH45*(PREV_FEMALE*p_recur_MI_F + (1-PREV_FEMALE)*p_recur_MI_M)*p_MI_mort + AH45*T45*p_Stroke*p_Stroke_mort + AI45*(PREV_FEMALE*p_recur_MI_F + (1-PREV_FEMALE)*p_recur_MI_M)*p_MI_mort + AI45*T45*p_Stroke*p_Stroke_mort + AJ45*(PREV_FEMALE*p_recur_MI_F + (1-PREV_FEMALE)*p_recur_MI_M)*p_MI_mort + AJ45*p_recur_Stroke*p_Stroke_mort + AK45*(PREV_FEMALE*p_recur_MI_F + (1-PREV_FEMALE)*p_recur_MI_M)*p_MI_mort + AK45*p_recur_Stroke*p_Stroke_mort + AL45*(PREV_FEMALE*p_recur_MI_F + (1-PREV_FEMALE)*p_recur_MI_M)*p_MI_mort + AL45*p_recur_Stroke*p_Stroke_mort + AM45*T45*p_Stroke*p_Stroke_mort + AN45*T45*p_Stroke*p_Stroke_mort + AO45*p_recur_Stroke*p_Stroke_mort + AP45*p_recur_Stroke*p_Stroke_mort + AQ45*p_recur_Stroke*p_Stroke_mort
+ AR45*AC45*p_MI*p_MI_mort + AR45*AC45*p_Stroke*p_Stroke_mort + AS45*AC45*p_MI*p_MI_mort + AS45*AC45*p_Stroke*p_Stroke_mort + AT45*AC45*p_MI*p_MI_mort + AT45*p_recur_Stroke*p_Stroke_mort + AU45*AC45*p_MI*p_MI_mort + AU45*p_recur_Stroke*p_Stroke_mort + AV45*(PREV_FEMALE*p_recur_MI_F + (1-PREV_FEMALE)*p_recur_MI_M)*p_MI_mort + AV45*AC45*p_Stroke*p_Stroke_mort + AW45*(PREV_FEMALE*p_recur_MI_F + (1-PREV_FEMALE)*p_recur_MI_M)*p_MI_mort + AW45*AC45*p_Stroke*p_Stroke_mort + AX45*(PREV_FEMALE*p_recur_MI_F + (1-PREV_FEMALE)*p_recur_MI_M)*p_MI_mort + AX45*p_recur_Stroke*p_Stroke_mort + AY45*(PREV_FEMALE*p_recur_MI_F + (1-PREV_FEMALE)*p_recur_MI_M)*p_MI_mort + AY45*p_recur_Stroke*p_Stroke_mort + AZ45*(PREV_FEMALE*p_recur_MI_F + (1-PREV_FEMALE)*p_recur_MI_M)*p_MI_mort + AZ45*p_recur_Stroke*p_Stroke_mort + BA45*AC45*p_Stroke*p_Stroke_mort + BB45*AC45*p_Stroke*p_Stroke_mort + BC45*p_recur_Stroke*p_Stroke_mort + BD45*p_recur_Stroke*p_Stroke_mort + BE45*p_recur_Stroke*p_Stroke_mort
+BF45</f>
        <v>0.77072873015782539</v>
      </c>
      <c r="BG46">
        <f t="shared" si="50"/>
        <v>0.94700000000000029</v>
      </c>
      <c r="BH46">
        <f>(0.9442 - 0.0007*$B46 - dis_BMI*($C46-21.75))*AD46</f>
        <v>1.5949048974113433E-2</v>
      </c>
      <c r="BI46">
        <f>0.959*(0.9442 - 0.0007*$B46 - dis_BMI*($C46-21.75))*AE46</f>
        <v>4.6138758181340457E-3</v>
      </c>
      <c r="BJ46">
        <f>(0.943*(0.9442 - 0.0007*$B46 - dis_BMI*($C46-21.75)) - 0.19*0.5)*AF46</f>
        <v>2.5339020889424992E-4</v>
      </c>
      <c r="BK46">
        <f>(0.943*(0.9442 - 0.0007*$B46 - dis_BMI*($C46-21.75)))*AG46</f>
        <v>6.9604186385921571E-4</v>
      </c>
      <c r="BL46">
        <f>(0.955*(0.9442 - 0.0007*$B46 - dis_BMI*($C46-21.75)) - 0.15*0.5)*AH46</f>
        <v>1.3011194962957948E-4</v>
      </c>
      <c r="BM46">
        <f>(0.955*(0.9442 - 0.0007*$B46 - dis_BMI*($C46-21.75)))*AI46</f>
        <v>5.4121771422266688E-4</v>
      </c>
      <c r="BN46">
        <f>(0.955*0.943*(0.9442 - 0.0007*$B46 - dis_BMI*($C46-21.75)) - 0.19*0.5)*AJ46</f>
        <v>7.0951509504793677E-6</v>
      </c>
      <c r="BO46">
        <f>(0.955*0.943*(0.9442 - 0.0007*$B46 - dis_BMI*($C46-21.75)) - 0.15*0.5)*AK46</f>
        <v>6.0433387320529452E-6</v>
      </c>
      <c r="BP46">
        <f>(0.955*0.943*(0.9442 - 0.0007*$B46 - dis_BMI*($C46-21.75)))*AL46</f>
        <v>6.8946510619440018E-6</v>
      </c>
      <c r="BQ46">
        <f>(0.93*(0.9442 - 0.0007*$B46 - dis_BMI*($C46-21.75)))*AM46</f>
        <v>1.1892261635642159E-4</v>
      </c>
      <c r="BR46">
        <f>(0.93*(0.9442 - 0.0007*$B46 - dis_BMI*($C46-21.75)))*AN46</f>
        <v>1.512836663150149E-3</v>
      </c>
      <c r="BS46">
        <f>(0.93*0.943*(0.9442 - 0.0007*$B46 - dis_BMI*($C46-21.75)))*AO46</f>
        <v>4.8380991687093561E-6</v>
      </c>
      <c r="BT46">
        <f>(0.93*0.943*(0.9442 - 0.0007*$B46 - dis_BMI*($C46-21.75))-0.19*0.5)*AP46</f>
        <v>1.5102252139435553E-5</v>
      </c>
      <c r="BU46">
        <f>(0.93*0.943*(0.9442 - 0.0007*$B46 - dis_BMI*($C46-21.75)))*AQ46</f>
        <v>1.6351467626796026E-5</v>
      </c>
      <c r="BV46">
        <f>0.962*(0.9442 - 0.0007*$B46 - dis_BMI*($C46-21.75))*AR46</f>
        <v>6.2057477069295403E-2</v>
      </c>
      <c r="BW46">
        <f>0.962*0.959*(0.9442 - 0.0007*$B46 - dis_BMI*($C46-21.75))*AS46</f>
        <v>2.8949601168418521E-2</v>
      </c>
      <c r="BX46">
        <f>0.962*(0.943*(0.9442 - 0.0007*$B46 - dis_BMI*($C46-21.75)) - 0.19*0.5)*AT46</f>
        <v>1.8355246622256637E-3</v>
      </c>
      <c r="BY46">
        <f>0.962*(0.943*(0.9442 - 0.0007*$B46 - dis_BMI*($C46-21.75)))*AU46</f>
        <v>4.4284381611754938E-3</v>
      </c>
      <c r="BZ46">
        <f>0.962*(0.955*(0.9442 - 0.0007*$B46 - dis_BMI*($C46-21.75)) - 0.15*0.5)*AV46</f>
        <v>9.8413829037491797E-4</v>
      </c>
      <c r="CA46">
        <f>0.962*(0.955*(0.9442 - 0.0007*$B46 - dis_BMI*($C46-21.75)))*AW46</f>
        <v>4.0374956070813057E-3</v>
      </c>
      <c r="CB46">
        <f>0.962*(0.955*0.943*(0.9442 - 0.0007*$B46 - dis_BMI*($C46-21.75)) - 0.19*0.5)*AX46</f>
        <v>8.4957707850636348E-5</v>
      </c>
      <c r="CC46">
        <f>0.962*(0.955*0.943*(0.9442 - 0.0007*$B46 - dis_BMI*($C46-21.75)) - 0.15*0.5)*AY46</f>
        <v>6.7738469054169428E-5</v>
      </c>
      <c r="CD46">
        <f>0.962*(0.955*0.943*(0.9442 - 0.0007*$B46 - dis_BMI*($C46-21.75)))*AZ46</f>
        <v>5.4117965048734234E-5</v>
      </c>
      <c r="CE46">
        <f>0.962*(0.93*(0.9442 - 0.0007*$B46 - dis_BMI*($C46-21.75)))*BA46</f>
        <v>9.12089956557586E-4</v>
      </c>
      <c r="CF46">
        <f>0.962*(0.93*(0.9442 - 0.0007*$B46 - dis_BMI*($C46-21.75)))*BB46</f>
        <v>1.1101316433440899E-2</v>
      </c>
      <c r="CG46">
        <f>0.962*(0.93*0.943*(0.9442 - 0.0007*$B46 - dis_BMI*($C46-21.75)))*BC46</f>
        <v>5.3725473761209989E-5</v>
      </c>
      <c r="CH46">
        <f>0.962*(0.93*0.943*(0.9442 - 0.0007*$B46 - dis_BMI*($C46-21.75))-0.19*0.5)*BD46</f>
        <v>1.7784286821596662E-4</v>
      </c>
      <c r="CI46">
        <f>0.962*(0.93*0.943*(0.9442 - 0.0007*$B46 - dis_BMI*($C46-21.75)))*BE46</f>
        <v>1.2977299891576025E-4</v>
      </c>
      <c r="CJ46">
        <f t="shared" si="51"/>
        <v>0</v>
      </c>
      <c r="CK46">
        <f t="shared" si="52"/>
        <v>0.13874600759945541</v>
      </c>
      <c r="CL46">
        <f>CK46/(1+r_)^A46</f>
        <v>3.8924212323542519E-2</v>
      </c>
      <c r="CM46">
        <f>AD46*c_BN_2</f>
        <v>40.028178241082998</v>
      </c>
      <c r="CN46">
        <f>AE46*(c_Other+c_BN_2)</f>
        <v>94.373288003615073</v>
      </c>
      <c r="CO46">
        <f>AF46*(c_Stroke1+c_Stroke2+c_BN_2)</f>
        <v>9.4856174833611888</v>
      </c>
      <c r="CP46">
        <f>AG46*(c_Stroke2 + c_BN_2)</f>
        <v>7.6000518580631971</v>
      </c>
      <c r="CQ46">
        <f>AH46*(c_MI1+c_MI2 + c_BN_2)</f>
        <v>5.6294528739190266</v>
      </c>
      <c r="CR46">
        <f>AI46*(c_MI2+c_BN_2)</f>
        <v>3.5385068793364169</v>
      </c>
      <c r="CS46">
        <f>AJ46*(c_Stroke1+c_Stroke2+c_MI2+c_BN_2)</f>
        <v>0.31360633644297164</v>
      </c>
      <c r="CT46">
        <f>AK46*(c_Stroke2+c_MI1+c_MI2+c_BN_2)</f>
        <v>0.33707425479764175</v>
      </c>
      <c r="CU46">
        <f>AL46*(c_Stroke2+c_MI2+c_BN_2)</f>
        <v>0.10741756340904253</v>
      </c>
      <c r="CV46">
        <f>AM46*(c_HF1+c_BN_2)</f>
        <v>4.4616391964913413</v>
      </c>
      <c r="CW46">
        <f>AN46*(c_HF2+c_BN_2)</f>
        <v>34.492872639106928</v>
      </c>
      <c r="CX46">
        <f>AO46*(c_Stroke2+c_HF1+c_BN_2)</f>
        <v>0.23544095128459969</v>
      </c>
      <c r="CY46">
        <f>AP46*(c_Stroke1+c_Stroke2+c_HF2+c_BN_2)</f>
        <v>0.98418282577702987</v>
      </c>
      <c r="CZ46">
        <f>AQ46*(c_Stroke2+c_HF2+c_BN_2)</f>
        <v>0.54053580846629079</v>
      </c>
      <c r="DA46">
        <f>AR46*(c_DM+c_BN_2)</f>
        <v>1044.8230404578192</v>
      </c>
      <c r="DB46">
        <f>AS46*(c_Other+c_DM+c_BN_2)</f>
        <v>1045.0211624565488</v>
      </c>
      <c r="DC46">
        <f>AT46*(c_Stroke1+c_Stroke2+c_DM+c_BN_2)</f>
        <v>102.92112942714947</v>
      </c>
      <c r="DD46">
        <f>AU46*(c_Stroke2+c_DM+c_BN_2)</f>
        <v>117.07789325991862</v>
      </c>
      <c r="DE46">
        <f>AV46*(c_MI1+c_MI2+c_DM+c_BN_2)</f>
        <v>60.446123351879109</v>
      </c>
      <c r="DF46">
        <f>AW46*(c_MI2+c_DM+c_BN_2)</f>
        <v>87.590224982886525</v>
      </c>
      <c r="DG46">
        <f>AX46*(c_Stroke1+c_Stroke2+c_MI2+c_DM+c_BN_2)</f>
        <v>5.4398199345133982</v>
      </c>
      <c r="DH46">
        <f>AY46*(c_Stroke2+c_MI1+c_MI2+c_DM+c_BN_2)</f>
        <v>5.1161946098375823</v>
      </c>
      <c r="DI46">
        <f>AZ46*(c_Stroke2+c_MI2+c_DM+c_BN_2)</f>
        <v>1.7314317381150803</v>
      </c>
      <c r="DJ46">
        <f>BA46*(c_HF1+c_DM+c_BN_2)</f>
        <v>49.524205560037622</v>
      </c>
      <c r="DK46">
        <f>BB46*(c_HF2+c_DM+c_BN_2)</f>
        <v>432.94168345034581</v>
      </c>
      <c r="DL46">
        <f>BC46*(c_Stroke2+c_HF1+c_DM+c_BN_2)</f>
        <v>3.5893612865121574</v>
      </c>
      <c r="DM46">
        <f>BD46*(c_Stroke1+c_Stroke2+c_HF2+c_DM+c_BN_2)</f>
        <v>15.362860411635294</v>
      </c>
      <c r="DN46">
        <f>BE46*(c_Stroke2+c_HF2+c_DM+c_BN_2)</f>
        <v>6.5647245255860049</v>
      </c>
      <c r="DO46">
        <f t="shared" si="53"/>
        <v>0</v>
      </c>
      <c r="DP46">
        <f t="shared" si="54"/>
        <v>3180.2777203679379</v>
      </c>
      <c r="DQ46">
        <f>DP46/(1+r_)^A46</f>
        <v>892.2044488141313</v>
      </c>
    </row>
    <row r="47" spans="1:121" x14ac:dyDescent="0.3">
      <c r="A47">
        <v>44</v>
      </c>
      <c r="B47">
        <v>89</v>
      </c>
      <c r="C47">
        <f t="shared" si="39"/>
        <v>36.251999999999995</v>
      </c>
      <c r="D47">
        <f t="shared" si="1"/>
        <v>125</v>
      </c>
      <c r="E47">
        <f t="shared" si="41"/>
        <v>5.7</v>
      </c>
      <c r="F47">
        <v>0.11525000000000001</v>
      </c>
      <c r="G47">
        <v>0.14443</v>
      </c>
      <c r="H47">
        <f t="shared" si="42"/>
        <v>0.121086</v>
      </c>
      <c r="I47">
        <f t="shared" si="43"/>
        <v>4.7655426853004217E-2</v>
      </c>
      <c r="J47">
        <f t="shared" si="21"/>
        <v>0.41135029775723242</v>
      </c>
      <c r="K47">
        <f t="shared" si="22"/>
        <v>0.52391268447120476</v>
      </c>
      <c r="L47">
        <f t="shared" si="23"/>
        <v>0.22187290883732802</v>
      </c>
      <c r="M47">
        <f t="shared" si="24"/>
        <v>0.29625193483395862</v>
      </c>
      <c r="N47">
        <f t="shared" si="25"/>
        <v>0.7802103314723533</v>
      </c>
      <c r="O47">
        <f t="shared" si="26"/>
        <v>0.88243891991034418</v>
      </c>
      <c r="P47">
        <f t="shared" si="27"/>
        <v>0.52538669944274285</v>
      </c>
      <c r="Q47">
        <f t="shared" si="28"/>
        <v>0.65112337618998772</v>
      </c>
      <c r="R47">
        <f>IF(C47&lt;25, HT_f_low, IF(C47&lt;30, HT_f_mod, HT_f_high))</f>
        <v>0.42</v>
      </c>
      <c r="S47">
        <f>IF(C47&lt;25, HT_m_low, IF(C47&lt;30, HT_m_mod, HT_m_high))</f>
        <v>0.43099999999999999</v>
      </c>
      <c r="T47">
        <f>PREV_FEMALE*PREV_SMOKE*(1-$R47)*(1-EXP(-J47/10))+PREV_FEMALE*PREV_SMOKE*$R47*(1-EXP(-K47/10))+PREV_FEMALE*(1-PREV_SMOKE)*(1-$R47)*(1-EXP(-L47/10))+PREV_FEMALE*(1-PREV_SMOKE)*$R47*(1-EXP(-M47/10))+(1-PREV_FEMALE)*PREV_SMOKE*(1-$S47)*(1-EXP(-N47/10))+(1-PREV_FEMALE)*PREV_SMOKE*$S47*(1-EXP(-O47/10))+(1-PREV_FEMALE)*(1-PREV_SMOKE)*(1-$S47)*(1-EXP(-P47/10))+(1-PREV_FEMALE)*(1-PREV_SMOKE)*$S47*(1-EXP(-Q47/10))</f>
        <v>3.3800963052472412E-2</v>
      </c>
      <c r="U47">
        <f t="shared" si="29"/>
        <v>0.68439946978559774</v>
      </c>
      <c r="V47">
        <f t="shared" si="30"/>
        <v>0.80114033831752951</v>
      </c>
      <c r="W47">
        <f t="shared" si="31"/>
        <v>0.42071487431841537</v>
      </c>
      <c r="X47">
        <f t="shared" si="32"/>
        <v>0.53448592523172156</v>
      </c>
      <c r="Y47">
        <f t="shared" si="33"/>
        <v>0.92408547985206468</v>
      </c>
      <c r="Z47">
        <f t="shared" si="34"/>
        <v>0.97382350958365504</v>
      </c>
      <c r="AA47">
        <f t="shared" si="35"/>
        <v>0.71865260372086093</v>
      </c>
      <c r="AB47">
        <f t="shared" si="36"/>
        <v>0.83335729005719272</v>
      </c>
      <c r="AC47">
        <f>PREV_FEMALE*PREV_SMOKE*(1-$R47)*(1-EXP(-U47/10))+PREV_FEMALE*PREV_SMOKE*$R47*(1-EXP(-V47/10))+PREV_FEMALE*(1-PREV_SMOKE)*(1-$R47)*(1-EXP(-W47/10))+PREV_FEMALE*(1-PREV_SMOKE)*$R47*(1-EXP(-X47/10))+(1-PREV_FEMALE)*PREV_SMOKE*(1-$S47)*(1-EXP(-Y47/10))+(1-PREV_FEMALE)*PREV_SMOKE*$S47*(1-EXP(-Z47/10))+(1-PREV_FEMALE)*(1-PREV_SMOKE)*(1-$S47)*(1-EXP(-AA47/10))+(1-PREV_FEMALE)*(1-PREV_SMOKE)*$S47*(1-EXP(-AB47/10))</f>
        <v>5.4289428960852405E-2</v>
      </c>
      <c r="AD47">
        <f t="shared" si="44"/>
        <v>1.5608542167703675E-2</v>
      </c>
      <c r="AE47">
        <f t="shared" si="45"/>
        <v>4.5992300948552237E-3</v>
      </c>
      <c r="AF47">
        <f t="shared" si="46"/>
        <v>2.9695136155781575E-4</v>
      </c>
      <c r="AG47">
        <f t="shared" si="47"/>
        <v>6.3229313258275112E-4</v>
      </c>
      <c r="AH47">
        <f>AD46*T46*p_MI*p_MI_rec_old*(1-I46)+AE46*T46*p_MI*p_MI_rec_old*(1-I46) + AH46*(PREV_FEMALE*p_recur_MI_F + (1-PREV_FEMALE)*p_recur_MI_M)*p_MI_rec_old*(1-I46) + AI46*(PREV_FEMALE*p_recur_MI_F + (1-PREV_FEMALE)*p_recur_MI_M)*p_MI_rec_old*(1-I46)</f>
        <v>1.5171225909748698E-4</v>
      </c>
      <c r="AI47">
        <f>AH46*(1-(PREV_FEMALE*p_recur_MI_F + (1-PREV_FEMALE)*p_recur_MI_M) - T46*p_Stroke - p_toHF_old - H46*rr_MI)*(1-I46) + AI46*(1-(PREV_FEMALE*p_recur_MI_F + (1-PREV_FEMALE)*p_recur_MI_M) - T46*p_Stroke - p_toHF_old - H46*rr_MI)*(1-I46)</f>
        <v>5.4472148339251673E-4</v>
      </c>
      <c r="AJ47">
        <f t="shared" si="48"/>
        <v>8.7556523448238029E-6</v>
      </c>
      <c r="AK47">
        <f>AF46*T46*p_MI*p_MI_rec_old*(1-I46) + AG46*T46*p_MI*p_MI_rec_old*(1-I46) + AJ46*(PREV_FEMALE*p_recur_MI_F + (1-PREV_FEMALE)*p_recur_MI_M)*p_MI_rec_old*(1-I46) + AK46*(PREV_FEMALE*p_recur_MI_F + (1-PREV_FEMALE)*p_recur_MI_M)*p_MI_rec_old*(1-I46) + AL46*(PREV_FEMALE*p_recur_MI_F + (1-PREV_FEMALE)*p_recur_MI_M)*p_MI_rec_old*(1-I46)</f>
        <v>6.9699742470475249E-6</v>
      </c>
      <c r="AL47">
        <f>AJ46*(1-p_recur_Stroke-(PREV_FEMALE*p_recur_MI_F + (1-PREV_FEMALE)*p_recur_MI_M) - p_toHF_old - H46*rr_MI*rr_Stroke)*(1-I46) + AK46*(1-p_recur_Stroke-(PREV_FEMALE*p_recur_MI_F + (1-PREV_FEMALE)*p_recur_MI_M) - p_toHF_old - H46*rr_MI*rr_Stroke)*(1-I46) + AL46*(1-p_recur_Stroke-(PREV_FEMALE*p_recur_MI_F + (1-PREV_FEMALE)*p_recur_MI_M) - p_toHF_old - H46*rr_MI*rr_Stroke)*(1-I46)</f>
        <v>5.1193639983949457E-6</v>
      </c>
      <c r="AM47">
        <f>AD46*T46*p_MI*p_MI_HF_old*(1-I46) + AE46*T46*p_MI*p_MI_HF_old*(1-I46) + AH46*p_toHF_old*(1-I46) + AH46*(PREV_FEMALE*p_recur_MI_F + (1-PREV_FEMALE)*p_recur_MI_M)*p_MI_HF_old*(1-I46) + AI46*p_toHF_old*(1-I46) + AI46*(PREV_FEMALE*p_recur_MI_F + (1-PREV_FEMALE)*p_recur_MI_M)*p_MI_HF_old*(1-I46)</f>
        <v>1.2781153771898422E-4</v>
      </c>
      <c r="AN47">
        <f t="shared" si="49"/>
        <v>1.5888074724857994E-3</v>
      </c>
      <c r="AO47">
        <f>AF46*T46*p_MI*p_MI_HF_old*(1-I46) + AG46*T46*p_MI*p_MI_HF_old*(1-I46) + AJ46*(PREV_FEMALE*p_recur_MI_F + (1-PREV_FEMALE)*p_recur_MI_M)*p_MI_HF_old*(1-I46) + AJ46*p_toHF_old*(1-I46) + AK46*(PREV_FEMALE*p_recur_MI_F + (1-PREV_FEMALE)*p_recur_MI_M)*p_MI_HF_old*(1-I46) + AK46*p_toHF_old*(1-I46) + AL46*(PREV_FEMALE*p_recur_MI_F + (1-PREV_FEMALE)*p_recur_MI_M)*p_MI_HF_old*(1-I46) + AL46*p_toHF_old*(1-I46)</f>
        <v>5.0671776782786172E-6</v>
      </c>
      <c r="AP47">
        <f>AM46*T46*p_Stroke*p_Stroke_rec*(1-I46) + AN46*T46*p_Stroke*p_Stroke_rec*(1-I46) + AO46*(p_recur_Stroke*p_Stroke_rec)*(1-I46) + AP46*(p_recur_Stroke*p_Stroke_rec)*(1-I46) + AQ46*(p_recur_Stroke*p_Stroke_rec)*(1-I46)</f>
        <v>1.9522636517705955E-5</v>
      </c>
      <c r="AQ47">
        <f>AO46*(1-p_recur_Stroke-H46*rr_Stroke*rr_HF)*(1-I46) + AP46*(1-p_recur_Stroke-H46*rr_Stroke*rr_HF)*(1-I46) + AQ46*(1-p_recur_Stroke-H46*rr_Stroke*rr_HF)*(1-I46)</f>
        <v>1.2939488348515373E-5</v>
      </c>
      <c r="AR47">
        <f>AR46*(1-AC46-H46*rr_DM) + AD46*(1-T46-H46)*I46</f>
        <v>6.4238507381669113E-2</v>
      </c>
      <c r="AS47">
        <f>AR46*AC46*p_Other + AD46*T46*p_Other*I46 + AE46*(1-T46*p_Stroke-T46*p_MI-H46*rr_Other)*I46 + AS46*(1-AC46*p_Stroke-AC46*p_MI-H46*rr_Other*rr_DM)</f>
        <v>3.0218436053292434E-2</v>
      </c>
      <c r="AT47">
        <f>AR46*AC46*p_Stroke*p_Stroke_rec + AD46*T46*p_Stroke*p_Stroke_rec*I46 + AE46*T46*p_Stroke*p_Stroke_rec*I46 + AF46*p_recur_Stroke*p_Stroke_rec*I46 + AG46*p_recur_Stroke*p_Stroke_rec*I46 + AS46*AC46*p_Stroke*p_Stroke_rec + AT46*p_recur_Stroke*p_Stroke_rec + AU46*p_recur_Stroke*p_Stroke_rec</f>
        <v>2.2605284683158045E-3</v>
      </c>
      <c r="AU47">
        <f>AF46*(1-p_recur_Stroke-T46*p_MI-H46*rr_Stroke)*I46 + AG46*(1-p_recur_Stroke-T46*p_MI-H46*rr_Stroke)*I46 + AT46*(1-p_recur_Stroke-AC46*p_MI-H46*rr_Stroke*rr_DM) + AU46*(1-p_recur_Stroke-AC46*p_MI-H46*rr_Stroke*rr_DM)</f>
        <v>4.1213203186417063E-3</v>
      </c>
      <c r="AV47">
        <f>AR46*AC46*p_MI*p_MI_rec_old + AD46*T46*p_MI*p_MI_rec_old*I46 + AE46*T46*p_MI*p_MI_rec_old*I46 +AH46*(PREV_FEMALE*p_recur_MI_F + (1-PREV_FEMALE)*p_recur_MI_M)*p_MI_rec_old*I46 + AI46*(PREV_FEMALE*p_recur_MI_F + (1-PREV_FEMALE)*p_recur_MI_M)*p_MI_rec_old*I46 + AS46*AC46*p_MI*p_MI_rec_old + AV46*(PREV_FEMALE*p_recur_MI_F + (1-PREV_FEMALE)*p_recur_MI_M)*p_MI_rec_old + AW46*(PREV_FEMALE*p_recur_MI_F + (1-PREV_FEMALE)*p_recur_MI_M)*p_MI_rec_old</f>
        <v>1.2087311126188353E-3</v>
      </c>
      <c r="AW47">
        <f>AH46*(1-(PREV_FEMALE*p_recur_MI_F + (1-PREV_FEMALE)*p_recur_MI_M) - T46*p_Stroke - p_toHF_old - H46*rr_MI)*I46 + AI46*(1-(PREV_FEMALE*p_recur_MI_F + (1-PREV_FEMALE)*p_recur_MI_M) - T46*p_Stroke - p_toHF_old - H46*rr_MI)*I46 + AV46*(1-(PREV_FEMALE*p_recur_MI_F + (1-PREV_FEMALE)*p_recur_MI_M) - AC46*p_Stroke - p_toHF_old - H46*rr_MI*rr_DM) + AW46*(1-(PREV_FEMALE*p_recur_MI_F + (1-PREV_FEMALE)*p_recur_MI_M) - AC46*p_Stroke - p_toHF_old - H46*rr_MI*rr_DM)</f>
        <v>4.2716710297992667E-3</v>
      </c>
      <c r="AX47">
        <f>AH46*T46*p_Stroke*p_Stroke_rec*I46 + AI46*T46*p_Stroke*p_Stroke_rec*I46 + AJ46*p_recur_Stroke*p_Stroke_rec*I46 + AK46*p_recur_Stroke*p_Stroke_rec*I46 + AL46*p_recur_Stroke*p_Stroke_rec*I46 + AV46*AC46*p_Stroke*p_Stroke_rec + AW46*AC46*p_Stroke*p_Stroke_rec + AX46*p_recur_Stroke*p_Stroke_rec + AY46*p_recur_Stroke*p_Stroke_rec + AZ46*p_recur_Stroke*p_Stroke_rec</f>
        <v>1.1039581497652689E-4</v>
      </c>
      <c r="AY47">
        <f>AF46*T46*p_MI*p_MI_rec_old*I46 + AG46*T46*p_MI*p_MI_rec_old*I46 + AJ46*(PREV_FEMALE*p_recur_MI_F+(1-PREV_FEMALE)*p_recur_MI_M)*p_MI_rec_old*I46 + AK46*(PREV_FEMALE*p_recur_MI_F+(1-PREV_FEMALE)*p_recur_MI_M)*p_MI_rec_old*I46 + AL46*(PREV_FEMALE*p_recur_MI_F+(1-PREV_FEMALE)*p_recur_MI_M)*p_MI_rec_old*I46 + AT46*AC46*p_MI*p_MI_rec_old + AU46*AC46*p_MI*p_MI_rec_old + AX46*(PREV_FEMALE*p_recur_MI_F+(1-PREV_FEMALE)*p_recur_MI_M)*p_MI_rec_old + AY46*(PREV_FEMALE*p_recur_MI_F+(1-PREV_FEMALE)*p_recur_MI_M)*p_MI_rec_old + AZ46*(PREV_FEMALE*p_recur_MI_F+(1-PREV_FEMALE)*p_recur_MI_M)*p_MI_rec_old</f>
        <v>8.1281655165532418E-5</v>
      </c>
      <c r="AZ47">
        <f>AJ46*(1-p_recur_Stroke-(PREV_FEMALE*p_recur_MI_F + (1-PREV_FEMALE)*p_recur_MI_M) - p_toHF_old - H46*rr_MI*rr_Stroke)*I46 + AK46*(1-p_recur_Stroke-(PREV_FEMALE*p_recur_MI_F + (1-PREV_FEMALE)*p_recur_MI_M) - p_toHF_old - H46*rr_MI*rr_Stroke)*I46 + AL46*(1-p_recur_Stroke-(PREV_FEMALE*p_recur_MI_F + (1-PREV_FEMALE)*p_recur_MI_M) - p_toHF_old - H46*rr_MI*rr_Stroke)*I46 + AX46*(1-p_recur_Stroke-(PREV_FEMALE*p_recur_MI_F + (1-PREV_FEMALE)*p_recur_MI_M) - p_toHF_old - H46*rr_MI*rr_Stroke*rr_DM) + AY46*(1-p_recur_Stroke-(PREV_FEMALE*p_recur_MI_F + (1-PREV_FEMALE)*p_recur_MI_M) - p_toHF_old - H46*rr_MI*rr_Stroke*rr_DM) + AZ46*(1-p_recur_Stroke-(PREV_FEMALE*p_recur_MI_F + (1-PREV_FEMALE)*p_recur_MI_M) - p_toHF_old - H46*rr_MI*rr_Stroke*rr_DM)</f>
        <v>3.3152795067493E-5</v>
      </c>
      <c r="BA47">
        <f>AR46*AC46*p_MI*p_MI_HF_old + AD46*T46*p_MI*p_MI_HF_old*I46 + AE46*T46*p_MI*p_MI_HF_old*I46 + AH46*p_toHF_old*I46 + AH46*(PREV_FEMALE*p_recur_MI_F + (1-PREV_FEMALE)*p_recur_MI_M)*p_MI_HF_old*I46 + AI46*p_toHF_old*I46 + AI46*(PREV_FEMALE*p_recur_MI_F + (1-PREV_FEMALE)*p_recur_MI_M)*p_MI_HF_old*I46 + AS46*AC46*p_MI*p_MI_HF_old + AV46*(PREV_FEMALE*p_recur_MI_F + (1-PREV_FEMALE)*p_recur_MI_M)*p_MI_HF_old + AV46*p_toHF_old + AW46*(PREV_FEMALE*p_recur_MI_F + (1-PREV_FEMALE)*p_recur_MI_M)*p_MI_HF_old + AW46*p_toHF_old</f>
        <v>1.0346233424036626E-3</v>
      </c>
      <c r="BB47">
        <f>AM46*(1-T46*p_Stroke - H46*rr_HF)*I46 + AN46*(1-T46*p_Stroke - H46*rr_HF)*I46 + BA46*(1-AC46*p_Stroke - H46*rr_HF*rr_DM) + BB46*(1-AC46*p_Stroke - H46*rr_HF*rr_DM)</f>
        <v>1.2292676621204004E-2</v>
      </c>
      <c r="BC47">
        <f>AF46*T46*p_MI*p_MI_HF_old*I46 + AG46*T46*p_MI*p_MI_HF_old*I46 + AJ46*(PREV_FEMALE*p_recur_MI_F + (1-PREV_FEMALE)*p_recur_MI_M)*p_MI_HF_old*I46 + AJ46*p_toHF_old*I46 + AK46*(PREV_FEMALE*p_recur_MI_F + (1-PREV_FEMALE)*p_recur_MI_M)*p_MI_HF_old*I46 + AK46*p_toHF_old*I46 + AL46*(PREV_FEMALE*p_recur_MI_F + (1-PREV_FEMALE)*p_recur_MI_M)*p_MI_HF_old*I46 + AL46*p_toHF_old*I46 + AT46*AC46*p_MI*p_MI_HF_old + AU46*AC46*p_MI*p_MI_HF_old + AX46*(PREV_FEMALE*p_recur_MI_F + (1-PREV_FEMALE)*p_recur_MI_M)*p_MI_HF_old + AX46*p_toHF_old + AY46*(PREV_FEMALE*p_recur_MI_F + (1-PREV_FEMALE)*p_recur_MI_M)*p_MI_HF_old + AY46*p_toHF_old + AZ46*(PREV_FEMALE*p_recur_MI_F + (1-PREV_FEMALE)*p_recur_MI_M)*p_MI_HF_old + AZ46*p_toHF_old</f>
        <v>5.8588891159883682E-5</v>
      </c>
      <c r="BD47">
        <f>AM46*T46*p_Stroke*p_Stroke_rec*I46 + AN46*T46*p_Stroke*p_Stroke_rec*I46 + AO46*(p_recur_Stroke*p_Stroke_rec)*I46 + AP46*(p_recur_Stroke*p_Stroke_rec)*I46 + AQ46*(p_recur_Stroke*p_Stroke_rec)*I46 + BA46*AC46*p_Stroke*p_Stroke_rec + BB46*AC46*p_Stroke*p_Stroke_rec + BC46*(p_recur_Stroke*p_Stroke_rec) + BD46*(p_recur_Stroke*p_Stroke_rec) + BE46*(p_recur_Stroke*p_Stroke_rec)</f>
        <v>2.4322702053393834E-4</v>
      </c>
      <c r="BE47">
        <f>AO46*(1-p_recur_Stroke - H46*rr_Stroke*rr_HF)*I46 + AP46*(1-p_recur_Stroke-H46*rr_Stroke*rr_HF)*I46 + AQ46*(1-p_recur_Stroke-H46*rr_Stroke*rr_HF)*I46 + BC46*(1-p_recur_Stroke - H46*rr_Stroke*rr_HF*rr_DM) + BD46*(1-p_recur_Stroke-H46*rr_Stroke*rr_HF*rr_DM) + BE46*(1-p_recur_Stroke-H46*rr_Stroke*rr_HF*rr_DM)</f>
        <v>9.1391792775881583E-5</v>
      </c>
      <c r="BF47">
        <f>AD46*H46 + AE46*H46*rr_Other + AF46*H46*rr_Stroke + AG46*H46*rr_Stroke + AH46*H46*rr_MI + AI46*H46*rr_MI + AJ46*H46*rr_Stroke*rr_MI + AK46*H46*rr_Stroke*rr_MI + AL46*H46*rr_Stroke*rr_MI + AM46*H46*rr_HF + AN46*H46*rr_HF + AO46*H46*rr_Stroke*rr_HF + AP46*H46*rr_Stroke*rr_HF + AR46*H46*rr_DM + AS46*H46*rr_DM*rr_Other + AT46*H46*rr_DM*rr_Stroke + AU46*H46*rr_DM*rr_Stroke + AV46*H46*rr_DM*rr_MI + AW46*H46*rr_DM*rr_MI + AX46*H46*rr_DM*rr_Stroke*rr_MI + AY46*H46*rr_DM*rr_Stroke*rr_MI + AZ46*H46*rr_DM*rr_Stroke*rr_MI + BA46*H46*rr_DM*rr_HF + BB46*H46*rr_DM*rr_HF + BC46*H46*rr_DM*rr_Stroke*rr_HF + BD46*H46*rr_DM*rr_Stroke*rr_HF + AQ46*H46*rr_Stroke*rr_HF + BE46*H46*rr_DM*rr_Stroke*rr_HF
+ AD46*T46*p_MI*p_MI_mort + AD46*T46*p_Stroke*p_Stroke_mort + AE46*T46*p_MI*p_MI_mort + AE46*T46*p_Stroke*p_Stroke_mort + AF46*T46*p_MI*p_MI_mort + AF46*p_recur_Stroke*p_Stroke_mort + AG46*T46*p_MI*p_MI_mort + AG46*p_recur_Stroke*p_Stroke_mort + AH46*(PREV_FEMALE*p_recur_MI_F + (1-PREV_FEMALE)*p_recur_MI_M)*p_MI_mort + AH46*T46*p_Stroke*p_Stroke_mort + AI46*(PREV_FEMALE*p_recur_MI_F + (1-PREV_FEMALE)*p_recur_MI_M)*p_MI_mort + AI46*T46*p_Stroke*p_Stroke_mort + AJ46*(PREV_FEMALE*p_recur_MI_F + (1-PREV_FEMALE)*p_recur_MI_M)*p_MI_mort + AJ46*p_recur_Stroke*p_Stroke_mort + AK46*(PREV_FEMALE*p_recur_MI_F + (1-PREV_FEMALE)*p_recur_MI_M)*p_MI_mort + AK46*p_recur_Stroke*p_Stroke_mort + AL46*(PREV_FEMALE*p_recur_MI_F + (1-PREV_FEMALE)*p_recur_MI_M)*p_MI_mort + AL46*p_recur_Stroke*p_Stroke_mort + AM46*T46*p_Stroke*p_Stroke_mort + AN46*T46*p_Stroke*p_Stroke_mort + AO46*p_recur_Stroke*p_Stroke_mort + AP46*p_recur_Stroke*p_Stroke_mort + AQ46*p_recur_Stroke*p_Stroke_mort
+ AR46*AC46*p_MI*p_MI_mort + AR46*AC46*p_Stroke*p_Stroke_mort + AS46*AC46*p_MI*p_MI_mort + AS46*AC46*p_Stroke*p_Stroke_mort + AT46*AC46*p_MI*p_MI_mort + AT46*p_recur_Stroke*p_Stroke_mort + AU46*AC46*p_MI*p_MI_mort + AU46*p_recur_Stroke*p_Stroke_mort + AV46*(PREV_FEMALE*p_recur_MI_F + (1-PREV_FEMALE)*p_recur_MI_M)*p_MI_mort + AV46*AC46*p_Stroke*p_Stroke_mort + AW46*(PREV_FEMALE*p_recur_MI_F + (1-PREV_FEMALE)*p_recur_MI_M)*p_MI_mort + AW46*AC46*p_Stroke*p_Stroke_mort + AX46*(PREV_FEMALE*p_recur_MI_F + (1-PREV_FEMALE)*p_recur_MI_M)*p_MI_mort + AX46*p_recur_Stroke*p_Stroke_mort + AY46*(PREV_FEMALE*p_recur_MI_F + (1-PREV_FEMALE)*p_recur_MI_M)*p_MI_mort + AY46*p_recur_Stroke*p_Stroke_mort + AZ46*(PREV_FEMALE*p_recur_MI_F + (1-PREV_FEMALE)*p_recur_MI_M)*p_MI_mort + AZ46*p_recur_Stroke*p_Stroke_mort + BA46*AC46*p_Stroke*p_Stroke_mort + BB46*AC46*p_Stroke*p_Stroke_mort + BC46*p_recur_Stroke*p_Stroke_mort + BD46*p_recur_Stroke*p_Stroke_mort + BE46*p_recur_Stroke*p_Stroke_mort
+BF46</f>
        <v>0.80312702389984714</v>
      </c>
      <c r="BG47">
        <f t="shared" si="50"/>
        <v>0.94700000000000029</v>
      </c>
      <c r="BH47">
        <f>(0.9442 - 0.0007*$B47 - dis_BMI*($C47-21.75))*AD47</f>
        <v>1.3018201578594943E-2</v>
      </c>
      <c r="BI47">
        <f>0.959*(0.9442 - 0.0007*$B47 - dis_BMI*($C47-21.75))*AE47</f>
        <v>3.6786832479618627E-3</v>
      </c>
      <c r="BJ47">
        <f>(0.943*(0.9442 - 0.0007*$B47 - dis_BMI*($C47-21.75)) - 0.19*0.5)*AF47</f>
        <v>2.0534273545630378E-4</v>
      </c>
      <c r="BK47">
        <f>(0.943*(0.9442 - 0.0007*$B47 - dis_BMI*($C47-21.75)))*AG47</f>
        <v>4.9730039899249833E-4</v>
      </c>
      <c r="BL47">
        <f>(0.955*(0.9442 - 0.0007*$B47 - dis_BMI*($C47-21.75)) - 0.15*0.5)*AH47</f>
        <v>1.0946213158906675E-4</v>
      </c>
      <c r="BM47">
        <f>(0.955*(0.9442 - 0.0007*$B47 - dis_BMI*($C47-21.75)))*AI47</f>
        <v>4.3387689694895996E-4</v>
      </c>
      <c r="BN47">
        <f>(0.955*0.943*(0.9442 - 0.0007*$B47 - dis_BMI*($C47-21.75)) - 0.19*0.5)*AJ47</f>
        <v>5.7446736386858296E-6</v>
      </c>
      <c r="BO47">
        <f>(0.955*0.943*(0.9442 - 0.0007*$B47 - dis_BMI*($C47-21.75)) - 0.15*0.5)*AK47</f>
        <v>4.7124713409750874E-6</v>
      </c>
      <c r="BP47">
        <f>(0.955*0.943*(0.9442 - 0.0007*$B47 - dis_BMI*($C47-21.75)))*AL47</f>
        <v>3.8452070005946316E-6</v>
      </c>
      <c r="BQ47">
        <f>(0.93*(0.9442 - 0.0007*$B47 - dis_BMI*($C47-21.75)))*AM47</f>
        <v>9.9138343614883954E-5</v>
      </c>
      <c r="BR47">
        <f>(0.93*(0.9442 - 0.0007*$B47 - dis_BMI*($C47-21.75)))*AN47</f>
        <v>1.2323749792566402E-3</v>
      </c>
      <c r="BS47">
        <f>(0.93*0.943*(0.9442 - 0.0007*$B47 - dis_BMI*($C47-21.75)))*AO47</f>
        <v>3.7063755665335527E-6</v>
      </c>
      <c r="BT47">
        <f>(0.93*0.943*(0.9442 - 0.0007*$B47 - dis_BMI*($C47-21.75))-0.19*0.5)*AP47</f>
        <v>1.2425137526750617E-5</v>
      </c>
      <c r="BU47">
        <f>(0.93*0.943*(0.9442 - 0.0007*$B47 - dis_BMI*($C47-21.75)))*AQ47</f>
        <v>9.4645592681634757E-6</v>
      </c>
      <c r="BV47">
        <f>0.962*(0.9442 - 0.0007*$B47 - dis_BMI*($C47-21.75))*AR47</f>
        <v>5.1541750389446167E-2</v>
      </c>
      <c r="BW47">
        <f>0.962*0.959*(0.9442 - 0.0007*$B47 - dis_BMI*($C47-21.75))*AS47</f>
        <v>2.3251678696810996E-2</v>
      </c>
      <c r="BX47">
        <f>0.962*(0.943*(0.9442 - 0.0007*$B47 - dis_BMI*($C47-21.75)) - 0.19*0.5)*AT47</f>
        <v>1.503761892676029E-3</v>
      </c>
      <c r="BY47">
        <f>0.962*(0.943*(0.9442 - 0.0007*$B47 - dis_BMI*($C47-21.75)))*AU47</f>
        <v>3.1182561317832876E-3</v>
      </c>
      <c r="BZ47">
        <f>0.962*(0.955*(0.9442 - 0.0007*$B47 - dis_BMI*($C47-21.75)) - 0.15*0.5)*AV47</f>
        <v>8.3897302740375344E-4</v>
      </c>
      <c r="CA47">
        <f>0.962*(0.955*(0.9442 - 0.0007*$B47 - dis_BMI*($C47-21.75)))*AW47</f>
        <v>3.2731423478773647E-3</v>
      </c>
      <c r="CB47">
        <f>0.962*(0.955*0.943*(0.9442 - 0.0007*$B47 - dis_BMI*($C47-21.75)) - 0.19*0.5)*AX47</f>
        <v>6.9679421112365757E-5</v>
      </c>
      <c r="CC47">
        <f>0.962*(0.955*0.943*(0.9442 - 0.0007*$B47 - dis_BMI*($C47-21.75)) - 0.15*0.5)*AY47</f>
        <v>5.2867059988223834E-5</v>
      </c>
      <c r="CD47">
        <f>0.962*(0.955*0.943*(0.9442 - 0.0007*$B47 - dis_BMI*($C47-21.75)))*AZ47</f>
        <v>2.3955152251980138E-5</v>
      </c>
      <c r="CE47">
        <f>0.962*(0.93*(0.9442 - 0.0007*$B47 - dis_BMI*($C47-21.75)))*BA47</f>
        <v>7.7202069628298081E-4</v>
      </c>
      <c r="CF47">
        <f>0.962*(0.93*(0.9442 - 0.0007*$B47 - dis_BMI*($C47-21.75)))*BB47</f>
        <v>9.1726142020298572E-3</v>
      </c>
      <c r="CG47">
        <f>0.962*(0.93*0.943*(0.9442 - 0.0007*$B47 - dis_BMI*($C47-21.75)))*BC47</f>
        <v>4.1226231920679711E-5</v>
      </c>
      <c r="CH47">
        <f>0.962*(0.93*0.943*(0.9442 - 0.0007*$B47 - dis_BMI*($C47-21.75))-0.19*0.5)*BD47</f>
        <v>1.4891883423971463E-4</v>
      </c>
      <c r="CI47">
        <f>0.962*(0.93*0.943*(0.9442 - 0.0007*$B47 - dis_BMI*($C47-21.75)))*BE47</f>
        <v>6.4308082471528299E-5</v>
      </c>
      <c r="CJ47">
        <f t="shared" si="51"/>
        <v>0</v>
      </c>
      <c r="CK47">
        <f t="shared" si="52"/>
        <v>0.11318743090305178</v>
      </c>
      <c r="CL47">
        <f>CK47/(1+r_)^A47</f>
        <v>3.0829062309110766E-2</v>
      </c>
      <c r="CM47">
        <f>AD47*c_BN_2</f>
        <v>32.699895841339199</v>
      </c>
      <c r="CN47">
        <f>AE47*(c_Other+c_BN_2)</f>
        <v>75.307793573159429</v>
      </c>
      <c r="CO47">
        <f>AF47*(c_Stroke1+c_Stroke2+c_BN_2)</f>
        <v>7.6943067293245635</v>
      </c>
      <c r="CP47">
        <f>AG47*(c_Stroke2 + c_BN_2)</f>
        <v>5.4345594745487462</v>
      </c>
      <c r="CQ47">
        <f>AH47*(c_MI1+c_MI2 + c_BN_2)</f>
        <v>4.7404012477600785</v>
      </c>
      <c r="CR47">
        <f>AI47*(c_MI2+c_BN_2)</f>
        <v>2.8390883714417972</v>
      </c>
      <c r="CS47">
        <f>AJ47*(c_Stroke1+c_Stroke2+c_MI2+c_BN_2)</f>
        <v>0.25415907626554535</v>
      </c>
      <c r="CT47">
        <f>AK47*(c_Stroke2+c_MI1+c_MI2+c_BN_2)</f>
        <v>0.2630886479290559</v>
      </c>
      <c r="CU47">
        <f>AL47*(c_Stroke2+c_MI2+c_BN_2)</f>
        <v>5.9957991149201605E-2</v>
      </c>
      <c r="CV47">
        <f>AM47*(c_HF1+c_BN_2)</f>
        <v>3.7225110360654154</v>
      </c>
      <c r="CW47">
        <f>AN47*(c_HF2+c_BN_2)</f>
        <v>28.121892262998649</v>
      </c>
      <c r="CX47">
        <f>AO47*(c_Stroke2+c_HF1+c_BN_2)</f>
        <v>0.18051820478867572</v>
      </c>
      <c r="CY47">
        <f>AP47*(c_Stroke1+c_Stroke2+c_HF2+c_BN_2)</f>
        <v>0.81050177766908038</v>
      </c>
      <c r="CZ47">
        <f>AQ47*(c_Stroke2+c_HF2+c_BN_2)</f>
        <v>0.31313561803407203</v>
      </c>
      <c r="DA47">
        <f>AR47*(c_DM+c_BN_2)</f>
        <v>868.50461980016644</v>
      </c>
      <c r="DB47">
        <f>AS47*(c_Other+c_DM+c_BN_2)</f>
        <v>840.04230384547634</v>
      </c>
      <c r="DC47">
        <f>AT47*(c_Stroke1+c_Stroke2+c_DM+c_BN_2)</f>
        <v>84.399090893038874</v>
      </c>
      <c r="DD47">
        <f>AU47*(c_Stroke2+c_DM+c_BN_2)</f>
        <v>82.508832779206955</v>
      </c>
      <c r="DE47">
        <f>AV47*(c_MI1+c_MI2+c_DM+c_BN_2)</f>
        <v>51.577765306558319</v>
      </c>
      <c r="DF47">
        <f>AW47*(c_MI2+c_DM+c_BN_2)</f>
        <v>71.067790922770399</v>
      </c>
      <c r="DG47">
        <f>AX47*(c_Stroke1+c_Stroke2+c_MI2+c_DM+c_BN_2)</f>
        <v>4.4658419032454422</v>
      </c>
      <c r="DH47">
        <f>AY47*(c_Stroke2+c_MI1+c_MI2+c_DM+c_BN_2)</f>
        <v>3.9967002661443947</v>
      </c>
      <c r="DI47">
        <f>AZ47*(c_Stroke2+c_MI2+c_DM+c_BN_2)</f>
        <v>0.76705621947658553</v>
      </c>
      <c r="DJ47">
        <f>BA47*(c_HF1+c_DM+c_BN_2)</f>
        <v>41.953976534468516</v>
      </c>
      <c r="DK47">
        <f>BB47*(c_HF2+c_DM+c_BN_2)</f>
        <v>358.0242065925666</v>
      </c>
      <c r="DL47">
        <f>BC47*(c_Stroke2+c_HF1+c_DM+c_BN_2)</f>
        <v>2.7566073290725273</v>
      </c>
      <c r="DM47">
        <f>BD47*(c_Stroke1+c_Stroke2+c_HF2+c_DM+c_BN_2)</f>
        <v>12.87668169408723</v>
      </c>
      <c r="DN47">
        <f>BE47*(c_Stroke2+c_HF2+c_DM+c_BN_2)</f>
        <v>3.2558326176407815</v>
      </c>
      <c r="DO47">
        <f t="shared" si="53"/>
        <v>0</v>
      </c>
      <c r="DP47">
        <f t="shared" si="54"/>
        <v>2588.6391165563932</v>
      </c>
      <c r="DQ47">
        <f>DP47/(1+r_)^A47</f>
        <v>705.07225036739283</v>
      </c>
    </row>
    <row r="48" spans="1:121" x14ac:dyDescent="0.3">
      <c r="A48">
        <v>45</v>
      </c>
      <c r="B48">
        <v>90</v>
      </c>
      <c r="C48">
        <f t="shared" si="39"/>
        <v>36.251999999999995</v>
      </c>
      <c r="D48">
        <f t="shared" si="1"/>
        <v>125</v>
      </c>
      <c r="E48">
        <f t="shared" si="41"/>
        <v>5.7</v>
      </c>
      <c r="F48">
        <v>0.12912000000000001</v>
      </c>
      <c r="G48">
        <v>0.16005</v>
      </c>
      <c r="H48">
        <f t="shared" si="42"/>
        <v>0.13530600000000001</v>
      </c>
      <c r="I48">
        <f t="shared" si="43"/>
        <v>4.7655426853004217E-2</v>
      </c>
      <c r="J48">
        <f t="shared" si="21"/>
        <v>0.42090160912462871</v>
      </c>
      <c r="K48">
        <f t="shared" si="22"/>
        <v>0.53469606977651751</v>
      </c>
      <c r="L48">
        <f t="shared" si="23"/>
        <v>0.22787566475019738</v>
      </c>
      <c r="M48">
        <f t="shared" si="24"/>
        <v>0.30384339578691943</v>
      </c>
      <c r="N48">
        <f t="shared" si="25"/>
        <v>0.79168623413809269</v>
      </c>
      <c r="O48">
        <f t="shared" si="26"/>
        <v>0.8910176824736894</v>
      </c>
      <c r="P48">
        <f t="shared" si="27"/>
        <v>0.53774232872742533</v>
      </c>
      <c r="Q48">
        <f t="shared" si="28"/>
        <v>0.66388725243750679</v>
      </c>
      <c r="R48">
        <f>IF(C48&lt;25, HT_f_low, IF(C48&lt;30, HT_f_mod, HT_f_high))</f>
        <v>0.42</v>
      </c>
      <c r="S48">
        <f>IF(C48&lt;25, HT_m_low, IF(C48&lt;30, HT_m_mod, HT_m_high))</f>
        <v>0.43099999999999999</v>
      </c>
      <c r="T48">
        <f>PREV_FEMALE*PREV_SMOKE*(1-$R48)*(1-EXP(-J48/10))+PREV_FEMALE*PREV_SMOKE*$R48*(1-EXP(-K48/10))+PREV_FEMALE*(1-PREV_SMOKE)*(1-$R48)*(1-EXP(-L48/10))+PREV_FEMALE*(1-PREV_SMOKE)*$R48*(1-EXP(-M48/10))+(1-PREV_FEMALE)*PREV_SMOKE*(1-$S48)*(1-EXP(-N48/10))+(1-PREV_FEMALE)*PREV_SMOKE*$S48*(1-EXP(-O48/10))+(1-PREV_FEMALE)*(1-PREV_SMOKE)*(1-$S48)*(1-EXP(-P48/10))+(1-PREV_FEMALE)*(1-PREV_SMOKE)*$S48*(1-EXP(-Q48/10))</f>
        <v>3.4582299490549785E-2</v>
      </c>
      <c r="U48">
        <f t="shared" si="29"/>
        <v>0.69543780877524941</v>
      </c>
      <c r="V48">
        <f t="shared" si="30"/>
        <v>0.81081239972930497</v>
      </c>
      <c r="W48">
        <f t="shared" si="31"/>
        <v>0.43039628988391732</v>
      </c>
      <c r="X48">
        <f t="shared" si="32"/>
        <v>0.54534515377677162</v>
      </c>
      <c r="Y48">
        <f t="shared" si="33"/>
        <v>0.93070617379253773</v>
      </c>
      <c r="Z48">
        <f t="shared" si="34"/>
        <v>0.97699012648437245</v>
      </c>
      <c r="AA48">
        <f t="shared" si="35"/>
        <v>0.73100194206153801</v>
      </c>
      <c r="AB48">
        <f t="shared" si="36"/>
        <v>0.84359815981849551</v>
      </c>
      <c r="AC48">
        <f>PREV_FEMALE*PREV_SMOKE*(1-$R48)*(1-EXP(-U48/10))+PREV_FEMALE*PREV_SMOKE*$R48*(1-EXP(-V48/10))+PREV_FEMALE*(1-PREV_SMOKE)*(1-$R48)*(1-EXP(-W48/10))+PREV_FEMALE*(1-PREV_SMOKE)*$R48*(1-EXP(-X48/10))+(1-PREV_FEMALE)*PREV_SMOKE*(1-$S48)*(1-EXP(-Y48/10))+(1-PREV_FEMALE)*PREV_SMOKE*$S48*(1-EXP(-Z48/10))+(1-PREV_FEMALE)*(1-PREV_SMOKE)*(1-$S48)*(1-EXP(-AA48/10))+(1-PREV_FEMALE)*(1-PREV_SMOKE)*$S48*(1-EXP(-AB48/10))</f>
        <v>5.5262909392120044E-2</v>
      </c>
      <c r="AD48">
        <f t="shared" si="44"/>
        <v>1.2562360573278282E-2</v>
      </c>
      <c r="AE48">
        <f t="shared" si="45"/>
        <v>3.5820825612400131E-3</v>
      </c>
      <c r="AF48">
        <f t="shared" si="46"/>
        <v>2.3534368992848365E-4</v>
      </c>
      <c r="AG48">
        <f t="shared" si="47"/>
        <v>4.3678540504926602E-4</v>
      </c>
      <c r="AH48">
        <f>AD47*T47*p_MI*p_MI_rec_old*(1-I47)+AE47*T47*p_MI*p_MI_rec_old*(1-I47) + AH47*(PREV_FEMALE*p_recur_MI_F + (1-PREV_FEMALE)*p_recur_MI_M)*p_MI_rec_old*(1-I47) + AI47*(PREV_FEMALE*p_recur_MI_F + (1-PREV_FEMALE)*p_recur_MI_M)*p_MI_rec_old*(1-I47)</f>
        <v>1.2534998370937106E-4</v>
      </c>
      <c r="AI48">
        <f>AH47*(1-(PREV_FEMALE*p_recur_MI_F + (1-PREV_FEMALE)*p_recur_MI_M) - T47*p_Stroke - p_toHF_old - H47*rr_MI)*(1-I47) + AI47*(1-(PREV_FEMALE*p_recur_MI_F + (1-PREV_FEMALE)*p_recur_MI_M) - T47*p_Stroke - p_toHF_old - H47*rr_MI)*(1-I47)</f>
        <v>4.2899336335445434E-4</v>
      </c>
      <c r="AJ48">
        <f t="shared" si="48"/>
        <v>6.9353338562090421E-6</v>
      </c>
      <c r="AK48">
        <f>AF47*T47*p_MI*p_MI_rec_old*(1-I47) + AG47*T47*p_MI*p_MI_rec_old*(1-I47) + AJ47*(PREV_FEMALE*p_recur_MI_F + (1-PREV_FEMALE)*p_recur_MI_M)*p_MI_rec_old*(1-I47) + AK47*(PREV_FEMALE*p_recur_MI_F + (1-PREV_FEMALE)*p_recur_MI_M)*p_MI_rec_old*(1-I47) + AL47*(PREV_FEMALE*p_recur_MI_F + (1-PREV_FEMALE)*p_recur_MI_M)*p_MI_rec_old*(1-I47)</f>
        <v>5.2497486305050734E-6</v>
      </c>
      <c r="AL48">
        <f>AJ47*(1-p_recur_Stroke-(PREV_FEMALE*p_recur_MI_F + (1-PREV_FEMALE)*p_recur_MI_M) - p_toHF_old - H47*rr_MI*rr_Stroke)*(1-I47) + AK47*(1-p_recur_Stroke-(PREV_FEMALE*p_recur_MI_F + (1-PREV_FEMALE)*p_recur_MI_M) - p_toHF_old - H47*rr_MI*rr_Stroke)*(1-I47) + AL47*(1-p_recur_Stroke-(PREV_FEMALE*p_recur_MI_F + (1-PREV_FEMALE)*p_recur_MI_M) - p_toHF_old - H47*rr_MI*rr_Stroke)*(1-I47)</f>
        <v>2.522768784418359E-6</v>
      </c>
      <c r="AM48">
        <f>AD47*T47*p_MI*p_MI_HF_old*(1-I47) + AE47*T47*p_MI*p_MI_HF_old*(1-I47) + AH47*p_toHF_old*(1-I47) + AH47*(PREV_FEMALE*p_recur_MI_F + (1-PREV_FEMALE)*p_recur_MI_M)*p_MI_HF_old*(1-I47) + AI47*p_toHF_old*(1-I47) + AI47*(PREV_FEMALE*p_recur_MI_F + (1-PREV_FEMALE)*p_recur_MI_M)*p_MI_HF_old*(1-I47)</f>
        <v>1.0458381805003087E-4</v>
      </c>
      <c r="AN48">
        <f t="shared" si="49"/>
        <v>1.2618290463279175E-3</v>
      </c>
      <c r="AO48">
        <f>AF47*T47*p_MI*p_MI_HF_old*(1-I47) + AG47*T47*p_MI*p_MI_HF_old*(1-I47) + AJ47*(PREV_FEMALE*p_recur_MI_F + (1-PREV_FEMALE)*p_recur_MI_M)*p_MI_HF_old*(1-I47) + AJ47*p_toHF_old*(1-I47) + AK47*(PREV_FEMALE*p_recur_MI_F + (1-PREV_FEMALE)*p_recur_MI_M)*p_MI_HF_old*(1-I47) + AK47*p_toHF_old*(1-I47) + AL47*(PREV_FEMALE*p_recur_MI_F + (1-PREV_FEMALE)*p_recur_MI_M)*p_MI_HF_old*(1-I47) + AL47*p_toHF_old*(1-I47)</f>
        <v>3.7460012297404977E-6</v>
      </c>
      <c r="AP48">
        <f>AM47*T47*p_Stroke*p_Stroke_rec*(1-I47) + AN47*T47*p_Stroke*p_Stroke_rec*(1-I47) + AO47*(p_recur_Stroke*p_Stroke_rec)*(1-I47) + AP47*(p_recur_Stroke*p_Stroke_rec)*(1-I47) + AQ47*(p_recur_Stroke*p_Stroke_rec)*(1-I47)</f>
        <v>1.5638432433762205E-5</v>
      </c>
      <c r="AQ48">
        <f>AO47*(1-p_recur_Stroke-H47*rr_Stroke*rr_HF)*(1-I47) + AP47*(1-p_recur_Stroke-H47*rr_Stroke*rr_HF)*(1-I47) + AQ47*(1-p_recur_Stroke-H47*rr_Stroke*rr_HF)*(1-I47)</f>
        <v>6.7986735680126111E-6</v>
      </c>
      <c r="AR48">
        <f>AR47*(1-AC47-H47*rr_DM) + AD47*(1-T47-H47)*I47</f>
        <v>5.243451590847481E-2</v>
      </c>
      <c r="AS48">
        <f>AR47*AC47*p_Other + AD47*T47*p_Other*I47 + AE47*(1-T47*p_Stroke-T47*p_MI-H47*rr_Other)*I47 + AS47*(1-AC47*p_Stroke-AC47*p_MI-H47*rr_Other*rr_DM)</f>
        <v>2.3582570093955257E-2</v>
      </c>
      <c r="AT48">
        <f>AR47*AC47*p_Stroke*p_Stroke_rec + AD47*T47*p_Stroke*p_Stroke_rec*I47 + AE47*T47*p_Stroke*p_Stroke_rec*I47 + AF47*p_recur_Stroke*p_Stroke_rec*I47 + AG47*p_recur_Stroke*p_Stroke_rec*I47 + AS47*AC47*p_Stroke*p_Stroke_rec + AT47*p_recur_Stroke*p_Stroke_rec + AU47*p_recur_Stroke*p_Stroke_rec</f>
        <v>1.8014203910584274E-3</v>
      </c>
      <c r="AU48">
        <f>AF47*(1-p_recur_Stroke-T47*p_MI-H47*rr_Stroke)*I47 + AG47*(1-p_recur_Stroke-T47*p_MI-H47*rr_Stroke)*I47 + AT47*(1-p_recur_Stroke-AC47*p_MI-H47*rr_Stroke*rr_DM) + AU47*(1-p_recur_Stroke-AC47*p_MI-H47*rr_Stroke*rr_DM)</f>
        <v>2.7801382225684781E-3</v>
      </c>
      <c r="AV48">
        <f>AR47*AC47*p_MI*p_MI_rec_old + AD47*T47*p_MI*p_MI_rec_old*I47 + AE47*T47*p_MI*p_MI_rec_old*I47 +AH47*(PREV_FEMALE*p_recur_MI_F + (1-PREV_FEMALE)*p_recur_MI_M)*p_MI_rec_old*I47 + AI47*(PREV_FEMALE*p_recur_MI_F + (1-PREV_FEMALE)*p_recur_MI_M)*p_MI_rec_old*I47 + AS47*AC47*p_MI*p_MI_rec_old + AV47*(PREV_FEMALE*p_recur_MI_F + (1-PREV_FEMALE)*p_recur_MI_M)*p_MI_rec_old + AW47*(PREV_FEMALE*p_recur_MI_F + (1-PREV_FEMALE)*p_recur_MI_M)*p_MI_rec_old</f>
        <v>1.0066105510914028E-3</v>
      </c>
      <c r="AW48">
        <f>AH47*(1-(PREV_FEMALE*p_recur_MI_F + (1-PREV_FEMALE)*p_recur_MI_M) - T47*p_Stroke - p_toHF_old - H47*rr_MI)*I47 + AI47*(1-(PREV_FEMALE*p_recur_MI_F + (1-PREV_FEMALE)*p_recur_MI_M) - T47*p_Stroke - p_toHF_old - H47*rr_MI)*I47 + AV47*(1-(PREV_FEMALE*p_recur_MI_F + (1-PREV_FEMALE)*p_recur_MI_M) - AC47*p_Stroke - p_toHF_old - H47*rr_MI*rr_DM) + AW47*(1-(PREV_FEMALE*p_recur_MI_F + (1-PREV_FEMALE)*p_recur_MI_M) - AC47*p_Stroke - p_toHF_old - H47*rr_MI*rr_DM)</f>
        <v>3.3831464771411431E-3</v>
      </c>
      <c r="AX48">
        <f>AH47*T47*p_Stroke*p_Stroke_rec*I47 + AI47*T47*p_Stroke*p_Stroke_rec*I47 + AJ47*p_recur_Stroke*p_Stroke_rec*I47 + AK47*p_recur_Stroke*p_Stroke_rec*I47 + AL47*p_recur_Stroke*p_Stroke_rec*I47 + AV47*AC47*p_Stroke*p_Stroke_rec + AW47*AC47*p_Stroke*p_Stroke_rec + AX47*p_recur_Stroke*p_Stroke_rec + AY47*p_recur_Stroke*p_Stroke_rec + AZ47*p_recur_Stroke*p_Stroke_rec</f>
        <v>8.8125210375551941E-5</v>
      </c>
      <c r="AY48">
        <f>AF47*T47*p_MI*p_MI_rec_old*I47 + AG47*T47*p_MI*p_MI_rec_old*I47 + AJ47*(PREV_FEMALE*p_recur_MI_F+(1-PREV_FEMALE)*p_recur_MI_M)*p_MI_rec_old*I47 + AK47*(PREV_FEMALE*p_recur_MI_F+(1-PREV_FEMALE)*p_recur_MI_M)*p_MI_rec_old*I47 + AL47*(PREV_FEMALE*p_recur_MI_F+(1-PREV_FEMALE)*p_recur_MI_M)*p_MI_rec_old*I47 + AT47*AC47*p_MI*p_MI_rec_old + AU47*AC47*p_MI*p_MI_rec_old + AX47*(PREV_FEMALE*p_recur_MI_F+(1-PREV_FEMALE)*p_recur_MI_M)*p_MI_rec_old + AY47*(PREV_FEMALE*p_recur_MI_F+(1-PREV_FEMALE)*p_recur_MI_M)*p_MI_rec_old + AZ47*(PREV_FEMALE*p_recur_MI_F+(1-PREV_FEMALE)*p_recur_MI_M)*p_MI_rec_old</f>
        <v>6.0822183483015675E-5</v>
      </c>
      <c r="AZ48">
        <f>AJ47*(1-p_recur_Stroke-(PREV_FEMALE*p_recur_MI_F + (1-PREV_FEMALE)*p_recur_MI_M) - p_toHF_old - H47*rr_MI*rr_Stroke)*I47 + AK47*(1-p_recur_Stroke-(PREV_FEMALE*p_recur_MI_F + (1-PREV_FEMALE)*p_recur_MI_M) - p_toHF_old - H47*rr_MI*rr_Stroke)*I47 + AL47*(1-p_recur_Stroke-(PREV_FEMALE*p_recur_MI_F + (1-PREV_FEMALE)*p_recur_MI_M) - p_toHF_old - H47*rr_MI*rr_Stroke)*I47 + AX47*(1-p_recur_Stroke-(PREV_FEMALE*p_recur_MI_F + (1-PREV_FEMALE)*p_recur_MI_M) - p_toHF_old - H47*rr_MI*rr_Stroke*rr_DM) + AY47*(1-p_recur_Stroke-(PREV_FEMALE*p_recur_MI_F + (1-PREV_FEMALE)*p_recur_MI_M) - p_toHF_old - H47*rr_MI*rr_Stroke*rr_DM) + AZ47*(1-p_recur_Stroke-(PREV_FEMALE*p_recur_MI_F + (1-PREV_FEMALE)*p_recur_MI_M) - p_toHF_old - H47*rr_MI*rr_Stroke*rr_DM)</f>
        <v>8.503075801080185E-6</v>
      </c>
      <c r="BA48">
        <f>AR47*AC47*p_MI*p_MI_HF_old + AD47*T47*p_MI*p_MI_HF_old*I47 + AE47*T47*p_MI*p_MI_HF_old*I47 + AH47*p_toHF_old*I47 + AH47*(PREV_FEMALE*p_recur_MI_F + (1-PREV_FEMALE)*p_recur_MI_M)*p_MI_HF_old*I47 + AI47*p_toHF_old*I47 + AI47*(PREV_FEMALE*p_recur_MI_F + (1-PREV_FEMALE)*p_recur_MI_M)*p_MI_HF_old*I47 + AS47*AC47*p_MI*p_MI_HF_old + AV47*(PREV_FEMALE*p_recur_MI_F + (1-PREV_FEMALE)*p_recur_MI_M)*p_MI_HF_old + AV47*p_toHF_old + AW47*(PREV_FEMALE*p_recur_MI_F + (1-PREV_FEMALE)*p_recur_MI_M)*p_MI_HF_old + AW47*p_toHF_old</f>
        <v>8.5484744434784373E-4</v>
      </c>
      <c r="BB48">
        <f>AM47*(1-T47*p_Stroke - H47*rr_HF)*I47 + AN47*(1-T47*p_Stroke - H47*rr_HF)*I47 + BA47*(1-AC47*p_Stroke - H47*rr_HF*rr_DM) + BB47*(1-AC47*p_Stroke - H47*rr_HF*rr_DM)</f>
        <v>9.8464521963461046E-3</v>
      </c>
      <c r="BC48">
        <f>AF47*T47*p_MI*p_MI_HF_old*I47 + AG47*T47*p_MI*p_MI_HF_old*I47 + AJ47*(PREV_FEMALE*p_recur_MI_F + (1-PREV_FEMALE)*p_recur_MI_M)*p_MI_HF_old*I47 + AJ47*p_toHF_old*I47 + AK47*(PREV_FEMALE*p_recur_MI_F + (1-PREV_FEMALE)*p_recur_MI_M)*p_MI_HF_old*I47 + AK47*p_toHF_old*I47 + AL47*(PREV_FEMALE*p_recur_MI_F + (1-PREV_FEMALE)*p_recur_MI_M)*p_MI_HF_old*I47 + AL47*p_toHF_old*I47 + AT47*AC47*p_MI*p_MI_HF_old + AU47*AC47*p_MI*p_MI_HF_old + AX47*(PREV_FEMALE*p_recur_MI_F + (1-PREV_FEMALE)*p_recur_MI_M)*p_MI_HF_old + AX47*p_toHF_old + AY47*(PREV_FEMALE*p_recur_MI_F + (1-PREV_FEMALE)*p_recur_MI_M)*p_MI_HF_old + AY47*p_toHF_old + AZ47*(PREV_FEMALE*p_recur_MI_F + (1-PREV_FEMALE)*p_recur_MI_M)*p_MI_HF_old + AZ47*p_toHF_old</f>
        <v>4.3066420777839415E-5</v>
      </c>
      <c r="BD48">
        <f>AM47*T47*p_Stroke*p_Stroke_rec*I47 + AN47*T47*p_Stroke*p_Stroke_rec*I47 + AO47*(p_recur_Stroke*p_Stroke_rec)*I47 + AP47*(p_recur_Stroke*p_Stroke_rec)*I47 + AQ47*(p_recur_Stroke*p_Stroke_rec)*I47 + BA47*AC47*p_Stroke*p_Stroke_rec + BB47*AC47*p_Stroke*p_Stroke_rec + BC47*(p_recur_Stroke*p_Stroke_rec) + BD47*(p_recur_Stroke*p_Stroke_rec) + BE47*(p_recur_Stroke*p_Stroke_rec)</f>
        <v>1.9729194582337537E-4</v>
      </c>
      <c r="BE48">
        <f>AO47*(1-p_recur_Stroke - H47*rr_Stroke*rr_HF)*I47 + AP47*(1-p_recur_Stroke-H47*rr_Stroke*rr_HF)*I47 + AQ47*(1-p_recur_Stroke-H47*rr_Stroke*rr_HF)*I47 + BC47*(1-p_recur_Stroke - H47*rr_Stroke*rr_HF*rr_DM) + BD47*(1-p_recur_Stroke-H47*rr_Stroke*rr_HF*rr_DM) + BE47*(1-p_recur_Stroke-H47*rr_Stroke*rr_HF*rr_DM)</f>
        <v>3.4452829203248343E-5</v>
      </c>
      <c r="BF48">
        <f>AD47*H47 + AE47*H47*rr_Other + AF47*H47*rr_Stroke + AG47*H47*rr_Stroke + AH47*H47*rr_MI + AI47*H47*rr_MI + AJ47*H47*rr_Stroke*rr_MI + AK47*H47*rr_Stroke*rr_MI + AL47*H47*rr_Stroke*rr_MI + AM47*H47*rr_HF + AN47*H47*rr_HF + AO47*H47*rr_Stroke*rr_HF + AP47*H47*rr_Stroke*rr_HF + AR47*H47*rr_DM + AS47*H47*rr_DM*rr_Other + AT47*H47*rr_DM*rr_Stroke + AU47*H47*rr_DM*rr_Stroke + AV47*H47*rr_DM*rr_MI + AW47*H47*rr_DM*rr_MI + AX47*H47*rr_DM*rr_Stroke*rr_MI + AY47*H47*rr_DM*rr_Stroke*rr_MI + AZ47*H47*rr_DM*rr_Stroke*rr_MI + BA47*H47*rr_DM*rr_HF + BB47*H47*rr_DM*rr_HF + BC47*H47*rr_DM*rr_Stroke*rr_HF + BD47*H47*rr_DM*rr_Stroke*rr_HF + AQ47*H47*rr_Stroke*rr_HF + BE47*H47*rr_DM*rr_Stroke*rr_HF
+ AD47*T47*p_MI*p_MI_mort + AD47*T47*p_Stroke*p_Stroke_mort + AE47*T47*p_MI*p_MI_mort + AE47*T47*p_Stroke*p_Stroke_mort + AF47*T47*p_MI*p_MI_mort + AF47*p_recur_Stroke*p_Stroke_mort + AG47*T47*p_MI*p_MI_mort + AG47*p_recur_Stroke*p_Stroke_mort + AH47*(PREV_FEMALE*p_recur_MI_F + (1-PREV_FEMALE)*p_recur_MI_M)*p_MI_mort + AH47*T47*p_Stroke*p_Stroke_mort + AI47*(PREV_FEMALE*p_recur_MI_F + (1-PREV_FEMALE)*p_recur_MI_M)*p_MI_mort + AI47*T47*p_Stroke*p_Stroke_mort + AJ47*(PREV_FEMALE*p_recur_MI_F + (1-PREV_FEMALE)*p_recur_MI_M)*p_MI_mort + AJ47*p_recur_Stroke*p_Stroke_mort + AK47*(PREV_FEMALE*p_recur_MI_F + (1-PREV_FEMALE)*p_recur_MI_M)*p_MI_mort + AK47*p_recur_Stroke*p_Stroke_mort + AL47*(PREV_FEMALE*p_recur_MI_F + (1-PREV_FEMALE)*p_recur_MI_M)*p_MI_mort + AL47*p_recur_Stroke*p_Stroke_mort + AM47*T47*p_Stroke*p_Stroke_mort + AN47*T47*p_Stroke*p_Stroke_mort + AO47*p_recur_Stroke*p_Stroke_mort + AP47*p_recur_Stroke*p_Stroke_mort + AQ47*p_recur_Stroke*p_Stroke_mort
+ AR47*AC47*p_MI*p_MI_mort + AR47*AC47*p_Stroke*p_Stroke_mort + AS47*AC47*p_MI*p_MI_mort + AS47*AC47*p_Stroke*p_Stroke_mort + AT47*AC47*p_MI*p_MI_mort + AT47*p_recur_Stroke*p_Stroke_mort + AU47*AC47*p_MI*p_MI_mort + AU47*p_recur_Stroke*p_Stroke_mort + AV47*(PREV_FEMALE*p_recur_MI_F + (1-PREV_FEMALE)*p_recur_MI_M)*p_MI_mort + AV47*AC47*p_Stroke*p_Stroke_mort + AW47*(PREV_FEMALE*p_recur_MI_F + (1-PREV_FEMALE)*p_recur_MI_M)*p_MI_mort + AW47*AC47*p_Stroke*p_Stroke_mort + AX47*(PREV_FEMALE*p_recur_MI_F + (1-PREV_FEMALE)*p_recur_MI_M)*p_MI_mort + AX47*p_recur_Stroke*p_Stroke_mort + AY47*(PREV_FEMALE*p_recur_MI_F + (1-PREV_FEMALE)*p_recur_MI_M)*p_MI_mort + AY47*p_recur_Stroke*p_Stroke_mort + AZ47*(PREV_FEMALE*p_recur_MI_F + (1-PREV_FEMALE)*p_recur_MI_M)*p_MI_mort + AZ47*p_recur_Stroke*p_Stroke_mort + BA47*AC47*p_Stroke*p_Stroke_mort + BB47*AC47*p_Stroke*p_Stroke_mort + BC47*p_recur_Stroke*p_Stroke_mort + BD47*p_recur_Stroke*p_Stroke_mort + BE47*p_recur_Stroke*p_Stroke_mort
+BF47</f>
        <v>0.83209981765011221</v>
      </c>
      <c r="BG48">
        <f t="shared" si="50"/>
        <v>0.94700000000000029</v>
      </c>
      <c r="BH48">
        <f>(0.9442 - 0.0007*$B48 - dis_BMI*($C48-21.75))*AD48</f>
        <v>1.0468760272161672E-2</v>
      </c>
      <c r="BI48">
        <f>0.959*(0.9442 - 0.0007*$B48 - dis_BMI*($C48-21.75))*AE48</f>
        <v>2.8627155613772173E-3</v>
      </c>
      <c r="BJ48">
        <f>(0.943*(0.9442 - 0.0007*$B48 - dis_BMI*($C48-21.75)) - 0.19*0.5)*AF48</f>
        <v>1.6258549987853009E-4</v>
      </c>
      <c r="BK48">
        <f>(0.943*(0.9442 - 0.0007*$B48 - dis_BMI*($C48-21.75)))*AG48</f>
        <v>3.4324467714682693E-4</v>
      </c>
      <c r="BL48">
        <f>(0.955*(0.9442 - 0.0007*$B48 - dis_BMI*($C48-21.75)) - 0.15*0.5)*AH48</f>
        <v>9.0357651663465027E-5</v>
      </c>
      <c r="BM48">
        <f>(0.955*(0.9442 - 0.0007*$B48 - dis_BMI*($C48-21.75)))*AI48</f>
        <v>3.414113425354507E-4</v>
      </c>
      <c r="BN48">
        <f>(0.955*0.943*(0.9442 - 0.0007*$B48 - dis_BMI*($C48-21.75)) - 0.19*0.5)*AJ48</f>
        <v>4.5459719357448246E-6</v>
      </c>
      <c r="BO48">
        <f>(0.955*0.943*(0.9442 - 0.0007*$B48 - dis_BMI*($C48-21.75)) - 0.15*0.5)*AK48</f>
        <v>3.5460996748191996E-6</v>
      </c>
      <c r="BP48">
        <f>(0.955*0.943*(0.9442 - 0.0007*$B48 - dis_BMI*($C48-21.75)))*AL48</f>
        <v>1.8932872625836206E-6</v>
      </c>
      <c r="BQ48">
        <f>(0.93*(0.9442 - 0.0007*$B48 - dis_BMI*($C48-21.75)))*AM48</f>
        <v>8.1053438102478514E-5</v>
      </c>
      <c r="BR48">
        <f>(0.93*(0.9442 - 0.0007*$B48 - dis_BMI*($C48-21.75)))*AN48</f>
        <v>9.779293241476679E-4</v>
      </c>
      <c r="BS48">
        <f>(0.93*0.943*(0.9442 - 0.0007*$B48 - dis_BMI*($C48-21.75)))*AO48</f>
        <v>2.7377044197949918E-6</v>
      </c>
      <c r="BT48">
        <f>(0.93*0.943*(0.9442 - 0.0007*$B48 - dis_BMI*($C48-21.75))-0.19*0.5)*AP48</f>
        <v>9.9434443640020455E-6</v>
      </c>
      <c r="BU48">
        <f>(0.93*0.943*(0.9442 - 0.0007*$B48 - dis_BMI*($C48-21.75)))*AQ48</f>
        <v>4.9687006315213893E-6</v>
      </c>
      <c r="BV48">
        <f>0.962*(0.9442 - 0.0007*$B48 - dis_BMI*($C48-21.75))*AR48</f>
        <v>4.2035511369470625E-2</v>
      </c>
      <c r="BW48">
        <f>0.962*0.959*(0.9442 - 0.0007*$B48 - dis_BMI*($C48-21.75))*AS48</f>
        <v>1.8130459597255563E-2</v>
      </c>
      <c r="BX48">
        <f>0.962*(0.943*(0.9442 - 0.0007*$B48 - dis_BMI*($C48-21.75)) - 0.19*0.5)*AT48</f>
        <v>1.1972074166760546E-3</v>
      </c>
      <c r="BY48">
        <f>0.962*(0.943*(0.9442 - 0.0007*$B48 - dis_BMI*($C48-21.75)))*AU48</f>
        <v>2.1017311142839624E-3</v>
      </c>
      <c r="BZ48">
        <f>0.962*(0.955*(0.9442 - 0.0007*$B48 - dis_BMI*($C48-21.75)) - 0.15*0.5)*AV48</f>
        <v>6.9803500771707997E-4</v>
      </c>
      <c r="CA48">
        <f>0.962*(0.955*(0.9442 - 0.0007*$B48 - dis_BMI*($C48-21.75)))*AW48</f>
        <v>2.5901400385256491E-3</v>
      </c>
      <c r="CB48">
        <f>0.962*(0.955*0.943*(0.9442 - 0.0007*$B48 - dis_BMI*($C48-21.75)) - 0.19*0.5)*AX48</f>
        <v>5.5569260446240654E-5</v>
      </c>
      <c r="CC48">
        <f>0.962*(0.955*0.943*(0.9442 - 0.0007*$B48 - dis_BMI*($C48-21.75)) - 0.15*0.5)*AY48</f>
        <v>3.9522964187765076E-5</v>
      </c>
      <c r="CD48">
        <f>0.962*(0.955*0.943*(0.9442 - 0.0007*$B48 - dis_BMI*($C48-21.75)))*AZ48</f>
        <v>6.1388947447571867E-6</v>
      </c>
      <c r="CE48">
        <f>0.962*(0.93*(0.9442 - 0.0007*$B48 - dis_BMI*($C48-21.75)))*BA48</f>
        <v>6.3733921109820142E-4</v>
      </c>
      <c r="CF48">
        <f>0.962*(0.93*(0.9442 - 0.0007*$B48 - dis_BMI*($C48-21.75)))*BB48</f>
        <v>7.3411111145368522E-3</v>
      </c>
      <c r="CG48">
        <f>0.962*(0.93*0.943*(0.9442 - 0.0007*$B48 - dis_BMI*($C48-21.75)))*BC48</f>
        <v>3.0278370078588028E-5</v>
      </c>
      <c r="CH48">
        <f>0.962*(0.93*0.943*(0.9442 - 0.0007*$B48 - dis_BMI*($C48-21.75))-0.19*0.5)*BD48</f>
        <v>1.2067798727634536E-4</v>
      </c>
      <c r="CI48">
        <f>0.962*(0.93*0.943*(0.9442 - 0.0007*$B48 - dis_BMI*($C48-21.75)))*BE48</f>
        <v>2.4222479928193215E-5</v>
      </c>
      <c r="CJ48">
        <f t="shared" si="51"/>
        <v>0</v>
      </c>
      <c r="CK48">
        <f t="shared" si="52"/>
        <v>9.0363637801527646E-2</v>
      </c>
      <c r="CL48">
        <f>CK48/(1+r_)^A48</f>
        <v>2.3895636018593628E-2</v>
      </c>
      <c r="CM48">
        <f>AD48*c_BN_2</f>
        <v>26.318145401018</v>
      </c>
      <c r="CN48">
        <f>AE48*(c_Other+c_BN_2)</f>
        <v>58.653019857743978</v>
      </c>
      <c r="CO48">
        <f>AF48*(c_Stroke1+c_Stroke2+c_BN_2)</f>
        <v>6.0979903497369401</v>
      </c>
      <c r="CP48">
        <f>AG48*(c_Stroke2 + c_BN_2)</f>
        <v>3.7541705563984413</v>
      </c>
      <c r="CQ48">
        <f>AH48*(c_MI1+c_MI2 + c_BN_2)</f>
        <v>3.9166855909830081</v>
      </c>
      <c r="CR48">
        <f>AI48*(c_MI2+c_BN_2)</f>
        <v>2.2359134098034161</v>
      </c>
      <c r="CS48">
        <f>AJ48*(c_Stroke1+c_Stroke2+c_MI2+c_BN_2)</f>
        <v>0.20131887117803607</v>
      </c>
      <c r="CT48">
        <f>AK48*(c_Stroke2+c_MI1+c_MI2+c_BN_2)</f>
        <v>0.19815701180704451</v>
      </c>
      <c r="CU48">
        <f>AL48*(c_Stroke2+c_MI2+c_BN_2)</f>
        <v>2.9546668003107821E-2</v>
      </c>
      <c r="CV48">
        <f>AM48*(c_HF1+c_BN_2)</f>
        <v>3.046003700707149</v>
      </c>
      <c r="CW48">
        <f>AN48*(c_HF2+c_BN_2)</f>
        <v>22.334374120004139</v>
      </c>
      <c r="CX48">
        <f>AO48*(c_Stroke2+c_HF1+c_BN_2)</f>
        <v>0.13345129380950524</v>
      </c>
      <c r="CY48">
        <f>AP48*(c_Stroke1+c_Stroke2+c_HF2+c_BN_2)</f>
        <v>0.64924516092007167</v>
      </c>
      <c r="CZ48">
        <f>AQ48*(c_Stroke2+c_HF2+c_BN_2)</f>
        <v>0.1645279003459052</v>
      </c>
      <c r="DA48">
        <f>AR48*(c_DM+c_BN_2)</f>
        <v>708.91465508257943</v>
      </c>
      <c r="DB48">
        <f>AS48*(c_Other+c_DM+c_BN_2)</f>
        <v>655.57186604186222</v>
      </c>
      <c r="DC48">
        <f>AT48*(c_Stroke1+c_Stroke2+c_DM+c_BN_2)</f>
        <v>67.257831720557448</v>
      </c>
      <c r="DD48">
        <f>AU48*(c_Stroke2+c_DM+c_BN_2)</f>
        <v>55.658367215820931</v>
      </c>
      <c r="DE48">
        <f>AV48*(c_MI1+c_MI2+c_DM+c_BN_2)</f>
        <v>42.953078825621247</v>
      </c>
      <c r="DF48">
        <f>AW48*(c_MI2+c_DM+c_BN_2)</f>
        <v>56.285407940197196</v>
      </c>
      <c r="DG48">
        <f>AX48*(c_Stroke1+c_Stroke2+c_MI2+c_DM+c_BN_2)</f>
        <v>3.5649291353222026</v>
      </c>
      <c r="DH48">
        <f>AY48*(c_Stroke2+c_MI1+c_MI2+c_DM+c_BN_2)</f>
        <v>2.9906875840433638</v>
      </c>
      <c r="DI48">
        <f>AZ48*(c_Stroke2+c_MI2+c_DM+c_BN_2)</f>
        <v>0.19673566480959223</v>
      </c>
      <c r="DJ48">
        <f>BA48*(c_HF1+c_DM+c_BN_2)</f>
        <v>34.664063868305064</v>
      </c>
      <c r="DK48">
        <f>BB48*(c_HF2+c_DM+c_BN_2)</f>
        <v>286.77792021858028</v>
      </c>
      <c r="DL48">
        <f>BC48*(c_Stroke2+c_HF1+c_DM+c_BN_2)</f>
        <v>2.0262750975973445</v>
      </c>
      <c r="DM48">
        <f>BD48*(c_Stroke1+c_Stroke2+c_HF2+c_DM+c_BN_2)</f>
        <v>10.444832903835316</v>
      </c>
      <c r="DN48">
        <f>BE48*(c_Stroke2+c_HF2+c_DM+c_BN_2)</f>
        <v>1.2273820403657223</v>
      </c>
      <c r="DO48">
        <f t="shared" si="53"/>
        <v>0</v>
      </c>
      <c r="DP48">
        <f t="shared" si="54"/>
        <v>2056.2665832319562</v>
      </c>
      <c r="DQ48">
        <f>DP48/(1+r_)^A48</f>
        <v>543.75630536287815</v>
      </c>
    </row>
    <row r="49" spans="1:121" x14ac:dyDescent="0.3">
      <c r="A49">
        <v>46</v>
      </c>
      <c r="B49">
        <v>91</v>
      </c>
      <c r="C49">
        <f t="shared" si="39"/>
        <v>36.251999999999995</v>
      </c>
      <c r="D49">
        <f t="shared" si="1"/>
        <v>125</v>
      </c>
      <c r="E49">
        <f t="shared" si="41"/>
        <v>5.7</v>
      </c>
      <c r="F49">
        <v>0.14421999999999999</v>
      </c>
      <c r="G49">
        <v>0.17713000000000001</v>
      </c>
      <c r="H49">
        <f t="shared" si="42"/>
        <v>0.15080199999999999</v>
      </c>
      <c r="I49">
        <f t="shared" si="43"/>
        <v>4.7655426853004217E-2</v>
      </c>
      <c r="J49">
        <f t="shared" si="21"/>
        <v>0.43047785028214991</v>
      </c>
      <c r="K49">
        <f t="shared" si="22"/>
        <v>0.54543632469785164</v>
      </c>
      <c r="L49">
        <f t="shared" si="23"/>
        <v>0.23394666150281485</v>
      </c>
      <c r="M49">
        <f t="shared" si="24"/>
        <v>0.31149715412712753</v>
      </c>
      <c r="N49">
        <f t="shared" si="25"/>
        <v>0.80281429997514775</v>
      </c>
      <c r="O49">
        <f t="shared" si="26"/>
        <v>0.89915211953904095</v>
      </c>
      <c r="P49">
        <f t="shared" si="27"/>
        <v>0.55005833454969133</v>
      </c>
      <c r="Q49">
        <f t="shared" si="28"/>
        <v>0.67647073640062261</v>
      </c>
      <c r="R49">
        <f>IF(C49&lt;25, HT_f_low, IF(C49&lt;30, HT_f_mod, HT_f_high))</f>
        <v>0.42</v>
      </c>
      <c r="S49">
        <f>IF(C49&lt;25, HT_m_low, IF(C49&lt;30, HT_m_mod, HT_m_high))</f>
        <v>0.43099999999999999</v>
      </c>
      <c r="T49">
        <f>PREV_FEMALE*PREV_SMOKE*(1-$R49)*(1-EXP(-J49/10))+PREV_FEMALE*PREV_SMOKE*$R49*(1-EXP(-K49/10))+PREV_FEMALE*(1-PREV_SMOKE)*(1-$R49)*(1-EXP(-L49/10))+PREV_FEMALE*(1-PREV_SMOKE)*$R49*(1-EXP(-M49/10))+(1-PREV_FEMALE)*PREV_SMOKE*(1-$S49)*(1-EXP(-N49/10))+(1-PREV_FEMALE)*PREV_SMOKE*$S49*(1-EXP(-O49/10))+(1-PREV_FEMALE)*(1-PREV_SMOKE)*(1-$S49)*(1-EXP(-P49/10))+(1-PREV_FEMALE)*(1-PREV_SMOKE)*$S49*(1-EXP(-Q49/10))</f>
        <v>3.5364857571736505E-2</v>
      </c>
      <c r="U49">
        <f t="shared" si="29"/>
        <v>0.7062920298391735</v>
      </c>
      <c r="V49">
        <f t="shared" si="30"/>
        <v>0.8201872161211472</v>
      </c>
      <c r="W49">
        <f t="shared" si="31"/>
        <v>0.44009812461567088</v>
      </c>
      <c r="X49">
        <f t="shared" si="32"/>
        <v>0.55615338068459552</v>
      </c>
      <c r="Y49">
        <f t="shared" si="33"/>
        <v>0.93688642295392832</v>
      </c>
      <c r="Z49">
        <f t="shared" si="34"/>
        <v>0.97983553045579208</v>
      </c>
      <c r="AA49">
        <f t="shared" si="35"/>
        <v>0.74308331808395867</v>
      </c>
      <c r="AB49">
        <f t="shared" si="36"/>
        <v>0.853430682846124</v>
      </c>
      <c r="AC49">
        <f>PREV_FEMALE*PREV_SMOKE*(1-$R49)*(1-EXP(-U49/10))+PREV_FEMALE*PREV_SMOKE*$R49*(1-EXP(-V49/10))+PREV_FEMALE*(1-PREV_SMOKE)*(1-$R49)*(1-EXP(-W49/10))+PREV_FEMALE*(1-PREV_SMOKE)*$R49*(1-EXP(-X49/10))+(1-PREV_FEMALE)*PREV_SMOKE*(1-$S49)*(1-EXP(-Y49/10))+(1-PREV_FEMALE)*PREV_SMOKE*$S49*(1-EXP(-Z49/10))+(1-PREV_FEMALE)*(1-PREV_SMOKE)*(1-$S49)*(1-EXP(-AA49/10))+(1-PREV_FEMALE)*(1-PREV_SMOKE)*$S49*(1-EXP(-AB49/10))</f>
        <v>5.6226414837686055E-2</v>
      </c>
      <c r="AD49">
        <f t="shared" si="44"/>
        <v>9.9312039627671381E-3</v>
      </c>
      <c r="AE49">
        <f t="shared" si="45"/>
        <v>2.7088400391698489E-3</v>
      </c>
      <c r="AF49">
        <f t="shared" si="46"/>
        <v>1.8317573077579466E-4</v>
      </c>
      <c r="AG49">
        <f t="shared" si="47"/>
        <v>2.873300463466891E-4</v>
      </c>
      <c r="AH49">
        <f>AD48*T48*p_MI*p_MI_rec_old*(1-I48)+AE48*T48*p_MI*p_MI_rec_old*(1-I48) + AH48*(PREV_FEMALE*p_recur_MI_F + (1-PREV_FEMALE)*p_recur_MI_M)*p_MI_rec_old*(1-I48) + AI48*(PREV_FEMALE*p_recur_MI_F + (1-PREV_FEMALE)*p_recur_MI_M)*p_MI_rec_old*(1-I48)</f>
        <v>1.0177360716515514E-4</v>
      </c>
      <c r="AI49">
        <f>AH48*(1-(PREV_FEMALE*p_recur_MI_F + (1-PREV_FEMALE)*p_recur_MI_M) - T48*p_Stroke - p_toHF_old - H48*rr_MI)*(1-I48) + AI48*(1-(PREV_FEMALE*p_recur_MI_F + (1-PREV_FEMALE)*p_recur_MI_M) - T48*p_Stroke - p_toHF_old - H48*rr_MI)*(1-I48)</f>
        <v>3.2951158407782576E-4</v>
      </c>
      <c r="AJ49">
        <f t="shared" si="48"/>
        <v>5.4095245340392277E-6</v>
      </c>
      <c r="AK49">
        <f>AF48*T48*p_MI*p_MI_rec_old*(1-I48) + AG48*T48*p_MI*p_MI_rec_old*(1-I48) + AJ48*(PREV_FEMALE*p_recur_MI_F + (1-PREV_FEMALE)*p_recur_MI_M)*p_MI_rec_old*(1-I48) + AK48*(PREV_FEMALE*p_recur_MI_F + (1-PREV_FEMALE)*p_recur_MI_M)*p_MI_rec_old*(1-I48) + AL48*(PREV_FEMALE*p_recur_MI_F + (1-PREV_FEMALE)*p_recur_MI_M)*p_MI_rec_old*(1-I48)</f>
        <v>3.8519192198206223E-6</v>
      </c>
      <c r="AL49">
        <f>AJ48*(1-p_recur_Stroke-(PREV_FEMALE*p_recur_MI_F + (1-PREV_FEMALE)*p_recur_MI_M) - p_toHF_old - H48*rr_MI*rr_Stroke)*(1-I48) + AK48*(1-p_recur_Stroke-(PREV_FEMALE*p_recur_MI_F + (1-PREV_FEMALE)*p_recur_MI_M) - p_toHF_old - H48*rr_MI*rr_Stroke)*(1-I48) + AL48*(1-p_recur_Stroke-(PREV_FEMALE*p_recur_MI_F + (1-PREV_FEMALE)*p_recur_MI_M) - p_toHF_old - H48*rr_MI*rr_Stroke)*(1-I48)</f>
        <v>7.950019377444284E-7</v>
      </c>
      <c r="AM49">
        <f>AD48*T48*p_MI*p_MI_HF_old*(1-I48) + AE48*T48*p_MI*p_MI_HF_old*(1-I48) + AH48*p_toHF_old*(1-I48) + AH48*(PREV_FEMALE*p_recur_MI_F + (1-PREV_FEMALE)*p_recur_MI_M)*p_MI_HF_old*(1-I48) + AI48*p_toHF_old*(1-I48) + AI48*(PREV_FEMALE*p_recur_MI_F + (1-PREV_FEMALE)*p_recur_MI_M)*p_MI_HF_old*(1-I48)</f>
        <v>8.4067393449495321E-5</v>
      </c>
      <c r="AN49">
        <f t="shared" si="49"/>
        <v>9.7049234676546583E-4</v>
      </c>
      <c r="AO49">
        <f>AF48*T48*p_MI*p_MI_HF_old*(1-I48) + AG48*T48*p_MI*p_MI_HF_old*(1-I48) + AJ48*(PREV_FEMALE*p_recur_MI_F + (1-PREV_FEMALE)*p_recur_MI_M)*p_MI_HF_old*(1-I48) + AJ48*p_toHF_old*(1-I48) + AK48*(PREV_FEMALE*p_recur_MI_F + (1-PREV_FEMALE)*p_recur_MI_M)*p_MI_HF_old*(1-I48) + AK48*p_toHF_old*(1-I48) + AL48*(PREV_FEMALE*p_recur_MI_F + (1-PREV_FEMALE)*p_recur_MI_M)*p_MI_HF_old*(1-I48) + AL48*p_toHF_old*(1-I48)</f>
        <v>2.7038596064473637E-6</v>
      </c>
      <c r="AP49">
        <f>AM48*T48*p_Stroke*p_Stroke_rec*(1-I48) + AN48*T48*p_Stroke*p_Stroke_rec*(1-I48) + AO48*(p_recur_Stroke*p_Stroke_rec)*(1-I48) + AP48*(p_recur_Stroke*p_Stroke_rec)*(1-I48) + AQ48*(p_recur_Stroke*p_Stroke_rec)*(1-I48)</f>
        <v>1.2275243210302216E-5</v>
      </c>
      <c r="AQ49">
        <f>AO48*(1-p_recur_Stroke-H48*rr_Stroke*rr_HF)*(1-I48) + AP48*(1-p_recur_Stroke-H48*rr_Stroke*rr_HF)*(1-I48) + AQ48*(1-p_recur_Stroke-H48*rr_Stroke*rr_HF)*(1-I48)</f>
        <v>2.7233341225034981E-6</v>
      </c>
      <c r="AR49">
        <f>AR48*(1-AC48-H48*rr_DM) + AD48*(1-T48-H48)*I48</f>
        <v>4.1874880240995949E-2</v>
      </c>
      <c r="AS49">
        <f>AR48*AC48*p_Other + AD48*T48*p_Other*I48 + AE48*(1-T48*p_Stroke-T48*p_MI-H48*rr_Other)*I48 + AS48*(1-AC48*p_Stroke-AC48*p_MI-H48*rr_Other*rr_DM)</f>
        <v>1.7753352091318276E-2</v>
      </c>
      <c r="AT49">
        <f>AR48*AC48*p_Stroke*p_Stroke_rec + AD48*T48*p_Stroke*p_Stroke_rec*I48 + AE48*T48*p_Stroke*p_Stroke_rec*I48 + AF48*p_recur_Stroke*p_Stroke_rec*I48 + AG48*p_recur_Stroke*p_Stroke_rec*I48 + AS48*AC48*p_Stroke*p_Stroke_rec + AT48*p_recur_Stroke*p_Stroke_rec + AU48*p_recur_Stroke*p_Stroke_rec</f>
        <v>1.4038860056940893E-3</v>
      </c>
      <c r="AU49">
        <f>AF48*(1-p_recur_Stroke-T48*p_MI-H48*rr_Stroke)*I48 + AG48*(1-p_recur_Stroke-T48*p_MI-H48*rr_Stroke)*I48 + AT48*(1-p_recur_Stroke-AC48*p_MI-H48*rr_Stroke*rr_DM) + AU48*(1-p_recur_Stroke-AC48*p_MI-H48*rr_Stroke*rr_DM)</f>
        <v>1.7590731751277676E-3</v>
      </c>
      <c r="AV49">
        <f>AR48*AC48*p_MI*p_MI_rec_old + AD48*T48*p_MI*p_MI_rec_old*I48 + AE48*T48*p_MI*p_MI_rec_old*I48 +AH48*(PREV_FEMALE*p_recur_MI_F + (1-PREV_FEMALE)*p_recur_MI_M)*p_MI_rec_old*I48 + AI48*(PREV_FEMALE*p_recur_MI_F + (1-PREV_FEMALE)*p_recur_MI_M)*p_MI_rec_old*I48 + AS48*AC48*p_MI*p_MI_rec_old + AV48*(PREV_FEMALE*p_recur_MI_F + (1-PREV_FEMALE)*p_recur_MI_M)*p_MI_rec_old + AW48*(PREV_FEMALE*p_recur_MI_F + (1-PREV_FEMALE)*p_recur_MI_M)*p_MI_rec_old</f>
        <v>8.1975670191375698E-4</v>
      </c>
      <c r="AW49">
        <f>AH48*(1-(PREV_FEMALE*p_recur_MI_F + (1-PREV_FEMALE)*p_recur_MI_M) - T48*p_Stroke - p_toHF_old - H48*rr_MI)*I48 + AI48*(1-(PREV_FEMALE*p_recur_MI_F + (1-PREV_FEMALE)*p_recur_MI_M) - T48*p_Stroke - p_toHF_old - H48*rr_MI)*I48 + AV48*(1-(PREV_FEMALE*p_recur_MI_F + (1-PREV_FEMALE)*p_recur_MI_M) - AC48*p_Stroke - p_toHF_old - H48*rr_MI*rr_DM) + AW48*(1-(PREV_FEMALE*p_recur_MI_F + (1-PREV_FEMALE)*p_recur_MI_M) - AC48*p_Stroke - p_toHF_old - H48*rr_MI*rr_DM)</f>
        <v>2.5947622307204285E-3</v>
      </c>
      <c r="AX49">
        <f>AH48*T48*p_Stroke*p_Stroke_rec*I48 + AI48*T48*p_Stroke*p_Stroke_rec*I48 + AJ48*p_recur_Stroke*p_Stroke_rec*I48 + AK48*p_recur_Stroke*p_Stroke_rec*I48 + AL48*p_recur_Stroke*p_Stroke_rec*I48 + AV48*AC48*p_Stroke*p_Stroke_rec + AW48*AC48*p_Stroke*p_Stroke_rec + AX48*p_recur_Stroke*p_Stroke_rec + AY48*p_recur_Stroke*p_Stroke_rec + AZ48*p_recur_Stroke*p_Stroke_rec</f>
        <v>6.8985426673016747E-5</v>
      </c>
      <c r="AY49">
        <f>AF48*T48*p_MI*p_MI_rec_old*I48 + AG48*T48*p_MI*p_MI_rec_old*I48 + AJ48*(PREV_FEMALE*p_recur_MI_F+(1-PREV_FEMALE)*p_recur_MI_M)*p_MI_rec_old*I48 + AK48*(PREV_FEMALE*p_recur_MI_F+(1-PREV_FEMALE)*p_recur_MI_M)*p_MI_rec_old*I48 + AL48*(PREV_FEMALE*p_recur_MI_F+(1-PREV_FEMALE)*p_recur_MI_M)*p_MI_rec_old*I48 + AT48*AC48*p_MI*p_MI_rec_old + AU48*AC48*p_MI*p_MI_rec_old + AX48*(PREV_FEMALE*p_recur_MI_F+(1-PREV_FEMALE)*p_recur_MI_M)*p_MI_rec_old + AY48*(PREV_FEMALE*p_recur_MI_F+(1-PREV_FEMALE)*p_recur_MI_M)*p_MI_rec_old + AZ48*(PREV_FEMALE*p_recur_MI_F+(1-PREV_FEMALE)*p_recur_MI_M)*p_MI_rec_old</f>
        <v>4.4117297175748485E-5</v>
      </c>
      <c r="AZ49">
        <f>AJ48*(1-p_recur_Stroke-(PREV_FEMALE*p_recur_MI_F + (1-PREV_FEMALE)*p_recur_MI_M) - p_toHF_old - H48*rr_MI*rr_Stroke)*I48 + AK48*(1-p_recur_Stroke-(PREV_FEMALE*p_recur_MI_F + (1-PREV_FEMALE)*p_recur_MI_M) - p_toHF_old - H48*rr_MI*rr_Stroke)*I48 + AL48*(1-p_recur_Stroke-(PREV_FEMALE*p_recur_MI_F + (1-PREV_FEMALE)*p_recur_MI_M) - p_toHF_old - H48*rr_MI*rr_Stroke)*I48 + AX48*(1-p_recur_Stroke-(PREV_FEMALE*p_recur_MI_F + (1-PREV_FEMALE)*p_recur_MI_M) - p_toHF_old - H48*rr_MI*rr_Stroke*rr_DM) + AY48*(1-p_recur_Stroke-(PREV_FEMALE*p_recur_MI_F + (1-PREV_FEMALE)*p_recur_MI_M) - p_toHF_old - H48*rr_MI*rr_Stroke*rr_DM) + AZ48*(1-p_recur_Stroke-(PREV_FEMALE*p_recur_MI_F + (1-PREV_FEMALE)*p_recur_MI_M) - p_toHF_old - H48*rr_MI*rr_Stroke*rr_DM)</f>
        <v>-6.8272055285752169E-6</v>
      </c>
      <c r="BA49">
        <f>AR48*AC48*p_MI*p_MI_HF_old + AD48*T48*p_MI*p_MI_HF_old*I48 + AE48*T48*p_MI*p_MI_HF_old*I48 + AH48*p_toHF_old*I48 + AH48*(PREV_FEMALE*p_recur_MI_F + (1-PREV_FEMALE)*p_recur_MI_M)*p_MI_HF_old*I48 + AI48*p_toHF_old*I48 + AI48*(PREV_FEMALE*p_recur_MI_F + (1-PREV_FEMALE)*p_recur_MI_M)*p_MI_HF_old*I48 + AS48*AC48*p_MI*p_MI_HF_old + AV48*(PREV_FEMALE*p_recur_MI_F + (1-PREV_FEMALE)*p_recur_MI_M)*p_MI_HF_old + AV48*p_toHF_old + AW48*(PREV_FEMALE*p_recur_MI_F + (1-PREV_FEMALE)*p_recur_MI_M)*p_MI_HF_old + AW48*p_toHF_old</f>
        <v>6.9024916852689598E-4</v>
      </c>
      <c r="BB49">
        <f>AM48*(1-T48*p_Stroke - H48*rr_HF)*I48 + AN48*(1-T48*p_Stroke - H48*rr_HF)*I48 + BA48*(1-AC48*p_Stroke - H48*rr_HF*rr_DM) + BB48*(1-AC48*p_Stroke - H48*rr_HF*rr_DM)</f>
        <v>7.5832851921299729E-3</v>
      </c>
      <c r="BC49">
        <f>AF48*T48*p_MI*p_MI_HF_old*I48 + AG48*T48*p_MI*p_MI_HF_old*I48 + AJ48*(PREV_FEMALE*p_recur_MI_F + (1-PREV_FEMALE)*p_recur_MI_M)*p_MI_HF_old*I48 + AJ48*p_toHF_old*I48 + AK48*(PREV_FEMALE*p_recur_MI_F + (1-PREV_FEMALE)*p_recur_MI_M)*p_MI_HF_old*I48 + AK48*p_toHF_old*I48 + AL48*(PREV_FEMALE*p_recur_MI_F + (1-PREV_FEMALE)*p_recur_MI_M)*p_MI_HF_old*I48 + AL48*p_toHF_old*I48 + AT48*AC48*p_MI*p_MI_HF_old + AU48*AC48*p_MI*p_MI_HF_old + AX48*(PREV_FEMALE*p_recur_MI_F + (1-PREV_FEMALE)*p_recur_MI_M)*p_MI_HF_old + AX48*p_toHF_old + AY48*(PREV_FEMALE*p_recur_MI_F + (1-PREV_FEMALE)*p_recur_MI_M)*p_MI_HF_old + AY48*p_toHF_old + AZ48*(PREV_FEMALE*p_recur_MI_F + (1-PREV_FEMALE)*p_recur_MI_M)*p_MI_HF_old + AZ48*p_toHF_old</f>
        <v>3.0786214034291931E-5</v>
      </c>
      <c r="BD49">
        <f>AM48*T48*p_Stroke*p_Stroke_rec*I48 + AN48*T48*p_Stroke*p_Stroke_rec*I48 + AO48*(p_recur_Stroke*p_Stroke_rec)*I48 + AP48*(p_recur_Stroke*p_Stroke_rec)*I48 + AQ48*(p_recur_Stroke*p_Stroke_rec)*I48 + BA48*AC48*p_Stroke*p_Stroke_rec + BB48*AC48*p_Stroke*p_Stroke_rec + BC48*(p_recur_Stroke*p_Stroke_rec) + BD48*(p_recur_Stroke*p_Stroke_rec) + BE48*(p_recur_Stroke*p_Stroke_rec)</f>
        <v>1.5609046646529372E-4</v>
      </c>
      <c r="BE49">
        <f>AO48*(1-p_recur_Stroke - H48*rr_Stroke*rr_HF)*I48 + AP48*(1-p_recur_Stroke-H48*rr_Stroke*rr_HF)*I48 + AQ48*(1-p_recur_Stroke-H48*rr_Stroke*rr_HF)*I48 + BC48*(1-p_recur_Stroke - H48*rr_Stroke*rr_HF*rr_DM) + BD48*(1-p_recur_Stroke-H48*rr_Stroke*rr_HF*rr_DM) + BE48*(1-p_recur_Stroke-H48*rr_Stroke*rr_HF*rr_DM)</f>
        <v>-1.6230058518389606E-6</v>
      </c>
      <c r="BF49">
        <f>AD48*H48 + AE48*H48*rr_Other + AF48*H48*rr_Stroke + AG48*H48*rr_Stroke + AH48*H48*rr_MI + AI48*H48*rr_MI + AJ48*H48*rr_Stroke*rr_MI + AK48*H48*rr_Stroke*rr_MI + AL48*H48*rr_Stroke*rr_MI + AM48*H48*rr_HF + AN48*H48*rr_HF + AO48*H48*rr_Stroke*rr_HF + AP48*H48*rr_Stroke*rr_HF + AR48*H48*rr_DM + AS48*H48*rr_DM*rr_Other + AT48*H48*rr_DM*rr_Stroke + AU48*H48*rr_DM*rr_Stroke + AV48*H48*rr_DM*rr_MI + AW48*H48*rr_DM*rr_MI + AX48*H48*rr_DM*rr_Stroke*rr_MI + AY48*H48*rr_DM*rr_Stroke*rr_MI + AZ48*H48*rr_DM*rr_Stroke*rr_MI + BA48*H48*rr_DM*rr_HF + BB48*H48*rr_DM*rr_HF + BC48*H48*rr_DM*rr_Stroke*rr_HF + BD48*H48*rr_DM*rr_Stroke*rr_HF + AQ48*H48*rr_Stroke*rr_HF + BE48*H48*rr_DM*rr_Stroke*rr_HF
+ AD48*T48*p_MI*p_MI_mort + AD48*T48*p_Stroke*p_Stroke_mort + AE48*T48*p_MI*p_MI_mort + AE48*T48*p_Stroke*p_Stroke_mort + AF48*T48*p_MI*p_MI_mort + AF48*p_recur_Stroke*p_Stroke_mort + AG48*T48*p_MI*p_MI_mort + AG48*p_recur_Stroke*p_Stroke_mort + AH48*(PREV_FEMALE*p_recur_MI_F + (1-PREV_FEMALE)*p_recur_MI_M)*p_MI_mort + AH48*T48*p_Stroke*p_Stroke_mort + AI48*(PREV_FEMALE*p_recur_MI_F + (1-PREV_FEMALE)*p_recur_MI_M)*p_MI_mort + AI48*T48*p_Stroke*p_Stroke_mort + AJ48*(PREV_FEMALE*p_recur_MI_F + (1-PREV_FEMALE)*p_recur_MI_M)*p_MI_mort + AJ48*p_recur_Stroke*p_Stroke_mort + AK48*(PREV_FEMALE*p_recur_MI_F + (1-PREV_FEMALE)*p_recur_MI_M)*p_MI_mort + AK48*p_recur_Stroke*p_Stroke_mort + AL48*(PREV_FEMALE*p_recur_MI_F + (1-PREV_FEMALE)*p_recur_MI_M)*p_MI_mort + AL48*p_recur_Stroke*p_Stroke_mort + AM48*T48*p_Stroke*p_Stroke_mort + AN48*T48*p_Stroke*p_Stroke_mort + AO48*p_recur_Stroke*p_Stroke_mort + AP48*p_recur_Stroke*p_Stroke_mort + AQ48*p_recur_Stroke*p_Stroke_mort
+ AR48*AC48*p_MI*p_MI_mort + AR48*AC48*p_Stroke*p_Stroke_mort + AS48*AC48*p_MI*p_MI_mort + AS48*AC48*p_Stroke*p_Stroke_mort + AT48*AC48*p_MI*p_MI_mort + AT48*p_recur_Stroke*p_Stroke_mort + AU48*AC48*p_MI*p_MI_mort + AU48*p_recur_Stroke*p_Stroke_mort + AV48*(PREV_FEMALE*p_recur_MI_F + (1-PREV_FEMALE)*p_recur_MI_M)*p_MI_mort + AV48*AC48*p_Stroke*p_Stroke_mort + AW48*(PREV_FEMALE*p_recur_MI_F + (1-PREV_FEMALE)*p_recur_MI_M)*p_MI_mort + AW48*AC48*p_Stroke*p_Stroke_mort + AX48*(PREV_FEMALE*p_recur_MI_F + (1-PREV_FEMALE)*p_recur_MI_M)*p_MI_mort + AX48*p_recur_Stroke*p_Stroke_mort + AY48*(PREV_FEMALE*p_recur_MI_F + (1-PREV_FEMALE)*p_recur_MI_M)*p_MI_mort + AY48*p_recur_Stroke*p_Stroke_mort + AZ48*(PREV_FEMALE*p_recur_MI_F + (1-PREV_FEMALE)*p_recur_MI_M)*p_MI_mort + AZ48*p_recur_Stroke*p_Stroke_mort + BA48*AC48*p_Stroke*p_Stroke_mort + BB48*AC48*p_Stroke*p_Stroke_mort + BC48*p_recur_Stroke*p_Stroke_mort + BD48*p_recur_Stroke*p_Stroke_mort + BE48*p_recur_Stroke*p_Stroke_mort
+BF48</f>
        <v>0.85760507240745687</v>
      </c>
      <c r="BG49">
        <f t="shared" si="50"/>
        <v>0.94700000000000017</v>
      </c>
      <c r="BH49">
        <f>(0.9442 - 0.0007*$B49 - dis_BMI*($C49-21.75))*AD49</f>
        <v>8.2691514336519032E-3</v>
      </c>
      <c r="BI49">
        <f>0.959*(0.9442 - 0.0007*$B49 - dis_BMI*($C49-21.75))*AE49</f>
        <v>2.1630223712794249E-3</v>
      </c>
      <c r="BJ49">
        <f>(0.943*(0.9442 - 0.0007*$B49 - dis_BMI*($C49-21.75)) - 0.19*0.5)*AF49</f>
        <v>1.2642472524051519E-4</v>
      </c>
      <c r="BK49">
        <f>(0.943*(0.9442 - 0.0007*$B49 - dis_BMI*($C49-21.75)))*AG49</f>
        <v>2.2560658910966569E-4</v>
      </c>
      <c r="BL49">
        <f>(0.955*(0.9442 - 0.0007*$B49 - dis_BMI*($C49-21.75)) - 0.15*0.5)*AH49</f>
        <v>7.3294751259360839E-5</v>
      </c>
      <c r="BM49">
        <f>(0.955*(0.9442 - 0.0007*$B49 - dis_BMI*($C49-21.75)))*AI49</f>
        <v>2.6201919164917911E-4</v>
      </c>
      <c r="BN49">
        <f>(0.955*0.943*(0.9442 - 0.0007*$B49 - dis_BMI*($C49-21.75)) - 0.19*0.5)*AJ49</f>
        <v>3.5424244554002574E-6</v>
      </c>
      <c r="BO49">
        <f>(0.955*0.943*(0.9442 - 0.0007*$B49 - dis_BMI*($C49-21.75)) - 0.15*0.5)*AK49</f>
        <v>2.599465773098945E-6</v>
      </c>
      <c r="BP49">
        <f>(0.955*0.943*(0.9442 - 0.0007*$B49 - dis_BMI*($C49-21.75)))*AL49</f>
        <v>5.9613180831589255E-7</v>
      </c>
      <c r="BQ49">
        <f>(0.93*(0.9442 - 0.0007*$B49 - dis_BMI*($C49-21.75)))*AM49</f>
        <v>6.5098289089160738E-5</v>
      </c>
      <c r="BR49">
        <f>(0.93*(0.9442 - 0.0007*$B49 - dis_BMI*($C49-21.75)))*AN49</f>
        <v>7.5150886397484221E-4</v>
      </c>
      <c r="BS49">
        <f>(0.93*0.943*(0.9442 - 0.0007*$B49 - dis_BMI*($C49-21.75)))*AO49</f>
        <v>1.9744121870587324E-6</v>
      </c>
      <c r="BT49">
        <f>(0.93*0.943*(0.9442 - 0.0007*$B49 - dis_BMI*($C49-21.75))-0.19*0.5)*AP49</f>
        <v>7.7974791986501042E-6</v>
      </c>
      <c r="BU49">
        <f>(0.93*0.943*(0.9442 - 0.0007*$B49 - dis_BMI*($C49-21.75)))*AQ49</f>
        <v>1.988632866914527E-6</v>
      </c>
      <c r="BV49">
        <f>0.962*(0.9442 - 0.0007*$B49 - dis_BMI*($C49-21.75))*AR49</f>
        <v>3.3541902637434375E-2</v>
      </c>
      <c r="BW49">
        <f>0.962*0.959*(0.9442 - 0.0007*$B49 - dis_BMI*($C49-21.75))*AS49</f>
        <v>1.363744742785606E-2</v>
      </c>
      <c r="BX49">
        <f>0.962*(0.943*(0.9442 - 0.0007*$B49 - dis_BMI*($C49-21.75)) - 0.19*0.5)*AT49</f>
        <v>9.3211823159798407E-4</v>
      </c>
      <c r="BY49">
        <f>0.962*(0.943*(0.9442 - 0.0007*$B49 - dis_BMI*($C49-21.75)))*AU49</f>
        <v>1.3287085041252902E-3</v>
      </c>
      <c r="BZ49">
        <f>0.962*(0.955*(0.9442 - 0.0007*$B49 - dis_BMI*($C49-21.75)) - 0.15*0.5)*AV49</f>
        <v>5.6793385195522291E-4</v>
      </c>
      <c r="CA49">
        <f>0.962*(0.955*(0.9442 - 0.0007*$B49 - dis_BMI*($C49-21.75)))*AW49</f>
        <v>1.9848836542770382E-3</v>
      </c>
      <c r="CB49">
        <f>0.962*(0.955*0.943*(0.9442 - 0.0007*$B49 - dis_BMI*($C49-21.75)) - 0.19*0.5)*AX49</f>
        <v>4.3458419655543012E-5</v>
      </c>
      <c r="CC49">
        <f>0.962*(0.955*0.943*(0.9442 - 0.0007*$B49 - dis_BMI*($C49-21.75)) - 0.15*0.5)*AY49</f>
        <v>2.8641179724104074E-5</v>
      </c>
      <c r="CD49">
        <f>0.962*(0.955*0.943*(0.9442 - 0.0007*$B49 - dis_BMI*($C49-21.75)))*AZ49</f>
        <v>-4.9248403623485104E-6</v>
      </c>
      <c r="CE49">
        <f>0.962*(0.93*(0.9442 - 0.0007*$B49 - dis_BMI*($C49-21.75)))*BA49</f>
        <v>5.1418920732287986E-4</v>
      </c>
      <c r="CF49">
        <f>0.962*(0.93*(0.9442 - 0.0007*$B49 - dis_BMI*($C49-21.75)))*BB49</f>
        <v>5.6490374485582695E-3</v>
      </c>
      <c r="CG49">
        <f>0.962*(0.93*0.943*(0.9442 - 0.0007*$B49 - dis_BMI*($C49-21.75)))*BC49</f>
        <v>2.1626440347837684E-5</v>
      </c>
      <c r="CH49">
        <f>0.962*(0.93*0.943*(0.9442 - 0.0007*$B49 - dis_BMI*($C49-21.75))-0.19*0.5)*BD49</f>
        <v>9.5384008530598042E-5</v>
      </c>
      <c r="CI49">
        <f>0.962*(0.93*0.943*(0.9442 - 0.0007*$B49 - dis_BMI*($C49-21.75)))*BE49</f>
        <v>-1.1401154815558032E-6</v>
      </c>
      <c r="CJ49">
        <f t="shared" si="51"/>
        <v>0</v>
      </c>
      <c r="CK49">
        <f t="shared" si="52"/>
        <v>7.0293890817084786E-2</v>
      </c>
      <c r="CL49">
        <f>CK49/(1+r_)^A49</f>
        <v>1.8047009462839773E-2</v>
      </c>
      <c r="CM49">
        <f>AD49*c_BN_2</f>
        <v>20.805872301997155</v>
      </c>
      <c r="CN49">
        <f>AE49*(c_Other+c_BN_2)</f>
        <v>44.354546801367107</v>
      </c>
      <c r="CO49">
        <f>AF49*(c_Stroke1+c_Stroke2+c_BN_2)</f>
        <v>4.7462663601316155</v>
      </c>
      <c r="CP49">
        <f>AG49*(c_Stroke2 + c_BN_2)</f>
        <v>2.4696017483497927</v>
      </c>
      <c r="CQ49">
        <f>AH49*(c_MI1+c_MI2 + c_BN_2)</f>
        <v>3.1800181294824372</v>
      </c>
      <c r="CR49">
        <f>AI49*(c_MI2+c_BN_2)</f>
        <v>1.7174143762136278</v>
      </c>
      <c r="CS49">
        <f>AJ49*(c_Stroke1+c_Stroke2+c_MI2+c_BN_2)</f>
        <v>0.15702767817409069</v>
      </c>
      <c r="CT49">
        <f>AK49*(c_Stroke2+c_MI1+c_MI2+c_BN_2)</f>
        <v>0.1453945428713492</v>
      </c>
      <c r="CU49">
        <f>AL49*(c_Stroke2+c_MI2+c_BN_2)</f>
        <v>9.3110626948627456E-3</v>
      </c>
      <c r="CV49">
        <f>AM49*(c_HF1+c_BN_2)</f>
        <v>2.4484628342165511</v>
      </c>
      <c r="CW49">
        <f>AN49*(c_HF2+c_BN_2)</f>
        <v>17.177714537748745</v>
      </c>
      <c r="CX49">
        <f>AO49*(c_Stroke2+c_HF1+c_BN_2)</f>
        <v>9.6324998479687327E-2</v>
      </c>
      <c r="CY49">
        <f>AP49*(c_Stroke1+c_Stroke2+c_HF2+c_BN_2)</f>
        <v>0.50961899711890679</v>
      </c>
      <c r="CZ49">
        <f>AQ49*(c_Stroke2+c_HF2+c_BN_2)</f>
        <v>6.590468576458465E-2</v>
      </c>
      <c r="DA49">
        <f>AR49*(c_DM+c_BN_2)</f>
        <v>566.14838085826523</v>
      </c>
      <c r="DB49">
        <f>AS49*(c_Other+c_DM+c_BN_2)</f>
        <v>493.52543478655673</v>
      </c>
      <c r="DC49">
        <f>AT49*(c_Stroke1+c_Stroke2+c_DM+c_BN_2)</f>
        <v>52.415487908594521</v>
      </c>
      <c r="DD49">
        <f>AU49*(c_Stroke2+c_DM+c_BN_2)</f>
        <v>35.216644966057906</v>
      </c>
      <c r="DE49">
        <f>AV49*(c_MI1+c_MI2+c_DM+c_BN_2)</f>
        <v>34.979838227361924</v>
      </c>
      <c r="DF49">
        <f>AW49*(c_MI2+c_DM+c_BN_2)</f>
        <v>43.169059232495769</v>
      </c>
      <c r="DG49">
        <f>AX49*(c_Stroke1+c_Stroke2+c_MI2+c_DM+c_BN_2)</f>
        <v>2.7906674652035464</v>
      </c>
      <c r="DH49">
        <f>AY49*(c_Stroke2+c_MI1+c_MI2+c_DM+c_BN_2)</f>
        <v>2.1692916194287286</v>
      </c>
      <c r="DI49">
        <f>AZ49*(c_Stroke2+c_MI2+c_DM+c_BN_2)</f>
        <v>-0.1579610543146448</v>
      </c>
      <c r="DJ49">
        <f>BA49*(c_HF1+c_DM+c_BN_2)</f>
        <v>27.989603783765631</v>
      </c>
      <c r="DK49">
        <f>BB49*(c_HF2+c_DM+c_BN_2)</f>
        <v>220.86318122078546</v>
      </c>
      <c r="DL49">
        <f>BC49*(c_Stroke2+c_HF1+c_DM+c_BN_2)</f>
        <v>1.4484913703134354</v>
      </c>
      <c r="DM49">
        <f>BD49*(c_Stroke1+c_Stroke2+c_HF2+c_DM+c_BN_2)</f>
        <v>8.2635853851391143</v>
      </c>
      <c r="DN49">
        <f>BE49*(c_Stroke2+c_HF2+c_DM+c_BN_2)</f>
        <v>-5.781958347176297E-2</v>
      </c>
      <c r="DO49">
        <f t="shared" si="53"/>
        <v>0</v>
      </c>
      <c r="DP49">
        <f t="shared" si="54"/>
        <v>1586.6473652407922</v>
      </c>
      <c r="DQ49">
        <f>DP49/(1+r_)^A49</f>
        <v>407.35033559603272</v>
      </c>
    </row>
    <row r="50" spans="1:121" x14ac:dyDescent="0.3">
      <c r="A50">
        <v>47</v>
      </c>
      <c r="B50">
        <v>92</v>
      </c>
      <c r="C50">
        <f t="shared" si="39"/>
        <v>36.251999999999995</v>
      </c>
      <c r="D50">
        <f t="shared" si="1"/>
        <v>125</v>
      </c>
      <c r="E50">
        <f t="shared" si="41"/>
        <v>5.7</v>
      </c>
      <c r="F50">
        <v>0.15822</v>
      </c>
      <c r="G50">
        <v>0.19409999999999999</v>
      </c>
      <c r="H50">
        <f t="shared" si="42"/>
        <v>0.16539599999999999</v>
      </c>
      <c r="I50">
        <f t="shared" si="43"/>
        <v>4.7655426853004217E-2</v>
      </c>
      <c r="J50">
        <f t="shared" si="21"/>
        <v>0.4400740254957306</v>
      </c>
      <c r="K50">
        <f t="shared" si="22"/>
        <v>0.55612662559788029</v>
      </c>
      <c r="L50">
        <f t="shared" si="23"/>
        <v>0.24008446327582356</v>
      </c>
      <c r="M50">
        <f t="shared" si="24"/>
        <v>0.3192104778935495</v>
      </c>
      <c r="N50">
        <f t="shared" si="25"/>
        <v>0.81358847157746506</v>
      </c>
      <c r="O50">
        <f t="shared" si="26"/>
        <v>0.90684930447776824</v>
      </c>
      <c r="P50">
        <f t="shared" si="27"/>
        <v>0.56232394183153855</v>
      </c>
      <c r="Q50">
        <f t="shared" si="28"/>
        <v>0.68886213437225541</v>
      </c>
      <c r="R50">
        <f>IF(C50&lt;25, HT_f_low, IF(C50&lt;30, HT_f_mod, HT_f_high))</f>
        <v>0.42</v>
      </c>
      <c r="S50">
        <f>IF(C50&lt;25, HT_m_low, IF(C50&lt;30, HT_m_mod, HT_m_high))</f>
        <v>0.43099999999999999</v>
      </c>
      <c r="T50">
        <f>PREV_FEMALE*PREV_SMOKE*(1-$R50)*(1-EXP(-J50/10))+PREV_FEMALE*PREV_SMOKE*$R50*(1-EXP(-K50/10))+PREV_FEMALE*(1-PREV_SMOKE)*(1-$R50)*(1-EXP(-L50/10))+PREV_FEMALE*(1-PREV_SMOKE)*$R50*(1-EXP(-M50/10))+(1-PREV_FEMALE)*PREV_SMOKE*(1-$S50)*(1-EXP(-N50/10))+(1-PREV_FEMALE)*PREV_SMOKE*$S50*(1-EXP(-O50/10))+(1-PREV_FEMALE)*(1-PREV_SMOKE)*(1-$S50)*(1-EXP(-P50/10))+(1-PREV_FEMALE)*(1-PREV_SMOKE)*$S50*(1-EXP(-Q50/10))</f>
        <v>3.6148263593181192E-2</v>
      </c>
      <c r="U50">
        <f t="shared" si="29"/>
        <v>0.71695560029222705</v>
      </c>
      <c r="V50">
        <f t="shared" si="30"/>
        <v>0.82926323794054158</v>
      </c>
      <c r="W50">
        <f t="shared" si="31"/>
        <v>0.4498152037254578</v>
      </c>
      <c r="X50">
        <f t="shared" si="32"/>
        <v>0.56690366553102622</v>
      </c>
      <c r="Y50">
        <f t="shared" si="33"/>
        <v>0.94264147704025092</v>
      </c>
      <c r="Z50">
        <f t="shared" si="34"/>
        <v>0.98238378229536794</v>
      </c>
      <c r="AA50">
        <f t="shared" si="35"/>
        <v>0.75488682832916809</v>
      </c>
      <c r="AB50">
        <f t="shared" si="36"/>
        <v>0.86285441210084213</v>
      </c>
      <c r="AC50">
        <f>PREV_FEMALE*PREV_SMOKE*(1-$R50)*(1-EXP(-U50/10))+PREV_FEMALE*PREV_SMOKE*$R50*(1-EXP(-V50/10))+PREV_FEMALE*(1-PREV_SMOKE)*(1-$R50)*(1-EXP(-W50/10))+PREV_FEMALE*(1-PREV_SMOKE)*$R50*(1-EXP(-X50/10))+(1-PREV_FEMALE)*PREV_SMOKE*(1-$S50)*(1-EXP(-Y50/10))+(1-PREV_FEMALE)*PREV_SMOKE*$S50*(1-EXP(-Z50/10))+(1-PREV_FEMALE)*(1-PREV_SMOKE)*(1-$S50)*(1-EXP(-AA50/10))+(1-PREV_FEMALE)*(1-PREV_SMOKE)*$S50*(1-EXP(-AB50/10))</f>
        <v>5.7179487550882549E-2</v>
      </c>
      <c r="AD50">
        <f t="shared" si="44"/>
        <v>7.6971754268554777E-3</v>
      </c>
      <c r="AE50">
        <f t="shared" si="45"/>
        <v>1.9834980416221916E-3</v>
      </c>
      <c r="AF50">
        <f t="shared" si="46"/>
        <v>1.3954882536659885E-4</v>
      </c>
      <c r="AG50">
        <f t="shared" si="47"/>
        <v>1.7932731006521386E-4</v>
      </c>
      <c r="AH50">
        <f>AD49*T49*p_MI*p_MI_rec_old*(1-I49)+AE49*T49*p_MI*p_MI_rec_old*(1-I49) + AH49*(PREV_FEMALE*p_recur_MI_F + (1-PREV_FEMALE)*p_recur_MI_M)*p_MI_rec_old*(1-I49) + AI49*(PREV_FEMALE*p_recur_MI_F + (1-PREV_FEMALE)*p_recur_MI_M)*p_MI_rec_old*(1-I49)</f>
        <v>8.0907731697025007E-5</v>
      </c>
      <c r="AI50">
        <f>AH49*(1-(PREV_FEMALE*p_recur_MI_F + (1-PREV_FEMALE)*p_recur_MI_M) - T49*p_Stroke - p_toHF_old - H49*rr_MI)*(1-I49) + AI49*(1-(PREV_FEMALE*p_recur_MI_F + (1-PREV_FEMALE)*p_recur_MI_M) - T49*p_Stroke - p_toHF_old - H49*rr_MI)*(1-I49)</f>
        <v>2.4623345830199531E-4</v>
      </c>
      <c r="AJ50">
        <f t="shared" si="48"/>
        <v>4.1309151653841358E-6</v>
      </c>
      <c r="AK50">
        <f>AF49*T49*p_MI*p_MI_rec_old*(1-I49) + AG49*T49*p_MI*p_MI_rec_old*(1-I49) + AJ49*(PREV_FEMALE*p_recur_MI_F + (1-PREV_FEMALE)*p_recur_MI_M)*p_MI_rec_old*(1-I49) + AK49*(PREV_FEMALE*p_recur_MI_F + (1-PREV_FEMALE)*p_recur_MI_M)*p_MI_rec_old*(1-I49) + AL49*(PREV_FEMALE*p_recur_MI_F + (1-PREV_FEMALE)*p_recur_MI_M)*p_MI_rec_old*(1-I49)</f>
        <v>2.7357148064742627E-6</v>
      </c>
      <c r="AL50">
        <f>AJ49*(1-p_recur_Stroke-(PREV_FEMALE*p_recur_MI_F + (1-PREV_FEMALE)*p_recur_MI_M) - p_toHF_old - H49*rr_MI*rr_Stroke)*(1-I49) + AK49*(1-p_recur_Stroke-(PREV_FEMALE*p_recur_MI_F + (1-PREV_FEMALE)*p_recur_MI_M) - p_toHF_old - H49*rr_MI*rr_Stroke)*(1-I49) + AL49*(1-p_recur_Stroke-(PREV_FEMALE*p_recur_MI_F + (1-PREV_FEMALE)*p_recur_MI_M) - p_toHF_old - H49*rr_MI*rr_Stroke)*(1-I49)</f>
        <v>-1.9035847548154362E-7</v>
      </c>
      <c r="AM50">
        <f>AD49*T49*p_MI*p_MI_HF_old*(1-I49) + AE49*T49*p_MI*p_MI_HF_old*(1-I49) + AH49*p_toHF_old*(1-I49) + AH49*(PREV_FEMALE*p_recur_MI_F + (1-PREV_FEMALE)*p_recur_MI_M)*p_MI_HF_old*(1-I49) + AI49*p_toHF_old*(1-I49) + AI49*(PREV_FEMALE*p_recur_MI_F + (1-PREV_FEMALE)*p_recur_MI_M)*p_MI_HF_old*(1-I49)</f>
        <v>6.6115121201355551E-5</v>
      </c>
      <c r="AN50">
        <f t="shared" si="49"/>
        <v>7.204943363211953E-4</v>
      </c>
      <c r="AO50">
        <f>AF49*T49*p_MI*p_MI_HF_old*(1-I49) + AG49*T49*p_MI*p_MI_HF_old*(1-I49) + AJ49*(PREV_FEMALE*p_recur_MI_F + (1-PREV_FEMALE)*p_recur_MI_M)*p_MI_HF_old*(1-I49) + AJ49*p_toHF_old*(1-I49) + AK49*(PREV_FEMALE*p_recur_MI_F + (1-PREV_FEMALE)*p_recur_MI_M)*p_MI_HF_old*(1-I49) + AK49*p_toHF_old*(1-I49) + AL49*(PREV_FEMALE*p_recur_MI_F + (1-PREV_FEMALE)*p_recur_MI_M)*p_MI_HF_old*(1-I49) + AL49*p_toHF_old*(1-I49)</f>
        <v>1.8906723885096082E-6</v>
      </c>
      <c r="AP50">
        <f>AM49*T49*p_Stroke*p_Stroke_rec*(1-I49) + AN49*T49*p_Stroke*p_Stroke_rec*(1-I49) + AO49*(p_recur_Stroke*p_Stroke_rec)*(1-I49) + AP49*(p_recur_Stroke*p_Stroke_rec)*(1-I49) + AQ49*(p_recur_Stroke*p_Stroke_rec)*(1-I49)</f>
        <v>9.3766271103373576E-6</v>
      </c>
      <c r="AQ50">
        <f>AO49*(1-p_recur_Stroke-H49*rr_Stroke*rr_HF)*(1-I49) + AP49*(1-p_recur_Stroke-H49*rr_Stroke*rr_HF)*(1-I49) + AQ49*(1-p_recur_Stroke-H49*rr_Stroke*rr_HF)*(1-I49)</f>
        <v>3.5304605385907768E-7</v>
      </c>
      <c r="AR50">
        <f>AR49*(1-AC49-H49*rr_DM) + AD49*(1-T49-H49)*I49</f>
        <v>3.264353531192854E-2</v>
      </c>
      <c r="AS50">
        <f>AR49*AC49*p_Other + AD49*T49*p_Other*I49 + AE49*(1-T49*p_Stroke-T49*p_MI-H49*rr_Other)*I49 + AS49*(1-AC49*p_Stroke-AC49*p_MI-H49*rr_Other*rr_DM)</f>
        <v>1.2848602571742175E-2</v>
      </c>
      <c r="AT50">
        <f>AR49*AC49*p_Stroke*p_Stroke_rec + AD49*T49*p_Stroke*p_Stroke_rec*I49 + AE49*T49*p_Stroke*p_Stroke_rec*I49 + AF49*p_recur_Stroke*p_Stroke_rec*I49 + AG49*p_recur_Stroke*p_Stroke_rec*I49 + AS49*AC49*p_Stroke*p_Stroke_rec + AT49*p_recur_Stroke*p_Stroke_rec + AU49*p_recur_Stroke*p_Stroke_rec</f>
        <v>1.0656011855497878E-3</v>
      </c>
      <c r="AU50">
        <f>AF49*(1-p_recur_Stroke-T49*p_MI-H49*rr_Stroke)*I49 + AG49*(1-p_recur_Stroke-T49*p_MI-H49*rr_Stroke)*I49 + AT49*(1-p_recur_Stroke-AC49*p_MI-H49*rr_Stroke*rr_DM) + AU49*(1-p_recur_Stroke-AC49*p_MI-H49*rr_Stroke*rr_DM)</f>
        <v>1.0363608661710043E-3</v>
      </c>
      <c r="AV50">
        <f>AR49*AC49*p_MI*p_MI_rec_old + AD49*T49*p_MI*p_MI_rec_old*I49 + AE49*T49*p_MI*p_MI_rec_old*I49 +AH49*(PREV_FEMALE*p_recur_MI_F + (1-PREV_FEMALE)*p_recur_MI_M)*p_MI_rec_old*I49 + AI49*(PREV_FEMALE*p_recur_MI_F + (1-PREV_FEMALE)*p_recur_MI_M)*p_MI_rec_old*I49 + AS49*AC49*p_MI*p_MI_rec_old + AV49*(PREV_FEMALE*p_recur_MI_F + (1-PREV_FEMALE)*p_recur_MI_M)*p_MI_rec_old + AW49*(PREV_FEMALE*p_recur_MI_F + (1-PREV_FEMALE)*p_recur_MI_M)*p_MI_rec_old</f>
        <v>6.4992363480384616E-4</v>
      </c>
      <c r="AW50">
        <f>AH49*(1-(PREV_FEMALE*p_recur_MI_F + (1-PREV_FEMALE)*p_recur_MI_M) - T49*p_Stroke - p_toHF_old - H49*rr_MI)*I49 + AI49*(1-(PREV_FEMALE*p_recur_MI_F + (1-PREV_FEMALE)*p_recur_MI_M) - T49*p_Stroke - p_toHF_old - H49*rr_MI)*I49 + AV49*(1-(PREV_FEMALE*p_recur_MI_F + (1-PREV_FEMALE)*p_recur_MI_M) - AC49*p_Stroke - p_toHF_old - H49*rr_MI*rr_DM) + AW49*(1-(PREV_FEMALE*p_recur_MI_F + (1-PREV_FEMALE)*p_recur_MI_M) - AC49*p_Stroke - p_toHF_old - H49*rr_MI*rr_DM)</f>
        <v>1.9209034098585901E-3</v>
      </c>
      <c r="AX50">
        <f>AH49*T49*p_Stroke*p_Stroke_rec*I49 + AI49*T49*p_Stroke*p_Stroke_rec*I49 + AJ49*p_recur_Stroke*p_Stroke_rec*I49 + AK49*p_recur_Stroke*p_Stroke_rec*I49 + AL49*p_recur_Stroke*p_Stroke_rec*I49 + AV49*AC49*p_Stroke*p_Stroke_rec + AW49*AC49*p_Stroke*p_Stroke_rec + AX49*p_recur_Stroke*p_Stroke_rec + AY49*p_recur_Stroke*p_Stroke_rec + AZ49*p_recur_Stroke*p_Stroke_rec</f>
        <v>5.2563799698350879E-5</v>
      </c>
      <c r="AY50">
        <f>AF49*T49*p_MI*p_MI_rec_old*I49 + AG49*T49*p_MI*p_MI_rec_old*I49 + AJ49*(PREV_FEMALE*p_recur_MI_F+(1-PREV_FEMALE)*p_recur_MI_M)*p_MI_rec_old*I49 + AK49*(PREV_FEMALE*p_recur_MI_F+(1-PREV_FEMALE)*p_recur_MI_M)*p_MI_rec_old*I49 + AL49*(PREV_FEMALE*p_recur_MI_F+(1-PREV_FEMALE)*p_recur_MI_M)*p_MI_rec_old*I49 + AT49*AC49*p_MI*p_MI_rec_old + AU49*AC49*p_MI*p_MI_rec_old + AX49*(PREV_FEMALE*p_recur_MI_F+(1-PREV_FEMALE)*p_recur_MI_M)*p_MI_rec_old + AY49*(PREV_FEMALE*p_recur_MI_F+(1-PREV_FEMALE)*p_recur_MI_M)*p_MI_rec_old + AZ49*(PREV_FEMALE*p_recur_MI_F+(1-PREV_FEMALE)*p_recur_MI_M)*p_MI_rec_old</f>
        <v>3.0781041523991604E-5</v>
      </c>
      <c r="AZ50">
        <f>AJ49*(1-p_recur_Stroke-(PREV_FEMALE*p_recur_MI_F + (1-PREV_FEMALE)*p_recur_MI_M) - p_toHF_old - H49*rr_MI*rr_Stroke)*I49 + AK49*(1-p_recur_Stroke-(PREV_FEMALE*p_recur_MI_F + (1-PREV_FEMALE)*p_recur_MI_M) - p_toHF_old - H49*rr_MI*rr_Stroke)*I49 + AL49*(1-p_recur_Stroke-(PREV_FEMALE*p_recur_MI_F + (1-PREV_FEMALE)*p_recur_MI_M) - p_toHF_old - H49*rr_MI*rr_Stroke)*I49 + AX49*(1-p_recur_Stroke-(PREV_FEMALE*p_recur_MI_F + (1-PREV_FEMALE)*p_recur_MI_M) - p_toHF_old - H49*rr_MI*rr_Stroke*rr_DM) + AY49*(1-p_recur_Stroke-(PREV_FEMALE*p_recur_MI_F + (1-PREV_FEMALE)*p_recur_MI_M) - p_toHF_old - H49*rr_MI*rr_Stroke*rr_DM) + AZ49*(1-p_recur_Stroke-(PREV_FEMALE*p_recur_MI_F + (1-PREV_FEMALE)*p_recur_MI_M) - p_toHF_old - H49*rr_MI*rr_Stroke*rr_DM)</f>
        <v>-1.4010543167040476E-5</v>
      </c>
      <c r="BA50">
        <f>AR49*AC49*p_MI*p_MI_HF_old + AD49*T49*p_MI*p_MI_HF_old*I49 + AE49*T49*p_MI*p_MI_HF_old*I49 + AH49*p_toHF_old*I49 + AH49*(PREV_FEMALE*p_recur_MI_F + (1-PREV_FEMALE)*p_recur_MI_M)*p_MI_HF_old*I49 + AI49*p_toHF_old*I49 + AI49*(PREV_FEMALE*p_recur_MI_F + (1-PREV_FEMALE)*p_recur_MI_M)*p_MI_HF_old*I49 + AS49*AC49*p_MI*p_MI_HF_old + AV49*(PREV_FEMALE*p_recur_MI_F + (1-PREV_FEMALE)*p_recur_MI_M)*p_MI_HF_old + AV49*p_toHF_old + AW49*(PREV_FEMALE*p_recur_MI_F + (1-PREV_FEMALE)*p_recur_MI_M)*p_MI_HF_old + AW49*p_toHF_old</f>
        <v>5.4195228573678314E-4</v>
      </c>
      <c r="BB50">
        <f>AM49*(1-T49*p_Stroke - H49*rr_HF)*I49 + AN49*(1-T49*p_Stroke - H49*rr_HF)*I49 + BA49*(1-AC49*p_Stroke - H49*rr_HF*rr_DM) + BB49*(1-AC49*p_Stroke - H49*rr_HF*rr_DM)</f>
        <v>5.5912300544817628E-3</v>
      </c>
      <c r="BC50">
        <f>AF49*T49*p_MI*p_MI_HF_old*I49 + AG49*T49*p_MI*p_MI_HF_old*I49 + AJ49*(PREV_FEMALE*p_recur_MI_F + (1-PREV_FEMALE)*p_recur_MI_M)*p_MI_HF_old*I49 + AJ49*p_toHF_old*I49 + AK49*(PREV_FEMALE*p_recur_MI_F + (1-PREV_FEMALE)*p_recur_MI_M)*p_MI_HF_old*I49 + AK49*p_toHF_old*I49 + AL49*(PREV_FEMALE*p_recur_MI_F + (1-PREV_FEMALE)*p_recur_MI_M)*p_MI_HF_old*I49 + AL49*p_toHF_old*I49 + AT49*AC49*p_MI*p_MI_HF_old + AU49*AC49*p_MI*p_MI_HF_old + AX49*(PREV_FEMALE*p_recur_MI_F + (1-PREV_FEMALE)*p_recur_MI_M)*p_MI_HF_old + AX49*p_toHF_old + AY49*(PREV_FEMALE*p_recur_MI_F + (1-PREV_FEMALE)*p_recur_MI_M)*p_MI_HF_old + AY49*p_toHF_old + AZ49*(PREV_FEMALE*p_recur_MI_F + (1-PREV_FEMALE)*p_recur_MI_M)*p_MI_HF_old + AZ49*p_toHF_old</f>
        <v>2.1192710954159164E-5</v>
      </c>
      <c r="BD50">
        <f>AM49*T49*p_Stroke*p_Stroke_rec*I49 + AN49*T49*p_Stroke*p_Stroke_rec*I49 + AO49*(p_recur_Stroke*p_Stroke_rec)*I49 + AP49*(p_recur_Stroke*p_Stroke_rec)*I49 + AQ49*(p_recur_Stroke*p_Stroke_rec)*I49 + BA49*AC49*p_Stroke*p_Stroke_rec + BB49*AC49*p_Stroke*p_Stroke_rec + BC49*(p_recur_Stroke*p_Stroke_rec) + BD49*(p_recur_Stroke*p_Stroke_rec) + BE49*(p_recur_Stroke*p_Stroke_rec)</f>
        <v>1.1935566578855078E-4</v>
      </c>
      <c r="BE50">
        <f>AO49*(1-p_recur_Stroke - H49*rr_Stroke*rr_HF)*I49 + AP49*(1-p_recur_Stroke-H49*rr_Stroke*rr_HF)*I49 + AQ49*(1-p_recur_Stroke-H49*rr_Stroke*rr_HF)*I49 + BC49*(1-p_recur_Stroke - H49*rr_Stroke*rr_HF*rr_DM) + BD49*(1-p_recur_Stroke-H49*rr_Stroke*rr_HF*rr_DM) + BE49*(1-p_recur_Stroke-H49*rr_Stroke*rr_HF*rr_DM)</f>
        <v>-1.9974442187306088E-5</v>
      </c>
      <c r="BF50">
        <f>AD49*H49 + AE49*H49*rr_Other + AF49*H49*rr_Stroke + AG49*H49*rr_Stroke + AH49*H49*rr_MI + AI49*H49*rr_MI + AJ49*H49*rr_Stroke*rr_MI + AK49*H49*rr_Stroke*rr_MI + AL49*H49*rr_Stroke*rr_MI + AM49*H49*rr_HF + AN49*H49*rr_HF + AO49*H49*rr_Stroke*rr_HF + AP49*H49*rr_Stroke*rr_HF + AR49*H49*rr_DM + AS49*H49*rr_DM*rr_Other + AT49*H49*rr_DM*rr_Stroke + AU49*H49*rr_DM*rr_Stroke + AV49*H49*rr_DM*rr_MI + AW49*H49*rr_DM*rr_MI + AX49*H49*rr_DM*rr_Stroke*rr_MI + AY49*H49*rr_DM*rr_Stroke*rr_MI + AZ49*H49*rr_DM*rr_Stroke*rr_MI + BA49*H49*rr_DM*rr_HF + BB49*H49*rr_DM*rr_HF + BC49*H49*rr_DM*rr_Stroke*rr_HF + BD49*H49*rr_DM*rr_Stroke*rr_HF + AQ49*H49*rr_Stroke*rr_HF + BE49*H49*rr_DM*rr_Stroke*rr_HF
+ AD49*T49*p_MI*p_MI_mort + AD49*T49*p_Stroke*p_Stroke_mort + AE49*T49*p_MI*p_MI_mort + AE49*T49*p_Stroke*p_Stroke_mort + AF49*T49*p_MI*p_MI_mort + AF49*p_recur_Stroke*p_Stroke_mort + AG49*T49*p_MI*p_MI_mort + AG49*p_recur_Stroke*p_Stroke_mort + AH49*(PREV_FEMALE*p_recur_MI_F + (1-PREV_FEMALE)*p_recur_MI_M)*p_MI_mort + AH49*T49*p_Stroke*p_Stroke_mort + AI49*(PREV_FEMALE*p_recur_MI_F + (1-PREV_FEMALE)*p_recur_MI_M)*p_MI_mort + AI49*T49*p_Stroke*p_Stroke_mort + AJ49*(PREV_FEMALE*p_recur_MI_F + (1-PREV_FEMALE)*p_recur_MI_M)*p_MI_mort + AJ49*p_recur_Stroke*p_Stroke_mort + AK49*(PREV_FEMALE*p_recur_MI_F + (1-PREV_FEMALE)*p_recur_MI_M)*p_MI_mort + AK49*p_recur_Stroke*p_Stroke_mort + AL49*(PREV_FEMALE*p_recur_MI_F + (1-PREV_FEMALE)*p_recur_MI_M)*p_MI_mort + AL49*p_recur_Stroke*p_Stroke_mort + AM49*T49*p_Stroke*p_Stroke_mort + AN49*T49*p_Stroke*p_Stroke_mort + AO49*p_recur_Stroke*p_Stroke_mort + AP49*p_recur_Stroke*p_Stroke_mort + AQ49*p_recur_Stroke*p_Stroke_mort
+ AR49*AC49*p_MI*p_MI_mort + AR49*AC49*p_Stroke*p_Stroke_mort + AS49*AC49*p_MI*p_MI_mort + AS49*AC49*p_Stroke*p_Stroke_mort + AT49*AC49*p_MI*p_MI_mort + AT49*p_recur_Stroke*p_Stroke_mort + AU49*AC49*p_MI*p_MI_mort + AU49*p_recur_Stroke*p_Stroke_mort + AV49*(PREV_FEMALE*p_recur_MI_F + (1-PREV_FEMALE)*p_recur_MI_M)*p_MI_mort + AV49*AC49*p_Stroke*p_Stroke_mort + AW49*(PREV_FEMALE*p_recur_MI_F + (1-PREV_FEMALE)*p_recur_MI_M)*p_MI_mort + AW49*AC49*p_Stroke*p_Stroke_mort + AX49*(PREV_FEMALE*p_recur_MI_F + (1-PREV_FEMALE)*p_recur_MI_M)*p_MI_mort + AX49*p_recur_Stroke*p_Stroke_mort + AY49*(PREV_FEMALE*p_recur_MI_F + (1-PREV_FEMALE)*p_recur_MI_M)*p_MI_mort + AY49*p_recur_Stroke*p_Stroke_mort + AZ49*(PREV_FEMALE*p_recur_MI_F + (1-PREV_FEMALE)*p_recur_MI_M)*p_MI_mort + AZ49*p_recur_Stroke*p_Stroke_mort + BA49*AC49*p_Stroke*p_Stroke_mort + BB49*AC49*p_Stroke*p_Stroke_mort + BC49*p_recur_Stroke*p_Stroke_mort + BD49*p_recur_Stroke*p_Stroke_mort + BE49*p_recur_Stroke*p_Stroke_mort
+BF49</f>
        <v>0.87938038557863685</v>
      </c>
      <c r="BG50">
        <f t="shared" si="50"/>
        <v>0.94700000000000017</v>
      </c>
      <c r="BH50">
        <f>(0.9442 - 0.0007*$B50 - dis_BMI*($C50-21.75))*AD50</f>
        <v>6.4036142950145971E-3</v>
      </c>
      <c r="BI50">
        <f>0.959*(0.9442 - 0.0007*$B50 - dis_BMI*($C50-21.75))*AE50</f>
        <v>1.5825016223502469E-3</v>
      </c>
      <c r="BJ50">
        <f>(0.943*(0.9442 - 0.0007*$B50 - dis_BMI*($C50-21.75)) - 0.19*0.5)*AF50</f>
        <v>9.6222072549902407E-5</v>
      </c>
      <c r="BK50">
        <f>(0.943*(0.9442 - 0.0007*$B50 - dis_BMI*($C50-21.75)))*AG50</f>
        <v>1.4068633224174326E-4</v>
      </c>
      <c r="BL50">
        <f>(0.955*(0.9442 - 0.0007*$B50 - dis_BMI*($C50-21.75)) - 0.15*0.5)*AH50</f>
        <v>5.8213594114289896E-5</v>
      </c>
      <c r="BM50">
        <f>(0.955*(0.9442 - 0.0007*$B50 - dis_BMI*($C50-21.75)))*AI50</f>
        <v>1.9563394697131179E-4</v>
      </c>
      <c r="BN50">
        <f>(0.955*0.943*(0.9442 - 0.0007*$B50 - dis_BMI*($C50-21.75)) - 0.19*0.5)*AJ50</f>
        <v>2.7025236348080312E-6</v>
      </c>
      <c r="BO50">
        <f>(0.955*0.943*(0.9442 - 0.0007*$B50 - dis_BMI*($C50-21.75)) - 0.15*0.5)*AK50</f>
        <v>1.8444711966209203E-6</v>
      </c>
      <c r="BP50">
        <f>(0.955*0.943*(0.9442 - 0.0007*$B50 - dis_BMI*($C50-21.75)))*AL50</f>
        <v>-1.4262020720451952E-7</v>
      </c>
      <c r="BQ50">
        <f>(0.93*(0.9442 - 0.0007*$B50 - dis_BMI*($C50-21.75)))*AM50</f>
        <v>5.1153756013011074E-5</v>
      </c>
      <c r="BR50">
        <f>(0.93*(0.9442 - 0.0007*$B50 - dis_BMI*($C50-21.75)))*AN50</f>
        <v>5.5745177229101276E-4</v>
      </c>
      <c r="BS50">
        <f>(0.93*0.943*(0.9442 - 0.0007*$B50 - dis_BMI*($C50-21.75)))*AO50</f>
        <v>1.3794459987911676E-6</v>
      </c>
      <c r="BT50">
        <f>(0.93*0.943*(0.9442 - 0.0007*$B50 - dis_BMI*($C50-21.75))-0.19*0.5)*AP50</f>
        <v>5.9504642212329338E-6</v>
      </c>
      <c r="BU50">
        <f>(0.93*0.943*(0.9442 - 0.0007*$B50 - dis_BMI*($C50-21.75)))*AQ50</f>
        <v>2.5758453412905536E-7</v>
      </c>
      <c r="BV50">
        <f>0.962*(0.9442 - 0.0007*$B50 - dis_BMI*($C50-21.75))*AR50</f>
        <v>2.6125585952719705E-2</v>
      </c>
      <c r="BW50">
        <f>0.962*0.959*(0.9442 - 0.0007*$B50 - dis_BMI*($C50-21.75))*AS50</f>
        <v>9.8615085553394825E-3</v>
      </c>
      <c r="BX50">
        <f>0.962*(0.943*(0.9442 - 0.0007*$B50 - dis_BMI*($C50-21.75)) - 0.19*0.5)*AT50</f>
        <v>7.0683539508032247E-4</v>
      </c>
      <c r="BY50">
        <f>0.962*(0.943*(0.9442 - 0.0007*$B50 - dis_BMI*($C50-21.75)))*AU50</f>
        <v>7.8215270357944648E-4</v>
      </c>
      <c r="BZ50">
        <f>0.962*(0.955*(0.9442 - 0.0007*$B50 - dis_BMI*($C50-21.75)) - 0.15*0.5)*AV50</f>
        <v>4.4985421136440901E-4</v>
      </c>
      <c r="CA50">
        <f>0.962*(0.955*(0.9442 - 0.0007*$B50 - dis_BMI*($C50-21.75)))*AW50</f>
        <v>1.4681747538009095E-3</v>
      </c>
      <c r="CB50">
        <f>0.962*(0.955*0.943*(0.9442 - 0.0007*$B50 - dis_BMI*($C50-21.75)) - 0.19*0.5)*AX50</f>
        <v>3.3081488951041335E-5</v>
      </c>
      <c r="CC50">
        <f>0.962*(0.955*0.943*(0.9442 - 0.0007*$B50 - dis_BMI*($C50-21.75)) - 0.15*0.5)*AY50</f>
        <v>1.996454603857299E-5</v>
      </c>
      <c r="CD50">
        <f>0.962*(0.955*0.943*(0.9442 - 0.0007*$B50 - dis_BMI*($C50-21.75)))*AZ50</f>
        <v>-1.009808192162879E-5</v>
      </c>
      <c r="CE50">
        <f>0.962*(0.93*(0.9442 - 0.0007*$B50 - dis_BMI*($C50-21.75)))*BA50</f>
        <v>4.0337859934084017E-4</v>
      </c>
      <c r="CF50">
        <f>0.962*(0.93*(0.9442 - 0.0007*$B50 - dis_BMI*($C50-21.75)))*BB50</f>
        <v>4.1615887732682488E-3</v>
      </c>
      <c r="CG50">
        <f>0.962*(0.93*0.943*(0.9442 - 0.0007*$B50 - dis_BMI*($C50-21.75)))*BC50</f>
        <v>1.4874761427552357E-5</v>
      </c>
      <c r="CH50">
        <f>0.962*(0.93*0.943*(0.9442 - 0.0007*$B50 - dis_BMI*($C50-21.75))-0.19*0.5)*BD50</f>
        <v>7.2865561285430001E-5</v>
      </c>
      <c r="CI50">
        <f>0.962*(0.93*0.943*(0.9442 - 0.0007*$B50 - dis_BMI*($C50-21.75)))*BE50</f>
        <v>-1.4019681711664404E-5</v>
      </c>
      <c r="CJ50">
        <f t="shared" si="51"/>
        <v>0</v>
      </c>
      <c r="CK50">
        <f t="shared" si="52"/>
        <v>5.3173216799487159E-2</v>
      </c>
      <c r="CL50">
        <f>CK50/(1+r_)^A50</f>
        <v>1.3253890349316687E-2</v>
      </c>
      <c r="CM50">
        <f>AD50*c_BN_2</f>
        <v>16.125582519262228</v>
      </c>
      <c r="CN50">
        <f>AE50*(c_Other+c_BN_2)</f>
        <v>32.477796933521766</v>
      </c>
      <c r="CO50">
        <f>AF50*(c_Stroke1+c_Stroke2+c_BN_2)</f>
        <v>3.6158496140739427</v>
      </c>
      <c r="CP50">
        <f>AG50*(c_Stroke2 + c_BN_2)</f>
        <v>1.541318230010513</v>
      </c>
      <c r="CQ50">
        <f>AH50*(c_MI1+c_MI2 + c_BN_2)</f>
        <v>2.5280429846052432</v>
      </c>
      <c r="CR50">
        <f>AI50*(c_MI2+c_BN_2)</f>
        <v>1.2833687846699995</v>
      </c>
      <c r="CS50">
        <f>AJ50*(c_Stroke1+c_Stroke2+c_MI2+c_BN_2)</f>
        <v>0.11991220542077069</v>
      </c>
      <c r="CT50">
        <f>AK50*(c_Stroke2+c_MI1+c_MI2+c_BN_2)</f>
        <v>0.10326229108517752</v>
      </c>
      <c r="CU50">
        <f>AL50*(c_Stroke2+c_MI2+c_BN_2)</f>
        <v>-2.2294784648398389E-3</v>
      </c>
      <c r="CV50">
        <f>AM50*(c_HF1+c_BN_2)</f>
        <v>1.9256029049894805</v>
      </c>
      <c r="CW50">
        <f>AN50*(c_HF2+c_BN_2)</f>
        <v>12.752749752885157</v>
      </c>
      <c r="CX50">
        <f>AO50*(c_Stroke2+c_HF1+c_BN_2)</f>
        <v>6.7355203840654798E-2</v>
      </c>
      <c r="CY50">
        <f>AP50*(c_Stroke1+c_Stroke2+c_HF2+c_BN_2)</f>
        <v>0.38928005111276576</v>
      </c>
      <c r="CZ50">
        <f>AQ50*(c_Stroke2+c_HF2+c_BN_2)</f>
        <v>8.5437145033896798E-3</v>
      </c>
      <c r="DA50">
        <f>AR50*(c_DM+c_BN_2)</f>
        <v>441.34059741727384</v>
      </c>
      <c r="DB50">
        <f>AS50*(c_Other+c_DM+c_BN_2)</f>
        <v>357.17830289186071</v>
      </c>
      <c r="DC50">
        <f>AT50*(c_Stroke1+c_Stroke2+c_DM+c_BN_2)</f>
        <v>39.785285863686873</v>
      </c>
      <c r="DD50">
        <f>AU50*(c_Stroke2+c_DM+c_BN_2)</f>
        <v>20.747944540743507</v>
      </c>
      <c r="DE50">
        <f>AV50*(c_MI1+c_MI2+c_DM+c_BN_2)</f>
        <v>27.732891420714921</v>
      </c>
      <c r="DF50">
        <f>AW50*(c_MI2+c_DM+c_BN_2)</f>
        <v>31.958070029817364</v>
      </c>
      <c r="DG50">
        <f>AX50*(c_Stroke1+c_Stroke2+c_MI2+c_DM+c_BN_2)</f>
        <v>2.1263633891973881</v>
      </c>
      <c r="DH50">
        <f>AY50*(c_Stroke2+c_MI1+c_MI2+c_DM+c_BN_2)</f>
        <v>1.5135345927761912</v>
      </c>
      <c r="DI50">
        <f>AZ50*(c_Stroke2+c_MI2+c_DM+c_BN_2)</f>
        <v>-0.32416193725581549</v>
      </c>
      <c r="DJ50">
        <f>BA50*(c_HF1+c_DM+c_BN_2)</f>
        <v>21.976165186626556</v>
      </c>
      <c r="DK50">
        <f>BB50*(c_HF2+c_DM+c_BN_2)</f>
        <v>162.84457533678133</v>
      </c>
      <c r="DL50">
        <f>BC50*(c_Stroke2+c_HF1+c_DM+c_BN_2)</f>
        <v>0.99711705039318865</v>
      </c>
      <c r="DM50">
        <f>BD50*(c_Stroke1+c_Stroke2+c_HF2+c_DM+c_BN_2)</f>
        <v>6.318808302511667</v>
      </c>
      <c r="DN50">
        <f>BE50*(c_Stroke2+c_HF2+c_DM+c_BN_2)</f>
        <v>-0.71158950292277934</v>
      </c>
      <c r="DO50">
        <f t="shared" si="53"/>
        <v>0</v>
      </c>
      <c r="DP50">
        <f t="shared" si="54"/>
        <v>1186.4203402937212</v>
      </c>
      <c r="DQ50">
        <f>DP50/(1+r_)^A50</f>
        <v>295.72566876570147</v>
      </c>
    </row>
    <row r="51" spans="1:121" x14ac:dyDescent="0.3">
      <c r="A51">
        <v>48</v>
      </c>
      <c r="B51">
        <v>93</v>
      </c>
      <c r="C51">
        <f t="shared" si="39"/>
        <v>36.251999999999995</v>
      </c>
      <c r="D51">
        <f t="shared" si="1"/>
        <v>125</v>
      </c>
      <c r="E51">
        <f t="shared" si="41"/>
        <v>5.7</v>
      </c>
      <c r="F51">
        <v>0.17560000000000001</v>
      </c>
      <c r="G51">
        <v>0.21640000000000001</v>
      </c>
      <c r="H51">
        <f t="shared" si="42"/>
        <v>0.18376000000000001</v>
      </c>
      <c r="I51">
        <f t="shared" si="43"/>
        <v>4.7655426853004217E-2</v>
      </c>
      <c r="J51">
        <f t="shared" si="21"/>
        <v>0.44968512725867038</v>
      </c>
      <c r="K51">
        <f t="shared" si="22"/>
        <v>0.56676025677894215</v>
      </c>
      <c r="L51">
        <f t="shared" si="23"/>
        <v>0.246287590990236</v>
      </c>
      <c r="M51">
        <f t="shared" si="24"/>
        <v>0.32698058610108982</v>
      </c>
      <c r="N51">
        <f t="shared" si="25"/>
        <v>0.82400384989811393</v>
      </c>
      <c r="O51">
        <f t="shared" si="26"/>
        <v>0.91411756795933263</v>
      </c>
      <c r="P51">
        <f t="shared" si="27"/>
        <v>0.57452848268986145</v>
      </c>
      <c r="Q51">
        <f t="shared" si="28"/>
        <v>0.70105030362676257</v>
      </c>
      <c r="R51">
        <f>IF(C51&lt;25, HT_f_low, IF(C51&lt;30, HT_f_mod, HT_f_high))</f>
        <v>0.42</v>
      </c>
      <c r="S51">
        <f>IF(C51&lt;25, HT_m_low, IF(C51&lt;30, HT_m_mod, HT_m_high))</f>
        <v>0.43099999999999999</v>
      </c>
      <c r="T51">
        <f>PREV_FEMALE*PREV_SMOKE*(1-$R51)*(1-EXP(-J51/10))+PREV_FEMALE*PREV_SMOKE*$R51*(1-EXP(-K51/10))+PREV_FEMALE*(1-PREV_SMOKE)*(1-$R51)*(1-EXP(-L51/10))+PREV_FEMALE*(1-PREV_SMOKE)*$R51*(1-EXP(-M51/10))+(1-PREV_FEMALE)*PREV_SMOKE*(1-$S51)*(1-EXP(-N51/10))+(1-PREV_FEMALE)*PREV_SMOKE*$S51*(1-EXP(-O51/10))+(1-PREV_FEMALE)*(1-PREV_SMOKE)*(1-$S51)*(1-EXP(-P51/10))+(1-PREV_FEMALE)*(1-PREV_SMOKE)*$S51*(1-EXP(-Q51/10))</f>
        <v>3.6932149977667535E-2</v>
      </c>
      <c r="U51">
        <f t="shared" si="29"/>
        <v>0.72742243263665374</v>
      </c>
      <c r="V51">
        <f t="shared" si="30"/>
        <v>0.8380396291259441</v>
      </c>
      <c r="W51">
        <f t="shared" si="31"/>
        <v>0.45954234707593355</v>
      </c>
      <c r="X51">
        <f t="shared" si="32"/>
        <v>0.57758919216210503</v>
      </c>
      <c r="Y51">
        <f t="shared" si="33"/>
        <v>0.94798742310340911</v>
      </c>
      <c r="Z51">
        <f t="shared" si="34"/>
        <v>0.98465823411847864</v>
      </c>
      <c r="AA51">
        <f t="shared" si="35"/>
        <v>0.76640344023682927</v>
      </c>
      <c r="AB51">
        <f t="shared" si="36"/>
        <v>0.8718702203032016</v>
      </c>
      <c r="AC51">
        <f>PREV_FEMALE*PREV_SMOKE*(1-$R51)*(1-EXP(-U51/10))+PREV_FEMALE*PREV_SMOKE*$R51*(1-EXP(-V51/10))+PREV_FEMALE*(1-PREV_SMOKE)*(1-$R51)*(1-EXP(-W51/10))+PREV_FEMALE*(1-PREV_SMOKE)*$R51*(1-EXP(-X51/10))+(1-PREV_FEMALE)*PREV_SMOKE*(1-$S51)*(1-EXP(-Y51/10))+(1-PREV_FEMALE)*PREV_SMOKE*$S51*(1-EXP(-Z51/10))+(1-PREV_FEMALE)*(1-PREV_SMOKE)*(1-$S51)*(1-EXP(-AA51/10))+(1-PREV_FEMALE)*(1-PREV_SMOKE)*$S51*(1-EXP(-AB51/10))</f>
        <v>5.8121696981198387E-2</v>
      </c>
      <c r="AD51">
        <f t="shared" si="44"/>
        <v>5.8529705839748848E-3</v>
      </c>
      <c r="AE51">
        <f t="shared" si="45"/>
        <v>1.4103706543906315E-3</v>
      </c>
      <c r="AF51">
        <f t="shared" si="46"/>
        <v>1.0404472193928808E-4</v>
      </c>
      <c r="AG51">
        <f t="shared" si="47"/>
        <v>1.0761139247482446E-4</v>
      </c>
      <c r="AH51">
        <f>AD50*T50*p_MI*p_MI_rec_old*(1-I50)+AE50*T50*p_MI*p_MI_rec_old*(1-I50) + AH50*(PREV_FEMALE*p_recur_MI_F + (1-PREV_FEMALE)*p_recur_MI_M)*p_MI_rec_old*(1-I50) + AI50*(PREV_FEMALE*p_recur_MI_F + (1-PREV_FEMALE)*p_recur_MI_M)*p_MI_rec_old*(1-I50)</f>
        <v>6.2855279737870353E-5</v>
      </c>
      <c r="AI51">
        <f>AH50*(1-(PREV_FEMALE*p_recur_MI_F + (1-PREV_FEMALE)*p_recur_MI_M) - T50*p_Stroke - p_toHF_old - H50*rr_MI)*(1-I50) + AI50*(1-(PREV_FEMALE*p_recur_MI_F + (1-PREV_FEMALE)*p_recur_MI_M) - T50*p_Stroke - p_toHF_old - H50*rr_MI)*(1-I50)</f>
        <v>1.7953452652397955E-4</v>
      </c>
      <c r="AJ51">
        <f t="shared" si="48"/>
        <v>3.0849815491375937E-6</v>
      </c>
      <c r="AK51">
        <f>AF50*T50*p_MI*p_MI_rec_old*(1-I50) + AG50*T50*p_MI*p_MI_rec_old*(1-I50) + AJ50*(PREV_FEMALE*p_recur_MI_F + (1-PREV_FEMALE)*p_recur_MI_M)*p_MI_rec_old*(1-I50) + AK50*(PREV_FEMALE*p_recur_MI_F + (1-PREV_FEMALE)*p_recur_MI_M)*p_MI_rec_old*(1-I50) + AL50*(PREV_FEMALE*p_recur_MI_F + (1-PREV_FEMALE)*p_recur_MI_M)*p_MI_rec_old*(1-I50)</f>
        <v>1.8817937348298293E-6</v>
      </c>
      <c r="AL51">
        <f>AJ50*(1-p_recur_Stroke-(PREV_FEMALE*p_recur_MI_F + (1-PREV_FEMALE)*p_recur_MI_M) - p_toHF_old - H50*rr_MI*rr_Stroke)*(1-I50) + AK50*(1-p_recur_Stroke-(PREV_FEMALE*p_recur_MI_F + (1-PREV_FEMALE)*p_recur_MI_M) - p_toHF_old - H50*rr_MI*rr_Stroke)*(1-I50) + AL50*(1-p_recur_Stroke-(PREV_FEMALE*p_recur_MI_F + (1-PREV_FEMALE)*p_recur_MI_M) - p_toHF_old - H50*rr_MI*rr_Stroke)*(1-I50)</f>
        <v>-5.8526015876027139E-7</v>
      </c>
      <c r="AM51">
        <f>AD50*T50*p_MI*p_MI_HF_old*(1-I50) + AE50*T50*p_MI*p_MI_HF_old*(1-I50) + AH50*p_toHF_old*(1-I50) + AH50*(PREV_FEMALE*p_recur_MI_F + (1-PREV_FEMALE)*p_recur_MI_M)*p_MI_HF_old*(1-I50) + AI50*p_toHF_old*(1-I50) + AI50*(PREV_FEMALE*p_recur_MI_F + (1-PREV_FEMALE)*p_recur_MI_M)*p_MI_HF_old*(1-I50)</f>
        <v>5.0760310234629912E-5</v>
      </c>
      <c r="AN51">
        <f t="shared" si="49"/>
        <v>5.1739334249268395E-4</v>
      </c>
      <c r="AO51">
        <f>AF50*T50*p_MI*p_MI_HF_old*(1-I50) + AG50*T50*p_MI*p_MI_HF_old*(1-I50) + AJ50*(PREV_FEMALE*p_recur_MI_F + (1-PREV_FEMALE)*p_recur_MI_M)*p_MI_HF_old*(1-I50) + AJ50*p_toHF_old*(1-I50) + AK50*(PREV_FEMALE*p_recur_MI_F + (1-PREV_FEMALE)*p_recur_MI_M)*p_MI_HF_old*(1-I50) + AK50*p_toHF_old*(1-I50) + AL50*(PREV_FEMALE*p_recur_MI_F + (1-PREV_FEMALE)*p_recur_MI_M)*p_MI_HF_old*(1-I50) + AL50*p_toHF_old*(1-I50)</f>
        <v>1.2821469125173735E-6</v>
      </c>
      <c r="AP51">
        <f>AM50*T50*p_Stroke*p_Stroke_rec*(1-I50) + AN50*T50*p_Stroke*p_Stroke_rec*(1-I50) + AO50*(p_recur_Stroke*p_Stroke_rec)*(1-I50) + AP50*(p_recur_Stroke*p_Stroke_rec)*(1-I50) + AQ50*(p_recur_Stroke*p_Stroke_rec)*(1-I50)</f>
        <v>6.95177284265845E-6</v>
      </c>
      <c r="AQ51">
        <f>AO50*(1-p_recur_Stroke-H50*rr_Stroke*rr_HF)*(1-I50) + AP50*(1-p_recur_Stroke-H50*rr_Stroke*rr_HF)*(1-I50) + AQ50*(1-p_recur_Stroke-H50*rr_Stroke*rr_HF)*(1-I50)</f>
        <v>-6.8828388915679474E-7</v>
      </c>
      <c r="AR51">
        <f>AR50*(1-AC50-H50*rr_DM) + AD50*(1-T50-H50)*I50</f>
        <v>2.4860901289251312E-2</v>
      </c>
      <c r="AS51">
        <f>AR50*AC50*p_Other + AD50*T50*p_Other*I50 + AE50*(1-T50*p_Stroke-T50*p_MI-H50*rr_Other)*I50 + AS50*(1-AC50*p_Stroke-AC50*p_MI-H50*rr_Other*rr_DM)</f>
        <v>8.9718107615620359E-3</v>
      </c>
      <c r="AT51">
        <f>AR50*AC50*p_Stroke*p_Stroke_rec + AD50*T50*p_Stroke*p_Stroke_rec*I50 + AE50*T50*p_Stroke*p_Stroke_rec*I50 + AF50*p_recur_Stroke*p_Stroke_rec*I50 + AG50*p_recur_Stroke*p_Stroke_rec*I50 + AS50*AC50*p_Stroke*p_Stroke_rec + AT50*p_recur_Stroke*p_Stroke_rec + AU50*p_recur_Stroke*p_Stroke_rec</f>
        <v>7.8768056488817825E-4</v>
      </c>
      <c r="AU51">
        <f>AF50*(1-p_recur_Stroke-T50*p_MI-H50*rr_Stroke)*I50 + AG50*(1-p_recur_Stroke-T50*p_MI-H50*rr_Stroke)*I50 + AT50*(1-p_recur_Stroke-AC50*p_MI-H50*rr_Stroke*rr_DM) + AU50*(1-p_recur_Stroke-AC50*p_MI-H50*rr_Stroke*rr_DM)</f>
        <v>5.7728169877352159E-4</v>
      </c>
      <c r="AV51">
        <f>AR50*AC50*p_MI*p_MI_rec_old + AD50*T50*p_MI*p_MI_rec_old*I50 + AE50*T50*p_MI*p_MI_rec_old*I50 +AH50*(PREV_FEMALE*p_recur_MI_F + (1-PREV_FEMALE)*p_recur_MI_M)*p_MI_rec_old*I50 + AI50*(PREV_FEMALE*p_recur_MI_F + (1-PREV_FEMALE)*p_recur_MI_M)*p_MI_rec_old*I50 + AS50*AC50*p_MI*p_MI_rec_old + AV50*(PREV_FEMALE*p_recur_MI_F + (1-PREV_FEMALE)*p_recur_MI_M)*p_MI_rec_old + AW50*(PREV_FEMALE*p_recur_MI_F + (1-PREV_FEMALE)*p_recur_MI_M)*p_MI_rec_old</f>
        <v>5.0046875164643217E-4</v>
      </c>
      <c r="AW51">
        <f>AH50*(1-(PREV_FEMALE*p_recur_MI_F + (1-PREV_FEMALE)*p_recur_MI_M) - T50*p_Stroke - p_toHF_old - H50*rr_MI)*I50 + AI50*(1-(PREV_FEMALE*p_recur_MI_F + (1-PREV_FEMALE)*p_recur_MI_M) - T50*p_Stroke - p_toHF_old - H50*rr_MI)*I50 + AV50*(1-(PREV_FEMALE*p_recur_MI_F + (1-PREV_FEMALE)*p_recur_MI_M) - AC50*p_Stroke - p_toHF_old - H50*rr_MI*rr_DM) + AW50*(1-(PREV_FEMALE*p_recur_MI_F + (1-PREV_FEMALE)*p_recur_MI_M) - AC50*p_Stroke - p_toHF_old - H50*rr_MI*rr_DM)</f>
        <v>1.3772402582317971E-3</v>
      </c>
      <c r="AX51">
        <f>AH50*T50*p_Stroke*p_Stroke_rec*I50 + AI50*T50*p_Stroke*p_Stroke_rec*I50 + AJ50*p_recur_Stroke*p_Stroke_rec*I50 + AK50*p_recur_Stroke*p_Stroke_rec*I50 + AL50*p_recur_Stroke*p_Stroke_rec*I50 + AV50*AC50*p_Stroke*p_Stroke_rec + AW50*AC50*p_Stroke*p_Stroke_rec + AX50*p_recur_Stroke*p_Stroke_rec + AY50*p_recur_Stroke*p_Stroke_rec + AZ50*p_recur_Stroke*p_Stroke_rec</f>
        <v>3.8913777366154288E-5</v>
      </c>
      <c r="AY51">
        <f>AF50*T50*p_MI*p_MI_rec_old*I50 + AG50*T50*p_MI*p_MI_rec_old*I50 + AJ50*(PREV_FEMALE*p_recur_MI_F+(1-PREV_FEMALE)*p_recur_MI_M)*p_MI_rec_old*I50 + AK50*(PREV_FEMALE*p_recur_MI_F+(1-PREV_FEMALE)*p_recur_MI_M)*p_MI_rec_old*I50 + AL50*(PREV_FEMALE*p_recur_MI_F+(1-PREV_FEMALE)*p_recur_MI_M)*p_MI_rec_old*I50 + AT50*AC50*p_MI*p_MI_rec_old + AU50*AC50*p_MI*p_MI_rec_old + AX50*(PREV_FEMALE*p_recur_MI_F+(1-PREV_FEMALE)*p_recur_MI_M)*p_MI_rec_old + AY50*(PREV_FEMALE*p_recur_MI_F+(1-PREV_FEMALE)*p_recur_MI_M)*p_MI_rec_old + AZ50*(PREV_FEMALE*p_recur_MI_F+(1-PREV_FEMALE)*p_recur_MI_M)*p_MI_rec_old</f>
        <v>2.0683853337855742E-5</v>
      </c>
      <c r="AZ51">
        <f>AJ50*(1-p_recur_Stroke-(PREV_FEMALE*p_recur_MI_F + (1-PREV_FEMALE)*p_recur_MI_M) - p_toHF_old - H50*rr_MI*rr_Stroke)*I50 + AK50*(1-p_recur_Stroke-(PREV_FEMALE*p_recur_MI_F + (1-PREV_FEMALE)*p_recur_MI_M) - p_toHF_old - H50*rr_MI*rr_Stroke)*I50 + AL50*(1-p_recur_Stroke-(PREV_FEMALE*p_recur_MI_F + (1-PREV_FEMALE)*p_recur_MI_M) - p_toHF_old - H50*rr_MI*rr_Stroke)*I50 + AX50*(1-p_recur_Stroke-(PREV_FEMALE*p_recur_MI_F + (1-PREV_FEMALE)*p_recur_MI_M) - p_toHF_old - H50*rr_MI*rr_Stroke*rr_DM) + AY50*(1-p_recur_Stroke-(PREV_FEMALE*p_recur_MI_F + (1-PREV_FEMALE)*p_recur_MI_M) - p_toHF_old - H50*rr_MI*rr_Stroke*rr_DM) + AZ50*(1-p_recur_Stroke-(PREV_FEMALE*p_recur_MI_F + (1-PREV_FEMALE)*p_recur_MI_M) - p_toHF_old - H50*rr_MI*rr_Stroke*rr_DM)</f>
        <v>-1.4918257419721918E-5</v>
      </c>
      <c r="BA51">
        <f>AR50*AC50*p_MI*p_MI_HF_old + AD50*T50*p_MI*p_MI_HF_old*I50 + AE50*T50*p_MI*p_MI_HF_old*I50 + AH50*p_toHF_old*I50 + AH50*(PREV_FEMALE*p_recur_MI_F + (1-PREV_FEMALE)*p_recur_MI_M)*p_MI_HF_old*I50 + AI50*p_toHF_old*I50 + AI50*(PREV_FEMALE*p_recur_MI_F + (1-PREV_FEMALE)*p_recur_MI_M)*p_MI_HF_old*I50 + AS50*AC50*p_MI*p_MI_HF_old + AV50*(PREV_FEMALE*p_recur_MI_F + (1-PREV_FEMALE)*p_recur_MI_M)*p_MI_HF_old + AV50*p_toHF_old + AW50*(PREV_FEMALE*p_recur_MI_F + (1-PREV_FEMALE)*p_recur_MI_M)*p_MI_HF_old + AW50*p_toHF_old</f>
        <v>4.1262751726680365E-4</v>
      </c>
      <c r="BB51">
        <f>AM50*(1-T50*p_Stroke - H50*rr_HF)*I50 + AN50*(1-T50*p_Stroke - H50*rr_HF)*I50 + BA50*(1-AC50*p_Stroke - H50*rr_HF*rr_DM) + BB50*(1-AC50*p_Stroke - H50*rr_HF*rr_DM)</f>
        <v>3.9552663399151089E-3</v>
      </c>
      <c r="BC51">
        <f>AF50*T50*p_MI*p_MI_HF_old*I50 + AG50*T50*p_MI*p_MI_HF_old*I50 + AJ50*(PREV_FEMALE*p_recur_MI_F + (1-PREV_FEMALE)*p_recur_MI_M)*p_MI_HF_old*I50 + AJ50*p_toHF_old*I50 + AK50*(PREV_FEMALE*p_recur_MI_F + (1-PREV_FEMALE)*p_recur_MI_M)*p_MI_HF_old*I50 + AK50*p_toHF_old*I50 + AL50*(PREV_FEMALE*p_recur_MI_F + (1-PREV_FEMALE)*p_recur_MI_M)*p_MI_HF_old*I50 + AL50*p_toHF_old*I50 + AT50*AC50*p_MI*p_MI_HF_old + AU50*AC50*p_MI*p_MI_HF_old + AX50*(PREV_FEMALE*p_recur_MI_F + (1-PREV_FEMALE)*p_recur_MI_M)*p_MI_HF_old + AX50*p_toHF_old + AY50*(PREV_FEMALE*p_recur_MI_F + (1-PREV_FEMALE)*p_recur_MI_M)*p_MI_HF_old + AY50*p_toHF_old + AZ50*(PREV_FEMALE*p_recur_MI_F + (1-PREV_FEMALE)*p_recur_MI_M)*p_MI_HF_old + AZ50*p_toHF_old</f>
        <v>1.4074148675358857E-5</v>
      </c>
      <c r="BD51">
        <f>AM50*T50*p_Stroke*p_Stroke_rec*I50 + AN50*T50*p_Stroke*p_Stroke_rec*I50 + AO50*(p_recur_Stroke*p_Stroke_rec)*I50 + AP50*(p_recur_Stroke*p_Stroke_rec)*I50 + AQ50*(p_recur_Stroke*p_Stroke_rec)*I50 + BA50*AC50*p_Stroke*p_Stroke_rec + BB50*AC50*p_Stroke*p_Stroke_rec + BC50*(p_recur_Stroke*p_Stroke_rec) + BD50*(p_recur_Stroke*p_Stroke_rec) + BE50*(p_recur_Stroke*p_Stroke_rec)</f>
        <v>8.7865704294032274E-5</v>
      </c>
      <c r="BE51">
        <f>AO50*(1-p_recur_Stroke - H50*rr_Stroke*rr_HF)*I50 + AP50*(1-p_recur_Stroke-H50*rr_Stroke*rr_HF)*I50 + AQ50*(1-p_recur_Stroke-H50*rr_Stroke*rr_HF)*I50 + BC50*(1-p_recur_Stroke - H50*rr_Stroke*rr_HF*rr_DM) + BD50*(1-p_recur_Stroke-H50*rr_Stroke*rr_HF*rr_DM) + BE50*(1-p_recur_Stroke-H50*rr_Stroke*rr_HF*rr_DM)</f>
        <v>-2.4574141101385176E-5</v>
      </c>
      <c r="BF51">
        <f>AD50*H50 + AE50*H50*rr_Other + AF50*H50*rr_Stroke + AG50*H50*rr_Stroke + AH50*H50*rr_MI + AI50*H50*rr_MI + AJ50*H50*rr_Stroke*rr_MI + AK50*H50*rr_Stroke*rr_MI + AL50*H50*rr_Stroke*rr_MI + AM50*H50*rr_HF + AN50*H50*rr_HF + AO50*H50*rr_Stroke*rr_HF + AP50*H50*rr_Stroke*rr_HF + AR50*H50*rr_DM + AS50*H50*rr_DM*rr_Other + AT50*H50*rr_DM*rr_Stroke + AU50*H50*rr_DM*rr_Stroke + AV50*H50*rr_DM*rr_MI + AW50*H50*rr_DM*rr_MI + AX50*H50*rr_DM*rr_Stroke*rr_MI + AY50*H50*rr_DM*rr_Stroke*rr_MI + AZ50*H50*rr_DM*rr_Stroke*rr_MI + BA50*H50*rr_DM*rr_HF + BB50*H50*rr_DM*rr_HF + BC50*H50*rr_DM*rr_Stroke*rr_HF + BD50*H50*rr_DM*rr_Stroke*rr_HF + AQ50*H50*rr_Stroke*rr_HF + BE50*H50*rr_DM*rr_Stroke*rr_HF
+ AD50*T50*p_MI*p_MI_mort + AD50*T50*p_Stroke*p_Stroke_mort + AE50*T50*p_MI*p_MI_mort + AE50*T50*p_Stroke*p_Stroke_mort + AF50*T50*p_MI*p_MI_mort + AF50*p_recur_Stroke*p_Stroke_mort + AG50*T50*p_MI*p_MI_mort + AG50*p_recur_Stroke*p_Stroke_mort + AH50*(PREV_FEMALE*p_recur_MI_F + (1-PREV_FEMALE)*p_recur_MI_M)*p_MI_mort + AH50*T50*p_Stroke*p_Stroke_mort + AI50*(PREV_FEMALE*p_recur_MI_F + (1-PREV_FEMALE)*p_recur_MI_M)*p_MI_mort + AI50*T50*p_Stroke*p_Stroke_mort + AJ50*(PREV_FEMALE*p_recur_MI_F + (1-PREV_FEMALE)*p_recur_MI_M)*p_MI_mort + AJ50*p_recur_Stroke*p_Stroke_mort + AK50*(PREV_FEMALE*p_recur_MI_F + (1-PREV_FEMALE)*p_recur_MI_M)*p_MI_mort + AK50*p_recur_Stroke*p_Stroke_mort + AL50*(PREV_FEMALE*p_recur_MI_F + (1-PREV_FEMALE)*p_recur_MI_M)*p_MI_mort + AL50*p_recur_Stroke*p_Stroke_mort + AM50*T50*p_Stroke*p_Stroke_mort + AN50*T50*p_Stroke*p_Stroke_mort + AO50*p_recur_Stroke*p_Stroke_mort + AP50*p_recur_Stroke*p_Stroke_mort + AQ50*p_recur_Stroke*p_Stroke_mort
+ AR50*AC50*p_MI*p_MI_mort + AR50*AC50*p_Stroke*p_Stroke_mort + AS50*AC50*p_MI*p_MI_mort + AS50*AC50*p_Stroke*p_Stroke_mort + AT50*AC50*p_MI*p_MI_mort + AT50*p_recur_Stroke*p_Stroke_mort + AU50*AC50*p_MI*p_MI_mort + AU50*p_recur_Stroke*p_Stroke_mort + AV50*(PREV_FEMALE*p_recur_MI_F + (1-PREV_FEMALE)*p_recur_MI_M)*p_MI_mort + AV50*AC50*p_Stroke*p_Stroke_mort + AW50*(PREV_FEMALE*p_recur_MI_F + (1-PREV_FEMALE)*p_recur_MI_M)*p_MI_mort + AW50*AC50*p_Stroke*p_Stroke_mort + AX50*(PREV_FEMALE*p_recur_MI_F + (1-PREV_FEMALE)*p_recur_MI_M)*p_MI_mort + AX50*p_recur_Stroke*p_Stroke_mort + AY50*(PREV_FEMALE*p_recur_MI_F + (1-PREV_FEMALE)*p_recur_MI_M)*p_MI_mort + AY50*p_recur_Stroke*p_Stroke_mort + AZ50*(PREV_FEMALE*p_recur_MI_F + (1-PREV_FEMALE)*p_recur_MI_M)*p_MI_mort + AZ50*p_recur_Stroke*p_Stroke_mort + BA50*AC50*p_Stroke*p_Stroke_mort + BB50*AC50*p_Stroke*p_Stroke_mort + BC50*p_recur_Stroke*p_Stroke_mort + BD50*p_recur_Stroke*p_Stroke_mort + BE50*p_recur_Stroke*p_Stroke_mort
+BF50</f>
        <v>0.89713720977055267</v>
      </c>
      <c r="BG51">
        <f t="shared" si="50"/>
        <v>0.94700000000000017</v>
      </c>
      <c r="BH51">
        <f>(0.9442 - 0.0007*$B51 - dis_BMI*($C51-21.75))*AD51</f>
        <v>4.8652431683232685E-3</v>
      </c>
      <c r="BI51">
        <f>0.959*(0.9442 - 0.0007*$B51 - dis_BMI*($C51-21.75))*AE51</f>
        <v>1.1242944847972417E-3</v>
      </c>
      <c r="BJ51">
        <f>(0.943*(0.9442 - 0.0007*$B51 - dis_BMI*($C51-21.75)) - 0.19*0.5)*AF51</f>
        <v>7.1672509992874551E-5</v>
      </c>
      <c r="BK51">
        <f>(0.943*(0.9442 - 0.0007*$B51 - dis_BMI*($C51-21.75)))*AG51</f>
        <v>8.4352537953215565E-5</v>
      </c>
      <c r="BL51">
        <f>(0.955*(0.9442 - 0.0007*$B51 - dis_BMI*($C51-21.75)) - 0.15*0.5)*AH51</f>
        <v>4.5182728817241552E-5</v>
      </c>
      <c r="BM51">
        <f>(0.955*(0.9442 - 0.0007*$B51 - dis_BMI*($C51-21.75)))*AI51</f>
        <v>1.4252123018414968E-4</v>
      </c>
      <c r="BN51">
        <f>(0.955*0.943*(0.9442 - 0.0007*$B51 - dis_BMI*($C51-21.75)) - 0.19*0.5)*AJ51</f>
        <v>2.0163091188518796E-6</v>
      </c>
      <c r="BO51">
        <f>(0.955*0.943*(0.9442 - 0.0007*$B51 - dis_BMI*($C51-21.75)) - 0.15*0.5)*AK51</f>
        <v>1.2675550190741088E-6</v>
      </c>
      <c r="BP51">
        <f>(0.955*0.943*(0.9442 - 0.0007*$B51 - dis_BMI*($C51-21.75)))*AL51</f>
        <v>-4.3811914873618756E-7</v>
      </c>
      <c r="BQ51">
        <f>(0.93*(0.9442 - 0.0007*$B51 - dis_BMI*($C51-21.75)))*AM51</f>
        <v>3.9240580763974371E-5</v>
      </c>
      <c r="BR51">
        <f>(0.93*(0.9442 - 0.0007*$B51 - dis_BMI*($C51-21.75)))*AN51</f>
        <v>3.9997421507041432E-4</v>
      </c>
      <c r="BS51">
        <f>(0.93*0.943*(0.9442 - 0.0007*$B51 - dis_BMI*($C51-21.75)))*AO51</f>
        <v>9.3467503355902087E-7</v>
      </c>
      <c r="BT51">
        <f>(0.93*0.943*(0.9442 - 0.0007*$B51 - dis_BMI*($C51-21.75))-0.19*0.5)*AP51</f>
        <v>4.4073694064212182E-6</v>
      </c>
      <c r="BU51">
        <f>(0.93*0.943*(0.9442 - 0.0007*$B51 - dis_BMI*($C51-21.75)))*AQ51</f>
        <v>-5.0175355173040145E-7</v>
      </c>
      <c r="BV51">
        <f>0.962*(0.9442 - 0.0007*$B51 - dis_BMI*($C51-21.75))*AR51</f>
        <v>1.988017263038146E-2</v>
      </c>
      <c r="BW51">
        <f>0.962*0.959*(0.9442 - 0.0007*$B51 - dis_BMI*($C51-21.75))*AS51</f>
        <v>6.880214749265548E-3</v>
      </c>
      <c r="BX51">
        <f>0.962*(0.943*(0.9442 - 0.0007*$B51 - dis_BMI*($C51-21.75)) - 0.19*0.5)*AT51</f>
        <v>5.2198468606434799E-4</v>
      </c>
      <c r="BY51">
        <f>0.962*(0.943*(0.9442 - 0.0007*$B51 - dis_BMI*($C51-21.75)))*AU51</f>
        <v>4.3531413008191373E-4</v>
      </c>
      <c r="BZ51">
        <f>0.962*(0.955*(0.9442 - 0.0007*$B51 - dis_BMI*($C51-21.75)) - 0.15*0.5)*AV51</f>
        <v>3.460849639068E-4</v>
      </c>
      <c r="CA51">
        <f>0.962*(0.955*(0.9442 - 0.0007*$B51 - dis_BMI*($C51-21.75)))*AW51</f>
        <v>1.0517593046613372E-3</v>
      </c>
      <c r="CB51">
        <f>0.962*(0.955*0.943*(0.9442 - 0.0007*$B51 - dis_BMI*($C51-21.75)) - 0.19*0.5)*AX51</f>
        <v>2.4467128633446808E-5</v>
      </c>
      <c r="CC51">
        <f>0.962*(0.955*0.943*(0.9442 - 0.0007*$B51 - dis_BMI*($C51-21.75)) - 0.15*0.5)*AY51</f>
        <v>1.3402978554506297E-5</v>
      </c>
      <c r="CD51">
        <f>0.962*(0.955*0.943*(0.9442 - 0.0007*$B51 - dis_BMI*($C51-21.75)))*AZ51</f>
        <v>-1.0743268828520797E-5</v>
      </c>
      <c r="CE51">
        <f>0.962*(0.93*(0.9442 - 0.0007*$B51 - dis_BMI*($C51-21.75)))*BA51</f>
        <v>3.068629229197115E-4</v>
      </c>
      <c r="CF51">
        <f>0.962*(0.93*(0.9442 - 0.0007*$B51 - dis_BMI*($C51-21.75)))*BB51</f>
        <v>2.9414533427917482E-3</v>
      </c>
      <c r="CG51">
        <f>0.962*(0.93*0.943*(0.9442 - 0.0007*$B51 - dis_BMI*($C51-21.75)))*BC51</f>
        <v>9.8700660253993274E-6</v>
      </c>
      <c r="CH51">
        <f>0.962*(0.93*0.943*(0.9442 - 0.0007*$B51 - dis_BMI*($C51-21.75))-0.19*0.5)*BD51</f>
        <v>5.3589332385535523E-5</v>
      </c>
      <c r="CI51">
        <f>0.962*(0.93*0.943*(0.9442 - 0.0007*$B51 - dis_BMI*($C51-21.75)))*BE51</f>
        <v>-1.72336104145899E-5</v>
      </c>
      <c r="CJ51">
        <f t="shared" si="51"/>
        <v>0</v>
      </c>
      <c r="CK51">
        <f t="shared" si="52"/>
        <v>3.9217366848208458E-2</v>
      </c>
      <c r="CL51">
        <f>CK51/(1+r_)^A51</f>
        <v>9.490555753641548E-3</v>
      </c>
      <c r="CM51">
        <f>AD51*c_BN_2</f>
        <v>12.261973373427384</v>
      </c>
      <c r="CN51">
        <f>AE51*(c_Other+c_BN_2)</f>
        <v>23.0934090949922</v>
      </c>
      <c r="CO51">
        <f>AF51*(c_Stroke1+c_Stroke2+c_BN_2)</f>
        <v>2.6959027901688932</v>
      </c>
      <c r="CP51">
        <f>AG51*(c_Stroke2 + c_BN_2)</f>
        <v>0.9249199183211162</v>
      </c>
      <c r="CQ51">
        <f>AH51*(c_MI1+c_MI2 + c_BN_2)</f>
        <v>1.9639760706894971</v>
      </c>
      <c r="CR51">
        <f>AI51*(c_MI2+c_BN_2)</f>
        <v>0.93573395224298139</v>
      </c>
      <c r="CS51">
        <f>AJ51*(c_Stroke1+c_Stroke2+c_MI2+c_BN_2)</f>
        <v>8.9550844408366068E-2</v>
      </c>
      <c r="CT51">
        <f>AK51*(c_Stroke2+c_MI1+c_MI2+c_BN_2)</f>
        <v>7.1030186314886737E-2</v>
      </c>
      <c r="CU51">
        <f>AL51*(c_Stroke2+c_MI2+c_BN_2)</f>
        <v>-6.8545669794002981E-3</v>
      </c>
      <c r="CV51">
        <f>AM51*(c_HF1+c_BN_2)</f>
        <v>1.4783940355835963</v>
      </c>
      <c r="CW51">
        <f>AN51*(c_HF2+c_BN_2)</f>
        <v>9.1578621621205052</v>
      </c>
      <c r="CX51">
        <f>AO51*(c_Stroke2+c_HF1+c_BN_2)</f>
        <v>4.5676483758431433E-2</v>
      </c>
      <c r="CY51">
        <f>AP51*(c_Stroke1+c_Stroke2+c_HF2+c_BN_2)</f>
        <v>0.28860980133580821</v>
      </c>
      <c r="CZ51">
        <f>AQ51*(c_Stroke2+c_HF2+c_BN_2)</f>
        <v>-1.6656470117594434E-2</v>
      </c>
      <c r="DA51">
        <f>AR51*(c_DM+c_BN_2)</f>
        <v>336.11938543067771</v>
      </c>
      <c r="DB51">
        <f>AS51*(c_Other+c_DM+c_BN_2)</f>
        <v>249.40736736066305</v>
      </c>
      <c r="DC51">
        <f>AT51*(c_Stroke1+c_Stroke2+c_DM+c_BN_2)</f>
        <v>29.408841570665022</v>
      </c>
      <c r="DD51">
        <f>AU51*(c_Stroke2+c_DM+c_BN_2)</f>
        <v>11.557179609445903</v>
      </c>
      <c r="DE51">
        <f>AV51*(c_MI1+c_MI2+c_DM+c_BN_2)</f>
        <v>21.355502101504907</v>
      </c>
      <c r="DF51">
        <f>AW51*(c_MI2+c_DM+c_BN_2)</f>
        <v>22.91314617620241</v>
      </c>
      <c r="DG51">
        <f>AX51*(c_Stroke1+c_Stroke2+c_MI2+c_DM+c_BN_2)</f>
        <v>1.5741790357930394</v>
      </c>
      <c r="DH51">
        <f>AY51*(c_Stroke2+c_MI1+c_MI2+c_DM+c_BN_2)</f>
        <v>1.0170457524757046</v>
      </c>
      <c r="DI51">
        <f>AZ51*(c_Stroke2+c_MI2+c_DM+c_BN_2)</f>
        <v>-0.34516372192010603</v>
      </c>
      <c r="DJ51">
        <f>BA51*(c_HF1+c_DM+c_BN_2)</f>
        <v>16.732045825168889</v>
      </c>
      <c r="DK51">
        <f>BB51*(c_HF2+c_DM+c_BN_2)</f>
        <v>115.19713215002754</v>
      </c>
      <c r="DL51">
        <f>BC51*(c_Stroke2+c_HF1+c_DM+c_BN_2)</f>
        <v>0.66218869517563417</v>
      </c>
      <c r="DM51">
        <f>BD51*(c_Stroke1+c_Stroke2+c_HF2+c_DM+c_BN_2)</f>
        <v>4.6516982510303624</v>
      </c>
      <c r="DN51">
        <f>BE51*(c_Stroke2+c_HF2+c_DM+c_BN_2)</f>
        <v>-0.87545377673684688</v>
      </c>
      <c r="DO51">
        <f t="shared" si="53"/>
        <v>0</v>
      </c>
      <c r="DP51">
        <f t="shared" si="54"/>
        <v>862.35862213643986</v>
      </c>
      <c r="DQ51">
        <f>DP51/(1+r_)^A51</f>
        <v>208.68975254500708</v>
      </c>
    </row>
    <row r="52" spans="1:121" x14ac:dyDescent="0.3">
      <c r="A52">
        <v>49</v>
      </c>
      <c r="B52">
        <v>94</v>
      </c>
      <c r="C52">
        <f t="shared" si="39"/>
        <v>36.251999999999995</v>
      </c>
      <c r="D52">
        <f t="shared" si="1"/>
        <v>125</v>
      </c>
      <c r="E52">
        <f t="shared" si="41"/>
        <v>5.7</v>
      </c>
      <c r="F52">
        <v>0.19406999999999999</v>
      </c>
      <c r="G52">
        <v>0.23441000000000001</v>
      </c>
      <c r="H52">
        <f t="shared" si="42"/>
        <v>0.20213799999999998</v>
      </c>
      <c r="I52">
        <f t="shared" si="43"/>
        <v>4.7655426853004217E-2</v>
      </c>
      <c r="J52">
        <f t="shared" si="21"/>
        <v>0.45930614292777971</v>
      </c>
      <c r="K52">
        <f t="shared" si="22"/>
        <v>0.57733062145899028</v>
      </c>
      <c r="L52">
        <f t="shared" si="23"/>
        <v>0.2525545232023968</v>
      </c>
      <c r="M52">
        <f t="shared" si="24"/>
        <v>0.33480465125866621</v>
      </c>
      <c r="N52">
        <f t="shared" si="25"/>
        <v>0.83405668758969553</v>
      </c>
      <c r="O52">
        <f t="shared" si="26"/>
        <v>0.92096639812844394</v>
      </c>
      <c r="P52">
        <f t="shared" si="27"/>
        <v>0.58666142242001951</v>
      </c>
      <c r="Q52">
        <f t="shared" si="28"/>
        <v>0.71302468276296982</v>
      </c>
      <c r="R52">
        <f>IF(C52&lt;25, HT_f_low, IF(C52&lt;30, HT_f_mod, HT_f_high))</f>
        <v>0.42</v>
      </c>
      <c r="S52">
        <f>IF(C52&lt;25, HT_m_low, IF(C52&lt;30, HT_m_mod, HT_m_high))</f>
        <v>0.43099999999999999</v>
      </c>
      <c r="T52">
        <f>PREV_FEMALE*PREV_SMOKE*(1-$R52)*(1-EXP(-J52/10))+PREV_FEMALE*PREV_SMOKE*$R52*(1-EXP(-K52/10))+PREV_FEMALE*(1-PREV_SMOKE)*(1-$R52)*(1-EXP(-L52/10))+PREV_FEMALE*(1-PREV_SMOKE)*$R52*(1-EXP(-M52/10))+(1-PREV_FEMALE)*PREV_SMOKE*(1-$S52)*(1-EXP(-N52/10))+(1-PREV_FEMALE)*PREV_SMOKE*$S52*(1-EXP(-O52/10))+(1-PREV_FEMALE)*(1-PREV_SMOKE)*(1-$S52)*(1-EXP(-P52/10))+(1-PREV_FEMALE)*(1-PREV_SMOKE)*$S52*(1-EXP(-Q52/10))</f>
        <v>3.7716155761769739E-2</v>
      </c>
      <c r="U52">
        <f t="shared" si="29"/>
        <v>0.73768689203559257</v>
      </c>
      <c r="V52">
        <f t="shared" si="30"/>
        <v>0.84651624857357988</v>
      </c>
      <c r="W52">
        <f t="shared" si="31"/>
        <v>0.46927437620608881</v>
      </c>
      <c r="X52">
        <f t="shared" si="32"/>
        <v>0.58820327995950672</v>
      </c>
      <c r="Y52">
        <f t="shared" si="33"/>
        <v>0.95294103715285372</v>
      </c>
      <c r="Z52">
        <f t="shared" si="34"/>
        <v>0.98668140702000817</v>
      </c>
      <c r="AA52">
        <f t="shared" si="35"/>
        <v>0.77762501149034113</v>
      </c>
      <c r="AB52">
        <f t="shared" si="36"/>
        <v>0.88048025323024492</v>
      </c>
      <c r="AC52">
        <f>PREV_FEMALE*PREV_SMOKE*(1-$R52)*(1-EXP(-U52/10))+PREV_FEMALE*PREV_SMOKE*$R52*(1-EXP(-V52/10))+PREV_FEMALE*(1-PREV_SMOKE)*(1-$R52)*(1-EXP(-W52/10))+PREV_FEMALE*(1-PREV_SMOKE)*$R52*(1-EXP(-X52/10))+(1-PREV_FEMALE)*PREV_SMOKE*(1-$S52)*(1-EXP(-Y52/10))+(1-PREV_FEMALE)*PREV_SMOKE*$S52*(1-EXP(-Z52/10))+(1-PREV_FEMALE)*(1-PREV_SMOKE)*(1-$S52)*(1-EXP(-AA52/10))+(1-PREV_FEMALE)*(1-PREV_SMOKE)*$S52*(1-EXP(-AB52/10))</f>
        <v>5.905263971256592E-2</v>
      </c>
      <c r="AD52">
        <f t="shared" si="44"/>
        <v>4.3438968475364766E-3</v>
      </c>
      <c r="AE52">
        <f t="shared" si="45"/>
        <v>9.6510420618758387E-4</v>
      </c>
      <c r="AF52">
        <f t="shared" si="46"/>
        <v>7.6310138307102146E-5</v>
      </c>
      <c r="AG52">
        <f t="shared" si="47"/>
        <v>5.9806921076945268E-5</v>
      </c>
      <c r="AH52">
        <f>AD51*T51*p_MI*p_MI_rec_old*(1-I51)+AE51*T51*p_MI*p_MI_rec_old*(1-I51) + AH51*(PREV_FEMALE*p_recur_MI_F + (1-PREV_FEMALE)*p_recur_MI_M)*p_MI_rec_old*(1-I51) + AI51*(PREV_FEMALE*p_recur_MI_F + (1-PREV_FEMALE)*p_recur_MI_M)*p_MI_rec_old*(1-I51)</f>
        <v>4.7796767590313808E-5</v>
      </c>
      <c r="AI52">
        <f>AH51*(1-(PREV_FEMALE*p_recur_MI_F + (1-PREV_FEMALE)*p_recur_MI_M) - T51*p_Stroke - p_toHF_old - H51*rr_MI)*(1-I51) + AI51*(1-(PREV_FEMALE*p_recur_MI_F + (1-PREV_FEMALE)*p_recur_MI_M) - T51*p_Stroke - p_toHF_old - H51*rr_MI)*(1-I51)</f>
        <v>1.2628368288220698E-4</v>
      </c>
      <c r="AJ52">
        <f t="shared" si="48"/>
        <v>2.2646349535082434E-6</v>
      </c>
      <c r="AK52">
        <f>AF51*T51*p_MI*p_MI_rec_old*(1-I51) + AG51*T51*p_MI*p_MI_rec_old*(1-I51) + AJ51*(PREV_FEMALE*p_recur_MI_F + (1-PREV_FEMALE)*p_recur_MI_M)*p_MI_rec_old*(1-I51) + AK51*(PREV_FEMALE*p_recur_MI_F + (1-PREV_FEMALE)*p_recur_MI_M)*p_MI_rec_old*(1-I51) + AL51*(PREV_FEMALE*p_recur_MI_F + (1-PREV_FEMALE)*p_recur_MI_M)*p_MI_rec_old*(1-I51)</f>
        <v>1.2694213713630677E-6</v>
      </c>
      <c r="AL52">
        <f>AJ51*(1-p_recur_Stroke-(PREV_FEMALE*p_recur_MI_F + (1-PREV_FEMALE)*p_recur_MI_M) - p_toHF_old - H51*rr_MI*rr_Stroke)*(1-I51) + AK51*(1-p_recur_Stroke-(PREV_FEMALE*p_recur_MI_F + (1-PREV_FEMALE)*p_recur_MI_M) - p_toHF_old - H51*rr_MI*rr_Stroke)*(1-I51) + AL51*(1-p_recur_Stroke-(PREV_FEMALE*p_recur_MI_F + (1-PREV_FEMALE)*p_recur_MI_M) - p_toHF_old - H51*rr_MI*rr_Stroke)*(1-I51)</f>
        <v>-7.630501179134425E-7</v>
      </c>
      <c r="AM52">
        <f>AD51*T51*p_MI*p_MI_HF_old*(1-I51) + AE51*T51*p_MI*p_MI_HF_old*(1-I51) + AH51*p_toHF_old*(1-I51) + AH51*(PREV_FEMALE*p_recur_MI_F + (1-PREV_FEMALE)*p_recur_MI_M)*p_MI_HF_old*(1-I51) + AI51*p_toHF_old*(1-I51) + AI51*(PREV_FEMALE*p_recur_MI_F + (1-PREV_FEMALE)*p_recur_MI_M)*p_MI_HF_old*(1-I51)</f>
        <v>3.8113613427909996E-5</v>
      </c>
      <c r="AN52">
        <f t="shared" si="49"/>
        <v>3.5552204371164134E-4</v>
      </c>
      <c r="AO52">
        <f>AF51*T51*p_MI*p_MI_HF_old*(1-I51) + AG51*T51*p_MI*p_MI_HF_old*(1-I51) + AJ51*(PREV_FEMALE*p_recur_MI_F + (1-PREV_FEMALE)*p_recur_MI_M)*p_MI_HF_old*(1-I51) + AJ51*p_toHF_old*(1-I51) + AK51*(PREV_FEMALE*p_recur_MI_F + (1-PREV_FEMALE)*p_recur_MI_M)*p_MI_HF_old*(1-I51) + AK51*p_toHF_old*(1-I51) + AL51*(PREV_FEMALE*p_recur_MI_F + (1-PREV_FEMALE)*p_recur_MI_M)*p_MI_HF_old*(1-I51) + AL51*p_toHF_old*(1-I51)</f>
        <v>8.5560367079063981E-7</v>
      </c>
      <c r="AP52">
        <f>AM51*T51*p_Stroke*p_Stroke_rec*(1-I51) + AN51*T51*p_Stroke*p_Stroke_rec*(1-I51) + AO51*(p_recur_Stroke*p_Stroke_rec)*(1-I51) + AP51*(p_recur_Stroke*p_Stroke_rec)*(1-I51) + AQ51*(p_recur_Stroke*p_Stroke_rec)*(1-I51)</f>
        <v>5.021779368594837E-6</v>
      </c>
      <c r="AQ52">
        <f>AO51*(1-p_recur_Stroke-H51*rr_Stroke*rr_HF)*(1-I51) + AP51*(1-p_recur_Stroke-H51*rr_Stroke*rr_HF)*(1-I51) + AQ51*(1-p_recur_Stroke-H51*rr_Stroke*rr_HF)*(1-I51)</f>
        <v>-1.1986842218768615E-6</v>
      </c>
      <c r="AR52">
        <f>AR51*(1-AC51-H51*rr_DM) + AD51*(1-T51-H51)*I51</f>
        <v>1.8379607488293166E-2</v>
      </c>
      <c r="AS52">
        <f>AR51*AC51*p_Other + AD51*T51*p_Other*I51 + AE51*(1-T51*p_Stroke-T51*p_MI-H51*rr_Other)*I51 + AS51*(1-AC51*p_Stroke-AC51*p_MI-H51*rr_Other*rr_DM)</f>
        <v>5.9778538852083571E-3</v>
      </c>
      <c r="AT52">
        <f>AR51*AC51*p_Stroke*p_Stroke_rec + AD51*T51*p_Stroke*p_Stroke_rec*I51 + AE51*T51*p_Stroke*p_Stroke_rec*I51 + AF51*p_recur_Stroke*p_Stroke_rec*I51 + AG51*p_recur_Stroke*p_Stroke_rec*I51 + AS51*AC51*p_Stroke*p_Stroke_rec + AT51*p_recur_Stroke*p_Stroke_rec + AU51*p_recur_Stroke*p_Stroke_rec</f>
        <v>5.7060373896878475E-4</v>
      </c>
      <c r="AU52">
        <f>AF51*(1-p_recur_Stroke-T51*p_MI-H51*rr_Stroke)*I51 + AG51*(1-p_recur_Stroke-T51*p_MI-H51*rr_Stroke)*I51 + AT51*(1-p_recur_Stroke-AC51*p_MI-H51*rr_Stroke*rr_DM) + AU51*(1-p_recur_Stroke-AC51*p_MI-H51*rr_Stroke*rr_DM)</f>
        <v>2.838598105117002E-4</v>
      </c>
      <c r="AV52">
        <f>AR51*AC51*p_MI*p_MI_rec_old + AD51*T51*p_MI*p_MI_rec_old*I51 + AE51*T51*p_MI*p_MI_rec_old*I51 +AH51*(PREV_FEMALE*p_recur_MI_F + (1-PREV_FEMALE)*p_recur_MI_M)*p_MI_rec_old*I51 + AI51*(PREV_FEMALE*p_recur_MI_F + (1-PREV_FEMALE)*p_recur_MI_M)*p_MI_rec_old*I51 + AS51*AC51*p_MI*p_MI_rec_old + AV51*(PREV_FEMALE*p_recur_MI_F + (1-PREV_FEMALE)*p_recur_MI_M)*p_MI_rec_old + AW51*(PREV_FEMALE*p_recur_MI_F + (1-PREV_FEMALE)*p_recur_MI_M)*p_MI_rec_old</f>
        <v>3.7517240208259162E-4</v>
      </c>
      <c r="AW52">
        <f>AH51*(1-(PREV_FEMALE*p_recur_MI_F + (1-PREV_FEMALE)*p_recur_MI_M) - T51*p_Stroke - p_toHF_old - H51*rr_MI)*I51 + AI51*(1-(PREV_FEMALE*p_recur_MI_F + (1-PREV_FEMALE)*p_recur_MI_M) - T51*p_Stroke - p_toHF_old - H51*rr_MI)*I51 + AV51*(1-(PREV_FEMALE*p_recur_MI_F + (1-PREV_FEMALE)*p_recur_MI_M) - AC51*p_Stroke - p_toHF_old - H51*rr_MI*rr_DM) + AW51*(1-(PREV_FEMALE*p_recur_MI_F + (1-PREV_FEMALE)*p_recur_MI_M) - AC51*p_Stroke - p_toHF_old - H51*rr_MI*rr_DM)</f>
        <v>9.4262023844238099E-4</v>
      </c>
      <c r="AX52">
        <f>AH51*T51*p_Stroke*p_Stroke_rec*I51 + AI51*T51*p_Stroke*p_Stroke_rec*I51 + AJ51*p_recur_Stroke*p_Stroke_rec*I51 + AK51*p_recur_Stroke*p_Stroke_rec*I51 + AL51*p_recur_Stroke*p_Stroke_rec*I51 + AV51*AC51*p_Stroke*p_Stroke_rec + AW51*AC51*p_Stroke*p_Stroke_rec + AX51*p_recur_Stroke*p_Stroke_rec + AY51*p_recur_Stroke*p_Stroke_rec + AZ51*p_recur_Stroke*p_Stroke_rec</f>
        <v>2.8139025565605395E-5</v>
      </c>
      <c r="AY52">
        <f>AF51*T51*p_MI*p_MI_rec_old*I51 + AG51*T51*p_MI*p_MI_rec_old*I51 + AJ51*(PREV_FEMALE*p_recur_MI_F+(1-PREV_FEMALE)*p_recur_MI_M)*p_MI_rec_old*I51 + AK51*(PREV_FEMALE*p_recur_MI_F+(1-PREV_FEMALE)*p_recur_MI_M)*p_MI_rec_old*I51 + AL51*(PREV_FEMALE*p_recur_MI_F+(1-PREV_FEMALE)*p_recur_MI_M)*p_MI_rec_old*I51 + AT51*AC51*p_MI*p_MI_rec_old + AU51*AC51*p_MI*p_MI_rec_old + AX51*(PREV_FEMALE*p_recur_MI_F+(1-PREV_FEMALE)*p_recur_MI_M)*p_MI_rec_old + AY51*(PREV_FEMALE*p_recur_MI_F+(1-PREV_FEMALE)*p_recur_MI_M)*p_MI_rec_old + AZ51*(PREV_FEMALE*p_recur_MI_F+(1-PREV_FEMALE)*p_recur_MI_M)*p_MI_rec_old</f>
        <v>1.3601783408454807E-5</v>
      </c>
      <c r="AZ52">
        <f>AJ51*(1-p_recur_Stroke-(PREV_FEMALE*p_recur_MI_F + (1-PREV_FEMALE)*p_recur_MI_M) - p_toHF_old - H51*rr_MI*rr_Stroke)*I51 + AK51*(1-p_recur_Stroke-(PREV_FEMALE*p_recur_MI_F + (1-PREV_FEMALE)*p_recur_MI_M) - p_toHF_old - H51*rr_MI*rr_Stroke)*I51 + AL51*(1-p_recur_Stroke-(PREV_FEMALE*p_recur_MI_F + (1-PREV_FEMALE)*p_recur_MI_M) - p_toHF_old - H51*rr_MI*rr_Stroke)*I51 + AX51*(1-p_recur_Stroke-(PREV_FEMALE*p_recur_MI_F + (1-PREV_FEMALE)*p_recur_MI_M) - p_toHF_old - H51*rr_MI*rr_Stroke*rr_DM) + AY51*(1-p_recur_Stroke-(PREV_FEMALE*p_recur_MI_F + (1-PREV_FEMALE)*p_recur_MI_M) - p_toHF_old - H51*rr_MI*rr_Stroke*rr_DM) + AZ51*(1-p_recur_Stroke-(PREV_FEMALE*p_recur_MI_F + (1-PREV_FEMALE)*p_recur_MI_M) - p_toHF_old - H51*rr_MI*rr_Stroke*rr_DM)</f>
        <v>-1.4299021860294978E-5</v>
      </c>
      <c r="BA52">
        <f>AR51*AC51*p_MI*p_MI_HF_old + AD51*T51*p_MI*p_MI_HF_old*I51 + AE51*T51*p_MI*p_MI_HF_old*I51 + AH51*p_toHF_old*I51 + AH51*(PREV_FEMALE*p_recur_MI_F + (1-PREV_FEMALE)*p_recur_MI_M)*p_MI_HF_old*I51 + AI51*p_toHF_old*I51 + AI51*(PREV_FEMALE*p_recur_MI_F + (1-PREV_FEMALE)*p_recur_MI_M)*p_MI_HF_old*I51 + AS51*AC51*p_MI*p_MI_HF_old + AV51*(PREV_FEMALE*p_recur_MI_F + (1-PREV_FEMALE)*p_recur_MI_M)*p_MI_HF_old + AV51*p_toHF_old + AW51*(PREV_FEMALE*p_recur_MI_F + (1-PREV_FEMALE)*p_recur_MI_M)*p_MI_HF_old + AW51*p_toHF_old</f>
        <v>3.0535278491903049E-4</v>
      </c>
      <c r="BB52">
        <f>AM51*(1-T51*p_Stroke - H51*rr_HF)*I51 + AN51*(1-T51*p_Stroke - H51*rr_HF)*I51 + BA51*(1-AC51*p_Stroke - H51*rr_HF*rr_DM) + BB51*(1-AC51*p_Stroke - H51*rr_HF*rr_DM)</f>
        <v>2.6473599978040813E-3</v>
      </c>
      <c r="BC52">
        <f>AF51*T51*p_MI*p_MI_HF_old*I51 + AG51*T51*p_MI*p_MI_HF_old*I51 + AJ51*(PREV_FEMALE*p_recur_MI_F + (1-PREV_FEMALE)*p_recur_MI_M)*p_MI_HF_old*I51 + AJ51*p_toHF_old*I51 + AK51*(PREV_FEMALE*p_recur_MI_F + (1-PREV_FEMALE)*p_recur_MI_M)*p_MI_HF_old*I51 + AK51*p_toHF_old*I51 + AL51*(PREV_FEMALE*p_recur_MI_F + (1-PREV_FEMALE)*p_recur_MI_M)*p_MI_HF_old*I51 + AL51*p_toHF_old*I51 + AT51*AC51*p_MI*p_MI_HF_old + AU51*AC51*p_MI*p_MI_HF_old + AX51*(PREV_FEMALE*p_recur_MI_F + (1-PREV_FEMALE)*p_recur_MI_M)*p_MI_HF_old + AX51*p_toHF_old + AY51*(PREV_FEMALE*p_recur_MI_F + (1-PREV_FEMALE)*p_recur_MI_M)*p_MI_HF_old + AY51*p_toHF_old + AZ51*(PREV_FEMALE*p_recur_MI_F + (1-PREV_FEMALE)*p_recur_MI_M)*p_MI_HF_old + AZ51*p_toHF_old</f>
        <v>9.1819712071701933E-6</v>
      </c>
      <c r="BD52">
        <f>AM51*T51*p_Stroke*p_Stroke_rec*I51 + AN51*T51*p_Stroke*p_Stroke_rec*I51 + AO51*(p_recur_Stroke*p_Stroke_rec)*I51 + AP51*(p_recur_Stroke*p_Stroke_rec)*I51 + AQ51*(p_recur_Stroke*p_Stroke_rec)*I51 + BA51*AC51*p_Stroke*p_Stroke_rec + BB51*AC51*p_Stroke*p_Stroke_rec + BC51*(p_recur_Stroke*p_Stroke_rec) + BD51*(p_recur_Stroke*p_Stroke_rec) + BE51*(p_recur_Stroke*p_Stroke_rec)</f>
        <v>6.2511230700313655E-5</v>
      </c>
      <c r="BE52">
        <f>AO51*(1-p_recur_Stroke - H51*rr_Stroke*rr_HF)*I51 + AP51*(1-p_recur_Stroke-H51*rr_Stroke*rr_HF)*I51 + AQ51*(1-p_recur_Stroke-H51*rr_Stroke*rr_HF)*I51 + BC51*(1-p_recur_Stroke - H51*rr_Stroke*rr_HF*rr_DM) + BD51*(1-p_recur_Stroke-H51*rr_Stroke*rr_HF*rr_DM) + BE51*(1-p_recur_Stroke-H51*rr_Stroke*rr_HF*rr_DM)</f>
        <v>-2.5113189118604588E-5</v>
      </c>
      <c r="BF52">
        <f>AD51*H51 + AE51*H51*rr_Other + AF51*H51*rr_Stroke + AG51*H51*rr_Stroke + AH51*H51*rr_MI + AI51*H51*rr_MI + AJ51*H51*rr_Stroke*rr_MI + AK51*H51*rr_Stroke*rr_MI + AL51*H51*rr_Stroke*rr_MI + AM51*H51*rr_HF + AN51*H51*rr_HF + AO51*H51*rr_Stroke*rr_HF + AP51*H51*rr_Stroke*rr_HF + AR51*H51*rr_DM + AS51*H51*rr_DM*rr_Other + AT51*H51*rr_DM*rr_Stroke + AU51*H51*rr_DM*rr_Stroke + AV51*H51*rr_DM*rr_MI + AW51*H51*rr_DM*rr_MI + AX51*H51*rr_DM*rr_Stroke*rr_MI + AY51*H51*rr_DM*rr_Stroke*rr_MI + AZ51*H51*rr_DM*rr_Stroke*rr_MI + BA51*H51*rr_DM*rr_HF + BB51*H51*rr_DM*rr_HF + BC51*H51*rr_DM*rr_Stroke*rr_HF + BD51*H51*rr_DM*rr_Stroke*rr_HF + AQ51*H51*rr_Stroke*rr_HF + BE51*H51*rr_DM*rr_Stroke*rr_HF
+ AD51*T51*p_MI*p_MI_mort + AD51*T51*p_Stroke*p_Stroke_mort + AE51*T51*p_MI*p_MI_mort + AE51*T51*p_Stroke*p_Stroke_mort + AF51*T51*p_MI*p_MI_mort + AF51*p_recur_Stroke*p_Stroke_mort + AG51*T51*p_MI*p_MI_mort + AG51*p_recur_Stroke*p_Stroke_mort + AH51*(PREV_FEMALE*p_recur_MI_F + (1-PREV_FEMALE)*p_recur_MI_M)*p_MI_mort + AH51*T51*p_Stroke*p_Stroke_mort + AI51*(PREV_FEMALE*p_recur_MI_F + (1-PREV_FEMALE)*p_recur_MI_M)*p_MI_mort + AI51*T51*p_Stroke*p_Stroke_mort + AJ51*(PREV_FEMALE*p_recur_MI_F + (1-PREV_FEMALE)*p_recur_MI_M)*p_MI_mort + AJ51*p_recur_Stroke*p_Stroke_mort + AK51*(PREV_FEMALE*p_recur_MI_F + (1-PREV_FEMALE)*p_recur_MI_M)*p_MI_mort + AK51*p_recur_Stroke*p_Stroke_mort + AL51*(PREV_FEMALE*p_recur_MI_F + (1-PREV_FEMALE)*p_recur_MI_M)*p_MI_mort + AL51*p_recur_Stroke*p_Stroke_mort + AM51*T51*p_Stroke*p_Stroke_mort + AN51*T51*p_Stroke*p_Stroke_mort + AO51*p_recur_Stroke*p_Stroke_mort + AP51*p_recur_Stroke*p_Stroke_mort + AQ51*p_recur_Stroke*p_Stroke_mort
+ AR51*AC51*p_MI*p_MI_mort + AR51*AC51*p_Stroke*p_Stroke_mort + AS51*AC51*p_MI*p_MI_mort + AS51*AC51*p_Stroke*p_Stroke_mort + AT51*AC51*p_MI*p_MI_mort + AT51*p_recur_Stroke*p_Stroke_mort + AU51*AC51*p_MI*p_MI_mort + AU51*p_recur_Stroke*p_Stroke_mort + AV51*(PREV_FEMALE*p_recur_MI_F + (1-PREV_FEMALE)*p_recur_MI_M)*p_MI_mort + AV51*AC51*p_Stroke*p_Stroke_mort + AW51*(PREV_FEMALE*p_recur_MI_F + (1-PREV_FEMALE)*p_recur_MI_M)*p_MI_mort + AW51*AC51*p_Stroke*p_Stroke_mort + AX51*(PREV_FEMALE*p_recur_MI_F + (1-PREV_FEMALE)*p_recur_MI_M)*p_MI_mort + AX51*p_recur_Stroke*p_Stroke_mort + AY51*(PREV_FEMALE*p_recur_MI_F + (1-PREV_FEMALE)*p_recur_MI_M)*p_MI_mort + AY51*p_recur_Stroke*p_Stroke_mort + AZ51*(PREV_FEMALE*p_recur_MI_F + (1-PREV_FEMALE)*p_recur_MI_M)*p_MI_mort + AZ51*p_recur_Stroke*p_Stroke_mort + BA51*AC51*p_Stroke*p_Stroke_mort + BB51*AC51*p_Stroke*p_Stroke_mort + BC51*p_recur_Stroke*p_Stroke_mort + BD51*p_recur_Stroke*p_Stroke_mort + BE51*p_recur_Stroke*p_Stroke_mort
+BF51</f>
        <v>0.91142326392812278</v>
      </c>
      <c r="BG52">
        <f t="shared" si="50"/>
        <v>0.94700000000000017</v>
      </c>
      <c r="BH52">
        <f>(0.9442 - 0.0007*$B52 - dis_BMI*($C52-21.75))*AD52</f>
        <v>3.6077948570022271E-3</v>
      </c>
      <c r="BI52">
        <f>0.959*(0.9442 - 0.0007*$B52 - dis_BMI*($C52-21.75))*AE52</f>
        <v>7.6869693068212222E-4</v>
      </c>
      <c r="BJ52">
        <f>(0.943*(0.9442 - 0.0007*$B52 - dis_BMI*($C52-21.75)) - 0.19*0.5)*AF52</f>
        <v>5.2516822326605264E-5</v>
      </c>
      <c r="BK52">
        <f>(0.943*(0.9442 - 0.0007*$B52 - dis_BMI*($C52-21.75)))*AG52</f>
        <v>4.6840925691015451E-5</v>
      </c>
      <c r="BL52">
        <f>(0.955*(0.9442 - 0.0007*$B52 - dis_BMI*($C52-21.75)) - 0.15*0.5)*AH52</f>
        <v>3.4326154250339392E-5</v>
      </c>
      <c r="BM52">
        <f>(0.955*(0.9442 - 0.0007*$B52 - dis_BMI*($C52-21.75)))*AI52</f>
        <v>1.0016429577496203E-4</v>
      </c>
      <c r="BN52">
        <f>(0.955*0.943*(0.9442 - 0.0007*$B52 - dis_BMI*($C52-21.75)) - 0.19*0.5)*AJ52</f>
        <v>1.4787122279096733E-6</v>
      </c>
      <c r="BO52">
        <f>(0.955*0.943*(0.9442 - 0.0007*$B52 - dis_BMI*($C52-21.75)) - 0.15*0.5)*AK52</f>
        <v>8.5426766966298005E-7</v>
      </c>
      <c r="BP52">
        <f>(0.955*0.943*(0.9442 - 0.0007*$B52 - dis_BMI*($C52-21.75)))*AL52</f>
        <v>-5.707296819972141E-7</v>
      </c>
      <c r="BQ52">
        <f>(0.93*(0.9442 - 0.0007*$B52 - dis_BMI*($C52-21.75)))*AM52</f>
        <v>2.9439159376912886E-5</v>
      </c>
      <c r="BR52">
        <f>(0.93*(0.9442 - 0.0007*$B52 - dis_BMI*($C52-21.75)))*AN52</f>
        <v>2.7460713287207018E-4</v>
      </c>
      <c r="BS52">
        <f>(0.93*0.943*(0.9442 - 0.0007*$B52 - dis_BMI*($C52-21.75)))*AO52</f>
        <v>6.2320310987083539E-7</v>
      </c>
      <c r="BT52">
        <f>(0.93*0.943*(0.9442 - 0.0007*$B52 - dis_BMI*($C52-21.75))-0.19*0.5)*AP52</f>
        <v>3.1806858603353508E-6</v>
      </c>
      <c r="BU52">
        <f>(0.93*0.943*(0.9442 - 0.0007*$B52 - dis_BMI*($C52-21.75)))*AQ52</f>
        <v>-8.7309552346410398E-7</v>
      </c>
      <c r="BV52">
        <f>0.962*(0.9442 - 0.0007*$B52 - dis_BMI*($C52-21.75))*AR52</f>
        <v>1.4684989349620753E-2</v>
      </c>
      <c r="BW52">
        <f>0.962*0.959*(0.9442 - 0.0007*$B52 - dis_BMI*($C52-21.75))*AS52</f>
        <v>4.5803778532997868E-3</v>
      </c>
      <c r="BX52">
        <f>0.962*(0.943*(0.9442 - 0.0007*$B52 - dis_BMI*($C52-21.75)) - 0.19*0.5)*AT52</f>
        <v>3.7776862420993906E-4</v>
      </c>
      <c r="BY52">
        <f>0.962*(0.943*(0.9442 - 0.0007*$B52 - dis_BMI*($C52-21.75)))*AU52</f>
        <v>2.138715439862853E-4</v>
      </c>
      <c r="BZ52">
        <f>0.962*(0.955*(0.9442 - 0.0007*$B52 - dis_BMI*($C52-21.75)) - 0.15*0.5)*AV52</f>
        <v>2.5919855652712504E-4</v>
      </c>
      <c r="CA52">
        <f>0.962*(0.955*(0.9442 - 0.0007*$B52 - dis_BMI*($C52-21.75)))*AW52</f>
        <v>7.1924613207227531E-4</v>
      </c>
      <c r="CB52">
        <f>0.962*(0.955*0.943*(0.9442 - 0.0007*$B52 - dis_BMI*($C52-21.75)) - 0.19*0.5)*AX52</f>
        <v>1.7675413566443305E-5</v>
      </c>
      <c r="CC52">
        <f>0.962*(0.955*0.943*(0.9442 - 0.0007*$B52 - dis_BMI*($C52-21.75)) - 0.15*0.5)*AY52</f>
        <v>8.8056028067384681E-6</v>
      </c>
      <c r="CD52">
        <f>0.962*(0.955*0.943*(0.9442 - 0.0007*$B52 - dis_BMI*($C52-21.75)))*AZ52</f>
        <v>-1.0288659577297157E-5</v>
      </c>
      <c r="CE52">
        <f>0.962*(0.93*(0.9442 - 0.0007*$B52 - dis_BMI*($C52-21.75)))*BA52</f>
        <v>2.2689359549491443E-4</v>
      </c>
      <c r="CF52">
        <f>0.962*(0.93*(0.9442 - 0.0007*$B52 - dis_BMI*($C52-21.75)))*BB52</f>
        <v>1.9671313252651499E-3</v>
      </c>
      <c r="CG52">
        <f>0.962*(0.93*0.943*(0.9442 - 0.0007*$B52 - dis_BMI*($C52-21.75)))*BC52</f>
        <v>6.433806147121947E-6</v>
      </c>
      <c r="CH52">
        <f>0.962*(0.93*0.943*(0.9442 - 0.0007*$B52 - dis_BMI*($C52-21.75))-0.19*0.5)*BD52</f>
        <v>3.8088710640695654E-5</v>
      </c>
      <c r="CI52">
        <f>0.962*(0.93*0.943*(0.9442 - 0.0007*$B52 - dis_BMI*($C52-21.75)))*BE52</f>
        <v>-1.7596808667722858E-5</v>
      </c>
      <c r="CJ52">
        <f t="shared" si="51"/>
        <v>0</v>
      </c>
      <c r="CK52">
        <f t="shared" si="52"/>
        <v>2.7991674367030778E-2</v>
      </c>
      <c r="CL52">
        <f>CK52/(1+r_)^A52</f>
        <v>6.576652071237774E-3</v>
      </c>
      <c r="CM52">
        <f>AD52*c_BN_2</f>
        <v>9.1004638955889181</v>
      </c>
      <c r="CN52">
        <f>AE52*(c_Other+c_BN_2)</f>
        <v>15.802616272115499</v>
      </c>
      <c r="CO52">
        <f>AF52*(c_Stroke1+c_Stroke2+c_BN_2)</f>
        <v>1.9772719936753238</v>
      </c>
      <c r="CP52">
        <f>AG52*(c_Stroke2 + c_BN_2)</f>
        <v>0.51404048665634461</v>
      </c>
      <c r="CQ52">
        <f>AH52*(c_MI1+c_MI2 + c_BN_2)</f>
        <v>1.4934578001269452</v>
      </c>
      <c r="CR52">
        <f>AI52*(c_MI2+c_BN_2)</f>
        <v>0.65819055518206282</v>
      </c>
      <c r="CS52">
        <f>AJ52*(c_Stroke1+c_Stroke2+c_MI2+c_BN_2)</f>
        <v>6.5737823430437284E-2</v>
      </c>
      <c r="CT52">
        <f>AK52*(c_Stroke2+c_MI1+c_MI2+c_BN_2)</f>
        <v>4.7915579083470355E-2</v>
      </c>
      <c r="CU52">
        <f>AL52*(c_Stroke2+c_MI2+c_BN_2)</f>
        <v>-8.9368429810022382E-3</v>
      </c>
      <c r="CV52">
        <f>AM52*(c_HF1+c_BN_2)</f>
        <v>1.1100589910878786</v>
      </c>
      <c r="CW52">
        <f>AN52*(c_HF2+c_BN_2)</f>
        <v>6.2927401736960515</v>
      </c>
      <c r="CX52">
        <f>AO52*(c_Stroke2+c_HF1+c_BN_2)</f>
        <v>3.0480880771916543E-2</v>
      </c>
      <c r="CY52">
        <f>AP52*(c_Stroke1+c_Stroke2+c_HF2+c_BN_2)</f>
        <v>0.20848419226658324</v>
      </c>
      <c r="CZ52">
        <f>AQ52*(c_Stroke2+c_HF2+c_BN_2)</f>
        <v>-2.900815816942005E-2</v>
      </c>
      <c r="DA52">
        <f>AR52*(c_DM+c_BN_2)</f>
        <v>248.49229324172359</v>
      </c>
      <c r="DB52">
        <f>AS52*(c_Other+c_DM+c_BN_2)</f>
        <v>166.17836015490712</v>
      </c>
      <c r="DC52">
        <f>AT52*(c_Stroke1+c_Stroke2+c_DM+c_BN_2)</f>
        <v>21.304061198138548</v>
      </c>
      <c r="DD52">
        <f>AU52*(c_Stroke2+c_DM+c_BN_2)</f>
        <v>5.6828734064442381</v>
      </c>
      <c r="DE52">
        <f>AV52*(c_MI1+c_MI2+c_DM+c_BN_2)</f>
        <v>16.008981569266268</v>
      </c>
      <c r="DF52">
        <f>AW52*(c_MI2+c_DM+c_BN_2)</f>
        <v>15.682372906965892</v>
      </c>
      <c r="DG52">
        <f>AX52*(c_Stroke1+c_Stroke2+c_MI2+c_DM+c_BN_2)</f>
        <v>1.138308001205435</v>
      </c>
      <c r="DH52">
        <f>AY52*(c_Stroke2+c_MI1+c_MI2+c_DM+c_BN_2)</f>
        <v>0.66881329197713135</v>
      </c>
      <c r="DI52">
        <f>AZ52*(c_Stroke2+c_MI2+c_DM+c_BN_2)</f>
        <v>-0.33083646878164491</v>
      </c>
      <c r="DJ52">
        <f>BA52*(c_HF1+c_DM+c_BN_2)</f>
        <v>12.382055428466685</v>
      </c>
      <c r="DK52">
        <f>BB52*(c_HF2+c_DM+c_BN_2)</f>
        <v>77.104359936043863</v>
      </c>
      <c r="DL52">
        <f>BC52*(c_Stroke2+c_HF1+c_DM+c_BN_2)</f>
        <v>0.43201174529735759</v>
      </c>
      <c r="DM52">
        <f>BD52*(c_Stroke1+c_Stroke2+c_HF2+c_DM+c_BN_2)</f>
        <v>3.3094070645053053</v>
      </c>
      <c r="DN52">
        <f>BE52*(c_Stroke2+c_HF2+c_DM+c_BN_2)</f>
        <v>-0.89465736235028848</v>
      </c>
      <c r="DO52">
        <f t="shared" si="53"/>
        <v>0</v>
      </c>
      <c r="DP52">
        <f t="shared" si="54"/>
        <v>604.42191775634058</v>
      </c>
      <c r="DQ52">
        <f>DP52/(1+r_)^A52</f>
        <v>142.00910617893135</v>
      </c>
    </row>
    <row r="53" spans="1:121" x14ac:dyDescent="0.3">
      <c r="A53">
        <v>50</v>
      </c>
      <c r="B53">
        <v>95</v>
      </c>
      <c r="C53">
        <f t="shared" si="39"/>
        <v>36.251999999999995</v>
      </c>
      <c r="D53">
        <f t="shared" si="1"/>
        <v>125</v>
      </c>
      <c r="E53">
        <f t="shared" si="41"/>
        <v>5.7</v>
      </c>
      <c r="F53">
        <v>0.21340000000000001</v>
      </c>
      <c r="G53">
        <v>0.25403999999999999</v>
      </c>
      <c r="H53">
        <f t="shared" si="42"/>
        <v>0.221528</v>
      </c>
      <c r="I53">
        <f t="shared" si="43"/>
        <v>4.7655426853004217E-2</v>
      </c>
      <c r="J53">
        <f t="shared" si="21"/>
        <v>0.46893206137432331</v>
      </c>
      <c r="K53">
        <f t="shared" si="22"/>
        <v>0.58783125243919288</v>
      </c>
      <c r="L53">
        <f t="shared" si="23"/>
        <v>0.25888369704139946</v>
      </c>
      <c r="M53">
        <f t="shared" si="24"/>
        <v>0.34267980195342918</v>
      </c>
      <c r="N53">
        <f t="shared" si="25"/>
        <v>0.84374437615319864</v>
      </c>
      <c r="O53">
        <f t="shared" si="26"/>
        <v>0.9274063364580255</v>
      </c>
      <c r="P53">
        <f t="shared" si="27"/>
        <v>0.59871238516495073</v>
      </c>
      <c r="Q53">
        <f t="shared" si="28"/>
        <v>0.7247753194898372</v>
      </c>
      <c r="R53">
        <f>IF(C53&lt;25, HT_f_low, IF(C53&lt;30, HT_f_mod, HT_f_high))</f>
        <v>0.42</v>
      </c>
      <c r="S53">
        <f>IF(C53&lt;25, HT_m_low, IF(C53&lt;30, HT_m_mod, HT_m_high))</f>
        <v>0.43099999999999999</v>
      </c>
      <c r="T53">
        <f>PREV_FEMALE*PREV_SMOKE*(1-$R53)*(1-EXP(-J53/10))+PREV_FEMALE*PREV_SMOKE*$R53*(1-EXP(-K53/10))+PREV_FEMALE*(1-PREV_SMOKE)*(1-$R53)*(1-EXP(-L53/10))+PREV_FEMALE*(1-PREV_SMOKE)*$R53*(1-EXP(-M53/10))+(1-PREV_FEMALE)*PREV_SMOKE*(1-$S53)*(1-EXP(-N53/10))+(1-PREV_FEMALE)*PREV_SMOKE*$S53*(1-EXP(-O53/10))+(1-PREV_FEMALE)*(1-PREV_SMOKE)*(1-$S53)*(1-EXP(-P53/10))+(1-PREV_FEMALE)*(1-PREV_SMOKE)*$S53*(1-EXP(-Q53/10))</f>
        <v>3.8499927050222316E-2</v>
      </c>
      <c r="U53">
        <f t="shared" si="29"/>
        <v>0.74774380223133163</v>
      </c>
      <c r="V53">
        <f t="shared" si="30"/>
        <v>0.8546936291931666</v>
      </c>
      <c r="W53">
        <f t="shared" si="31"/>
        <v>0.479006121357898</v>
      </c>
      <c r="X53">
        <f t="shared" si="32"/>
        <v>0.59873939474575222</v>
      </c>
      <c r="Y53">
        <f t="shared" si="33"/>
        <v>0.95751963809852592</v>
      </c>
      <c r="Z53">
        <f t="shared" si="34"/>
        <v>0.98847488852259635</v>
      </c>
      <c r="AA53">
        <f t="shared" si="35"/>
        <v>0.78854430487954208</v>
      </c>
      <c r="AB53">
        <f t="shared" si="36"/>
        <v>0.88868787638412605</v>
      </c>
      <c r="AC53">
        <f>PREV_FEMALE*PREV_SMOKE*(1-$R53)*(1-EXP(-U53/10))+PREV_FEMALE*PREV_SMOKE*$R53*(1-EXP(-V53/10))+PREV_FEMALE*(1-PREV_SMOKE)*(1-$R53)*(1-EXP(-W53/10))+PREV_FEMALE*(1-PREV_SMOKE)*$R53*(1-EXP(-X53/10))+(1-PREV_FEMALE)*PREV_SMOKE*(1-$S53)*(1-EXP(-Y53/10))+(1-PREV_FEMALE)*PREV_SMOKE*$S53*(1-EXP(-Z53/10))+(1-PREV_FEMALE)*(1-PREV_SMOKE)*(1-$S53)*(1-EXP(-AA53/10))+(1-PREV_FEMALE)*(1-PREV_SMOKE)*$S53*(1-EXP(-AB53/10))</f>
        <v>5.9971939315125102E-2</v>
      </c>
      <c r="AD53">
        <f t="shared" si="44"/>
        <v>3.1446371487601241E-3</v>
      </c>
      <c r="AE53">
        <f t="shared" si="45"/>
        <v>6.3633136077874614E-4</v>
      </c>
      <c r="AF53">
        <f t="shared" si="46"/>
        <v>5.4661790772972782E-5</v>
      </c>
      <c r="AG53">
        <f t="shared" si="47"/>
        <v>3.0983013794986798E-5</v>
      </c>
      <c r="AH53">
        <f>AD52*T52*p_MI*p_MI_rec_old*(1-I52)+AE52*T52*p_MI*p_MI_rec_old*(1-I52) + AH52*(PREV_FEMALE*p_recur_MI_F + (1-PREV_FEMALE)*p_recur_MI_M)*p_MI_rec_old*(1-I52) + AI52*(PREV_FEMALE*p_recur_MI_F + (1-PREV_FEMALE)*p_recur_MI_M)*p_MI_rec_old*(1-I52)</f>
        <v>3.5362561444212679E-5</v>
      </c>
      <c r="AI53">
        <f>AH52*(1-(PREV_FEMALE*p_recur_MI_F + (1-PREV_FEMALE)*p_recur_MI_M) - T52*p_Stroke - p_toHF_old - H52*rr_MI)*(1-I52) + AI52*(1-(PREV_FEMALE*p_recur_MI_F + (1-PREV_FEMALE)*p_recur_MI_M) - T52*p_Stroke - p_toHF_old - H52*rr_MI)*(1-I52)</f>
        <v>8.5851083891469538E-5</v>
      </c>
      <c r="AJ53">
        <f t="shared" si="48"/>
        <v>1.6144237093196246E-6</v>
      </c>
      <c r="AK53">
        <f>AF52*T52*p_MI*p_MI_rec_old*(1-I52) + AG52*T52*p_MI*p_MI_rec_old*(1-I52) + AJ52*(PREV_FEMALE*p_recur_MI_F + (1-PREV_FEMALE)*p_recur_MI_M)*p_MI_rec_old*(1-I52) + AK52*(PREV_FEMALE*p_recur_MI_F + (1-PREV_FEMALE)*p_recur_MI_M)*p_MI_rec_old*(1-I52) + AL52*(PREV_FEMALE*p_recur_MI_F + (1-PREV_FEMALE)*p_recur_MI_M)*p_MI_rec_old*(1-I52)</f>
        <v>8.2879710308574714E-7</v>
      </c>
      <c r="AL53">
        <f>AJ52*(1-p_recur_Stroke-(PREV_FEMALE*p_recur_MI_F + (1-PREV_FEMALE)*p_recur_MI_M) - p_toHF_old - H52*rr_MI*rr_Stroke)*(1-I52) + AK52*(1-p_recur_Stroke-(PREV_FEMALE*p_recur_MI_F + (1-PREV_FEMALE)*p_recur_MI_M) - p_toHF_old - H52*rr_MI*rr_Stroke)*(1-I52) + AL52*(1-p_recur_Stroke-(PREV_FEMALE*p_recur_MI_F + (1-PREV_FEMALE)*p_recur_MI_M) - p_toHF_old - H52*rr_MI*rr_Stroke)*(1-I52)</f>
        <v>-7.2242192472630648E-7</v>
      </c>
      <c r="AM53">
        <f>AD52*T52*p_MI*p_MI_HF_old*(1-I52) + AE52*T52*p_MI*p_MI_HF_old*(1-I52) + AH52*p_toHF_old*(1-I52) + AH52*(PREV_FEMALE*p_recur_MI_F + (1-PREV_FEMALE)*p_recur_MI_M)*p_MI_HF_old*(1-I52) + AI52*p_toHF_old*(1-I52) + AI52*(PREV_FEMALE*p_recur_MI_F + (1-PREV_FEMALE)*p_recur_MI_M)*p_MI_HF_old*(1-I52)</f>
        <v>2.7798297175058606E-5</v>
      </c>
      <c r="AN53">
        <f t="shared" si="49"/>
        <v>2.337109781810841E-4</v>
      </c>
      <c r="AO53">
        <f>AF52*T52*p_MI*p_MI_HF_old*(1-I52) + AG52*T52*p_MI*p_MI_HF_old*(1-I52) + AJ52*(PREV_FEMALE*p_recur_MI_F + (1-PREV_FEMALE)*p_recur_MI_M)*p_MI_HF_old*(1-I52) + AJ52*p_toHF_old*(1-I52) + AK52*(PREV_FEMALE*p_recur_MI_F + (1-PREV_FEMALE)*p_recur_MI_M)*p_MI_HF_old*(1-I52) + AK52*p_toHF_old*(1-I52) + AL52*(PREV_FEMALE*p_recur_MI_F + (1-PREV_FEMALE)*p_recur_MI_M)*p_MI_HF_old*(1-I52) + AL52*p_toHF_old*(1-I52)</f>
        <v>5.5178741975010893E-7</v>
      </c>
      <c r="AP53">
        <f>AM52*T52*p_Stroke*p_Stroke_rec*(1-I52) + AN52*T52*p_Stroke*p_Stroke_rec*(1-I52) + AO52*(p_recur_Stroke*p_Stroke_rec)*(1-I52) + AP52*(p_recur_Stroke*p_Stroke_rec)*(1-I52) + AQ52*(p_recur_Stroke*p_Stroke_rec)*(1-I52)</f>
        <v>3.4837065585251884E-6</v>
      </c>
      <c r="AQ53">
        <f>AO52*(1-p_recur_Stroke-H52*rr_Stroke*rr_HF)*(1-I52) + AP52*(1-p_recur_Stroke-H52*rr_Stroke*rr_HF)*(1-I52) + AQ52*(1-p_recur_Stroke-H52*rr_Stroke*rr_HF)*(1-I52)</f>
        <v>-1.2097286439913255E-6</v>
      </c>
      <c r="AR53">
        <f>AR52*(1-AC52-H52*rr_DM) + AD52*(1-T52-H52)*I52</f>
        <v>1.3179101473683995E-2</v>
      </c>
      <c r="AS53">
        <f>AR52*AC52*p_Other + AD52*T52*p_Other*I52 + AE52*(1-T52*p_Stroke-T52*p_MI-H52*rr_Other)*I52 + AS52*(1-AC52*p_Stroke-AC52*p_MI-H52*rr_Other*rr_DM)</f>
        <v>3.8075448678747174E-3</v>
      </c>
      <c r="AT53">
        <f>AR52*AC52*p_Stroke*p_Stroke_rec + AD52*T52*p_Stroke*p_Stroke_rec*I52 + AE52*T52*p_Stroke*p_Stroke_rec*I52 + AF52*p_recur_Stroke*p_Stroke_rec*I52 + AG52*p_recur_Stroke*p_Stroke_rec*I52 + AS52*AC52*p_Stroke*p_Stroke_rec + AT52*p_recur_Stroke*p_Stroke_rec + AU52*p_recur_Stroke*p_Stroke_rec</f>
        <v>4.014276557596401E-4</v>
      </c>
      <c r="AU53">
        <f>AF52*(1-p_recur_Stroke-T52*p_MI-H52*rr_Stroke)*I52 + AG52*(1-p_recur_Stroke-T52*p_MI-H52*rr_Stroke)*I52 + AT52*(1-p_recur_Stroke-AC52*p_MI-H52*rr_Stroke*rr_DM) + AU52*(1-p_recur_Stroke-AC52*p_MI-H52*rr_Stroke*rr_DM)</f>
        <v>1.206734538632236E-4</v>
      </c>
      <c r="AV53">
        <f>AR52*AC52*p_MI*p_MI_rec_old + AD52*T52*p_MI*p_MI_rec_old*I52 + AE52*T52*p_MI*p_MI_rec_old*I52 +AH52*(PREV_FEMALE*p_recur_MI_F + (1-PREV_FEMALE)*p_recur_MI_M)*p_MI_rec_old*I52 + AI52*(PREV_FEMALE*p_recur_MI_F + (1-PREV_FEMALE)*p_recur_MI_M)*p_MI_rec_old*I52 + AS52*AC52*p_MI*p_MI_rec_old + AV52*(PREV_FEMALE*p_recur_MI_F + (1-PREV_FEMALE)*p_recur_MI_M)*p_MI_rec_old + AW52*(PREV_FEMALE*p_recur_MI_F + (1-PREV_FEMALE)*p_recur_MI_M)*p_MI_rec_old</f>
        <v>2.7175646158860128E-4</v>
      </c>
      <c r="AW53">
        <f>AH52*(1-(PREV_FEMALE*p_recur_MI_F + (1-PREV_FEMALE)*p_recur_MI_M) - T52*p_Stroke - p_toHF_old - H52*rr_MI)*I52 + AI52*(1-(PREV_FEMALE*p_recur_MI_F + (1-PREV_FEMALE)*p_recur_MI_M) - T52*p_Stroke - p_toHF_old - H52*rr_MI)*I52 + AV52*(1-(PREV_FEMALE*p_recur_MI_F + (1-PREV_FEMALE)*p_recur_MI_M) - AC52*p_Stroke - p_toHF_old - H52*rr_MI*rr_DM) + AW52*(1-(PREV_FEMALE*p_recur_MI_F + (1-PREV_FEMALE)*p_recur_MI_M) - AC52*p_Stroke - p_toHF_old - H52*rr_MI*rr_DM)</f>
        <v>6.171132561907602E-4</v>
      </c>
      <c r="AX53">
        <f>AH52*T52*p_Stroke*p_Stroke_rec*I52 + AI52*T52*p_Stroke*p_Stroke_rec*I52 + AJ52*p_recur_Stroke*p_Stroke_rec*I52 + AK52*p_recur_Stroke*p_Stroke_rec*I52 + AL52*p_recur_Stroke*p_Stroke_rec*I52 + AV52*AC52*p_Stroke*p_Stroke_rec + AW52*AC52*p_Stroke*p_Stroke_rec + AX52*p_recur_Stroke*p_Stroke_rec + AY52*p_recur_Stroke*p_Stroke_rec + AZ52*p_recur_Stroke*p_Stroke_rec</f>
        <v>1.957688799472871E-5</v>
      </c>
      <c r="AY53">
        <f>AF52*T52*p_MI*p_MI_rec_old*I52 + AG52*T52*p_MI*p_MI_rec_old*I52 + AJ52*(PREV_FEMALE*p_recur_MI_F+(1-PREV_FEMALE)*p_recur_MI_M)*p_MI_rec_old*I52 + AK52*(PREV_FEMALE*p_recur_MI_F+(1-PREV_FEMALE)*p_recur_MI_M)*p_MI_rec_old*I52 + AL52*(PREV_FEMALE*p_recur_MI_F+(1-PREV_FEMALE)*p_recur_MI_M)*p_MI_rec_old*I52 + AT52*AC52*p_MI*p_MI_rec_old + AU52*AC52*p_MI*p_MI_rec_old + AX52*(PREV_FEMALE*p_recur_MI_F+(1-PREV_FEMALE)*p_recur_MI_M)*p_MI_rec_old + AY52*(PREV_FEMALE*p_recur_MI_F+(1-PREV_FEMALE)*p_recur_MI_M)*p_MI_rec_old + AZ52*(PREV_FEMALE*p_recur_MI_F+(1-PREV_FEMALE)*p_recur_MI_M)*p_MI_rec_old</f>
        <v>8.6050162347736147E-6</v>
      </c>
      <c r="AZ53">
        <f>AJ52*(1-p_recur_Stroke-(PREV_FEMALE*p_recur_MI_F + (1-PREV_FEMALE)*p_recur_MI_M) - p_toHF_old - H52*rr_MI*rr_Stroke)*I52 + AK52*(1-p_recur_Stroke-(PREV_FEMALE*p_recur_MI_F + (1-PREV_FEMALE)*p_recur_MI_M) - p_toHF_old - H52*rr_MI*rr_Stroke)*I52 + AL52*(1-p_recur_Stroke-(PREV_FEMALE*p_recur_MI_F + (1-PREV_FEMALE)*p_recur_MI_M) - p_toHF_old - H52*rr_MI*rr_Stroke)*I52 + AX52*(1-p_recur_Stroke-(PREV_FEMALE*p_recur_MI_F + (1-PREV_FEMALE)*p_recur_MI_M) - p_toHF_old - H52*rr_MI*rr_Stroke*rr_DM) + AY52*(1-p_recur_Stroke-(PREV_FEMALE*p_recur_MI_F + (1-PREV_FEMALE)*p_recur_MI_M) - p_toHF_old - H52*rr_MI*rr_Stroke*rr_DM) + AZ52*(1-p_recur_Stroke-(PREV_FEMALE*p_recur_MI_F + (1-PREV_FEMALE)*p_recur_MI_M) - p_toHF_old - H52*rr_MI*rr_Stroke*rr_DM)</f>
        <v>-1.1663269711314182E-5</v>
      </c>
      <c r="BA53">
        <f>AR52*AC52*p_MI*p_MI_HF_old + AD52*T52*p_MI*p_MI_HF_old*I52 + AE52*T52*p_MI*p_MI_HF_old*I52 + AH52*p_toHF_old*I52 + AH52*(PREV_FEMALE*p_recur_MI_F + (1-PREV_FEMALE)*p_recur_MI_M)*p_MI_HF_old*I52 + AI52*p_toHF_old*I52 + AI52*(PREV_FEMALE*p_recur_MI_F + (1-PREV_FEMALE)*p_recur_MI_M)*p_MI_HF_old*I52 + AS52*AC52*p_MI*p_MI_HF_old + AV52*(PREV_FEMALE*p_recur_MI_F + (1-PREV_FEMALE)*p_recur_MI_M)*p_MI_HF_old + AV52*p_toHF_old + AW52*(PREV_FEMALE*p_recur_MI_F + (1-PREV_FEMALE)*p_recur_MI_M)*p_MI_HF_old + AW52*p_toHF_old</f>
        <v>2.1779065773172573E-4</v>
      </c>
      <c r="BB53">
        <f>AM52*(1-T52*p_Stroke - H52*rr_HF)*I52 + AN52*(1-T52*p_Stroke - H52*rr_HF)*I52 + BA52*(1-AC52*p_Stroke - H52*rr_HF*rr_DM) + BB52*(1-AC52*p_Stroke - H52*rr_HF*rr_DM)</f>
        <v>1.6750851739439823E-3</v>
      </c>
      <c r="BC53">
        <f>AF52*T52*p_MI*p_MI_HF_old*I52 + AG52*T52*p_MI*p_MI_HF_old*I52 + AJ52*(PREV_FEMALE*p_recur_MI_F + (1-PREV_FEMALE)*p_recur_MI_M)*p_MI_HF_old*I52 + AJ52*p_toHF_old*I52 + AK52*(PREV_FEMALE*p_recur_MI_F + (1-PREV_FEMALE)*p_recur_MI_M)*p_MI_HF_old*I52 + AK52*p_toHF_old*I52 + AL52*(PREV_FEMALE*p_recur_MI_F + (1-PREV_FEMALE)*p_recur_MI_M)*p_MI_HF_old*I52 + AL52*p_toHF_old*I52 + AT52*AC52*p_MI*p_MI_HF_old + AU52*AC52*p_MI*p_MI_HF_old + AX52*(PREV_FEMALE*p_recur_MI_F + (1-PREV_FEMALE)*p_recur_MI_M)*p_MI_HF_old + AX52*p_toHF_old + AY52*(PREV_FEMALE*p_recur_MI_F + (1-PREV_FEMALE)*p_recur_MI_M)*p_MI_HF_old + AY52*p_toHF_old + AZ52*(PREV_FEMALE*p_recur_MI_F + (1-PREV_FEMALE)*p_recur_MI_M)*p_MI_HF_old + AZ52*p_toHF_old</f>
        <v>5.7429384608560656E-6</v>
      </c>
      <c r="BD53">
        <f>AM52*T52*p_Stroke*p_Stroke_rec*I52 + AN52*T52*p_Stroke*p_Stroke_rec*I52 + AO52*(p_recur_Stroke*p_Stroke_rec)*I52 + AP52*(p_recur_Stroke*p_Stroke_rec)*I52 + AQ52*(p_recur_Stroke*p_Stroke_rec)*I52 + BA52*AC52*p_Stroke*p_Stroke_rec + BB52*AC52*p_Stroke*p_Stroke_rec + BC52*(p_recur_Stroke*p_Stroke_rec) + BD52*(p_recur_Stroke*p_Stroke_rec) + BE52*(p_recur_Stroke*p_Stroke_rec)</f>
        <v>4.2212494912534005E-5</v>
      </c>
      <c r="BE53">
        <f>AO52*(1-p_recur_Stroke - H52*rr_Stroke*rr_HF)*I52 + AP52*(1-p_recur_Stroke-H52*rr_Stroke*rr_HF)*I52 + AQ52*(1-p_recur_Stroke-H52*rr_Stroke*rr_HF)*I52 + BC52*(1-p_recur_Stroke - H52*rr_Stroke*rr_HF*rr_DM) + BD52*(1-p_recur_Stroke-H52*rr_Stroke*rr_HF*rr_DM) + BE52*(1-p_recur_Stroke-H52*rr_Stroke*rr_HF*rr_DM)</f>
        <v>-2.0752505288070656E-5</v>
      </c>
      <c r="BF53">
        <f>AD52*H52 + AE52*H52*rr_Other + AF52*H52*rr_Stroke + AG52*H52*rr_Stroke + AH52*H52*rr_MI + AI52*H52*rr_MI + AJ52*H52*rr_Stroke*rr_MI + AK52*H52*rr_Stroke*rr_MI + AL52*H52*rr_Stroke*rr_MI + AM52*H52*rr_HF + AN52*H52*rr_HF + AO52*H52*rr_Stroke*rr_HF + AP52*H52*rr_Stroke*rr_HF + AR52*H52*rr_DM + AS52*H52*rr_DM*rr_Other + AT52*H52*rr_DM*rr_Stroke + AU52*H52*rr_DM*rr_Stroke + AV52*H52*rr_DM*rr_MI + AW52*H52*rr_DM*rr_MI + AX52*H52*rr_DM*rr_Stroke*rr_MI + AY52*H52*rr_DM*rr_Stroke*rr_MI + AZ52*H52*rr_DM*rr_Stroke*rr_MI + BA52*H52*rr_DM*rr_HF + BB52*H52*rr_DM*rr_HF + BC52*H52*rr_DM*rr_Stroke*rr_HF + BD52*H52*rr_DM*rr_Stroke*rr_HF + AQ52*H52*rr_Stroke*rr_HF + BE52*H52*rr_DM*rr_Stroke*rr_HF
+ AD52*T52*p_MI*p_MI_mort + AD52*T52*p_Stroke*p_Stroke_mort + AE52*T52*p_MI*p_MI_mort + AE52*T52*p_Stroke*p_Stroke_mort + AF52*T52*p_MI*p_MI_mort + AF52*p_recur_Stroke*p_Stroke_mort + AG52*T52*p_MI*p_MI_mort + AG52*p_recur_Stroke*p_Stroke_mort + AH52*(PREV_FEMALE*p_recur_MI_F + (1-PREV_FEMALE)*p_recur_MI_M)*p_MI_mort + AH52*T52*p_Stroke*p_Stroke_mort + AI52*(PREV_FEMALE*p_recur_MI_F + (1-PREV_FEMALE)*p_recur_MI_M)*p_MI_mort + AI52*T52*p_Stroke*p_Stroke_mort + AJ52*(PREV_FEMALE*p_recur_MI_F + (1-PREV_FEMALE)*p_recur_MI_M)*p_MI_mort + AJ52*p_recur_Stroke*p_Stroke_mort + AK52*(PREV_FEMALE*p_recur_MI_F + (1-PREV_FEMALE)*p_recur_MI_M)*p_MI_mort + AK52*p_recur_Stroke*p_Stroke_mort + AL52*(PREV_FEMALE*p_recur_MI_F + (1-PREV_FEMALE)*p_recur_MI_M)*p_MI_mort + AL52*p_recur_Stroke*p_Stroke_mort + AM52*T52*p_Stroke*p_Stroke_mort + AN52*T52*p_Stroke*p_Stroke_mort + AO52*p_recur_Stroke*p_Stroke_mort + AP52*p_recur_Stroke*p_Stroke_mort + AQ52*p_recur_Stroke*p_Stroke_mort
+ AR52*AC52*p_MI*p_MI_mort + AR52*AC52*p_Stroke*p_Stroke_mort + AS52*AC52*p_MI*p_MI_mort + AS52*AC52*p_Stroke*p_Stroke_mort + AT52*AC52*p_MI*p_MI_mort + AT52*p_recur_Stroke*p_Stroke_mort + AU52*AC52*p_MI*p_MI_mort + AU52*p_recur_Stroke*p_Stroke_mort + AV52*(PREV_FEMALE*p_recur_MI_F + (1-PREV_FEMALE)*p_recur_MI_M)*p_MI_mort + AV52*AC52*p_Stroke*p_Stroke_mort + AW52*(PREV_FEMALE*p_recur_MI_F + (1-PREV_FEMALE)*p_recur_MI_M)*p_MI_mort + AW52*AC52*p_Stroke*p_Stroke_mort + AX52*(PREV_FEMALE*p_recur_MI_F + (1-PREV_FEMALE)*p_recur_MI_M)*p_MI_mort + AX52*p_recur_Stroke*p_Stroke_mort + AY52*(PREV_FEMALE*p_recur_MI_F + (1-PREV_FEMALE)*p_recur_MI_M)*p_MI_mort + AY52*p_recur_Stroke*p_Stroke_mort + AZ52*(PREV_FEMALE*p_recur_MI_F + (1-PREV_FEMALE)*p_recur_MI_M)*p_MI_mort + AZ52*p_recur_Stroke*p_Stroke_mort + BA52*AC52*p_Stroke*p_Stroke_mort + BB52*AC52*p_Stroke*p_Stroke_mort + BC52*p_recur_Stroke*p_Stroke_mort + BD52*p_recur_Stroke*p_Stroke_mort + BE52*p_recur_Stroke*p_Stroke_mort
+BF52</f>
        <v>0.92241190263773942</v>
      </c>
      <c r="BG53">
        <f t="shared" si="50"/>
        <v>0.94700000000000017</v>
      </c>
      <c r="BH53">
        <f>(0.9442 - 0.0007*$B53 - dis_BMI*($C53-21.75))*AD53</f>
        <v>2.6095563832934073E-3</v>
      </c>
      <c r="BI53">
        <f>0.959*(0.9442 - 0.0007*$B53 - dis_BMI*($C53-21.75))*AE53</f>
        <v>5.0640510937709562E-4</v>
      </c>
      <c r="BJ53">
        <f>(0.943*(0.9442 - 0.0007*$B53 - dis_BMI*($C53-21.75)) - 0.19*0.5)*AF53</f>
        <v>3.7582294782307404E-5</v>
      </c>
      <c r="BK53">
        <f>(0.943*(0.9442 - 0.0007*$B53 - dis_BMI*($C53-21.75)))*AG53</f>
        <v>2.4245519687815658E-5</v>
      </c>
      <c r="BL53">
        <f>(0.955*(0.9442 - 0.0007*$B53 - dis_BMI*($C53-21.75)) - 0.15*0.5)*AH53</f>
        <v>2.5372653643287564E-5</v>
      </c>
      <c r="BM53">
        <f>(0.955*(0.9442 - 0.0007*$B53 - dis_BMI*($C53-21.75)))*AI53</f>
        <v>6.8037022359424112E-5</v>
      </c>
      <c r="BN53">
        <f>(0.955*0.943*(0.9442 - 0.0007*$B53 - dis_BMI*($C53-21.75)) - 0.19*0.5)*AJ53</f>
        <v>1.0531336627546937E-6</v>
      </c>
      <c r="BO53">
        <f>(0.955*0.943*(0.9442 - 0.0007*$B53 - dis_BMI*($C53-21.75)) - 0.15*0.5)*AK53</f>
        <v>5.5722343368026637E-7</v>
      </c>
      <c r="BP53">
        <f>(0.955*0.943*(0.9442 - 0.0007*$B53 - dis_BMI*($C53-21.75)))*AL53</f>
        <v>-5.3988607546691093E-7</v>
      </c>
      <c r="BQ53">
        <f>(0.93*(0.9442 - 0.0007*$B53 - dis_BMI*($C53-21.75)))*AM53</f>
        <v>2.1453457101023759E-5</v>
      </c>
      <c r="BR53">
        <f>(0.93*(0.9442 - 0.0007*$B53 - dis_BMI*($C53-21.75)))*AN53</f>
        <v>1.803674668585385E-4</v>
      </c>
      <c r="BS53">
        <f>(0.93*0.943*(0.9442 - 0.0007*$B53 - dis_BMI*($C53-21.75)))*AO53</f>
        <v>4.0157122024780584E-7</v>
      </c>
      <c r="BT53">
        <f>(0.93*0.943*(0.9442 - 0.0007*$B53 - dis_BMI*($C53-21.75))-0.19*0.5)*AP53</f>
        <v>2.20436536265915E-6</v>
      </c>
      <c r="BU53">
        <f>(0.93*0.943*(0.9442 - 0.0007*$B53 - dis_BMI*($C53-21.75)))*AQ53</f>
        <v>-8.8039739643996146E-7</v>
      </c>
      <c r="BV53">
        <f>0.962*(0.9442 - 0.0007*$B53 - dis_BMI*($C53-21.75))*AR53</f>
        <v>1.0520999941583993E-2</v>
      </c>
      <c r="BW53">
        <f>0.962*0.959*(0.9442 - 0.0007*$B53 - dis_BMI*($C53-21.75))*AS53</f>
        <v>2.9149751260787245E-3</v>
      </c>
      <c r="BX53">
        <f>0.962*(0.943*(0.9442 - 0.0007*$B53 - dis_BMI*($C53-21.75)) - 0.19*0.5)*AT53</f>
        <v>2.6551056108079993E-4</v>
      </c>
      <c r="BY53">
        <f>0.962*(0.943*(0.9442 - 0.0007*$B53 - dis_BMI*($C53-21.75)))*AU53</f>
        <v>9.0843666055440183E-5</v>
      </c>
      <c r="BZ53">
        <f>0.962*(0.955*(0.9442 - 0.0007*$B53 - dis_BMI*($C53-21.75)) - 0.15*0.5)*AV53</f>
        <v>1.8757593812369127E-4</v>
      </c>
      <c r="CA53">
        <f>0.962*(0.955*(0.9442 - 0.0007*$B53 - dis_BMI*($C53-21.75)))*AW53</f>
        <v>4.7047815518833243E-4</v>
      </c>
      <c r="CB53">
        <f>0.962*(0.955*0.943*(0.9442 - 0.0007*$B53 - dis_BMI*($C53-21.75)) - 0.19*0.5)*AX53</f>
        <v>1.2285269730543666E-5</v>
      </c>
      <c r="CC53">
        <f>0.962*(0.955*0.943*(0.9442 - 0.0007*$B53 - dis_BMI*($C53-21.75)) - 0.15*0.5)*AY53</f>
        <v>5.5655477579481719E-6</v>
      </c>
      <c r="CD53">
        <f>0.962*(0.955*0.943*(0.9442 - 0.0007*$B53 - dis_BMI*($C53-21.75)))*AZ53</f>
        <v>-8.3850682012584413E-6</v>
      </c>
      <c r="CE53">
        <f>0.962*(0.93*(0.9442 - 0.0007*$B53 - dis_BMI*($C53-21.75)))*BA53</f>
        <v>1.6169381628323062E-4</v>
      </c>
      <c r="CF53">
        <f>0.962*(0.93*(0.9442 - 0.0007*$B53 - dis_BMI*($C53-21.75)))*BB53</f>
        <v>1.2436296267037106E-3</v>
      </c>
      <c r="CG53">
        <f>0.962*(0.93*0.943*(0.9442 - 0.0007*$B53 - dis_BMI*($C53-21.75)))*BC53</f>
        <v>4.0206847266080597E-6</v>
      </c>
      <c r="CH53">
        <f>0.962*(0.93*0.943*(0.9442 - 0.0007*$B53 - dis_BMI*($C53-21.75))-0.19*0.5)*BD53</f>
        <v>2.5695561095582134E-5</v>
      </c>
      <c r="CI53">
        <f>0.962*(0.93*0.943*(0.9442 - 0.0007*$B53 - dis_BMI*($C53-21.75)))*BE53</f>
        <v>-1.4529022314851843E-5</v>
      </c>
      <c r="CJ53">
        <f t="shared" si="51"/>
        <v>0</v>
      </c>
      <c r="CK53">
        <f t="shared" si="52"/>
        <v>1.9356175721202833E-2</v>
      </c>
      <c r="CL53">
        <f>CK53/(1+r_)^A53</f>
        <v>4.4152807196609131E-3</v>
      </c>
      <c r="CM53">
        <f>AD53*c_BN_2</f>
        <v>6.5880148266524596</v>
      </c>
      <c r="CN53">
        <f>AE53*(c_Other+c_BN_2)</f>
        <v>10.41928970139119</v>
      </c>
      <c r="CO53">
        <f>AF53*(c_Stroke1+c_Stroke2+c_BN_2)</f>
        <v>1.4163416607184978</v>
      </c>
      <c r="CP53">
        <f>AG53*(c_Stroke2 + c_BN_2)</f>
        <v>0.26629900356791153</v>
      </c>
      <c r="CQ53">
        <f>AH53*(c_MI1+c_MI2 + c_BN_2)</f>
        <v>1.1049385948858694</v>
      </c>
      <c r="CR53">
        <f>AI53*(c_MI2+c_BN_2)</f>
        <v>0.44745584924233922</v>
      </c>
      <c r="CS53">
        <f>AJ53*(c_Stroke1+c_Stroke2+c_MI2+c_BN_2)</f>
        <v>4.6863491434130065E-2</v>
      </c>
      <c r="CT53">
        <f>AK53*(c_Stroke2+c_MI1+c_MI2+c_BN_2)</f>
        <v>3.1283775453074612E-2</v>
      </c>
      <c r="CU53">
        <f>AL53*(c_Stroke2+c_MI2+c_BN_2)</f>
        <v>-8.4610055823945013E-3</v>
      </c>
      <c r="CV53">
        <f>AM53*(c_HF1+c_BN_2)</f>
        <v>0.80962540522358195</v>
      </c>
      <c r="CW53">
        <f>AN53*(c_HF2+c_BN_2)</f>
        <v>4.1366843138051888</v>
      </c>
      <c r="CX53">
        <f>AO53*(c_Stroke2+c_HF1+c_BN_2)</f>
        <v>1.965742682859763E-2</v>
      </c>
      <c r="CY53">
        <f>AP53*(c_Stroke1+c_Stroke2+c_HF2+c_BN_2)</f>
        <v>0.14462956148373171</v>
      </c>
      <c r="CZ53">
        <f>AQ53*(c_Stroke2+c_HF2+c_BN_2)</f>
        <v>-2.9275433184590076E-2</v>
      </c>
      <c r="DA53">
        <f>AR53*(c_DM+c_BN_2)</f>
        <v>178.18145192420761</v>
      </c>
      <c r="DB53">
        <f>AS53*(c_Other+c_DM+c_BN_2)</f>
        <v>105.84593978204927</v>
      </c>
      <c r="DC53">
        <f>AT53*(c_Stroke1+c_Stroke2+c_DM+c_BN_2)</f>
        <v>14.987702955441923</v>
      </c>
      <c r="DD53">
        <f>AU53*(c_Stroke2+c_DM+c_BN_2)</f>
        <v>2.4158825463417366</v>
      </c>
      <c r="DE53">
        <f>AV53*(c_MI1+c_MI2+c_DM+c_BN_2)</f>
        <v>11.596119972447205</v>
      </c>
      <c r="DF53">
        <f>AW53*(c_MI2+c_DM+c_BN_2)</f>
        <v>10.266913243245677</v>
      </c>
      <c r="DG53">
        <f>AX53*(c_Stroke1+c_Stroke2+c_MI2+c_DM+c_BN_2)</f>
        <v>0.79194385005076051</v>
      </c>
      <c r="DH53">
        <f>AY53*(c_Stroke2+c_MI1+c_MI2+c_DM+c_BN_2)</f>
        <v>0.4231172532800534</v>
      </c>
      <c r="DI53">
        <f>AZ53*(c_Stroke2+c_MI2+c_DM+c_BN_2)</f>
        <v>-0.26985307131067621</v>
      </c>
      <c r="DJ53">
        <f>BA53*(c_HF1+c_DM+c_BN_2)</f>
        <v>8.8314111710214789</v>
      </c>
      <c r="DK53">
        <f>BB53*(c_HF2+c_DM+c_BN_2)</f>
        <v>48.786855691118483</v>
      </c>
      <c r="DL53">
        <f>BC53*(c_Stroke2+c_HF1+c_DM+c_BN_2)</f>
        <v>0.27020525458327788</v>
      </c>
      <c r="DM53">
        <f>BD53*(c_Stroke1+c_Stroke2+c_HF2+c_DM+c_BN_2)</f>
        <v>2.2347716931644626</v>
      </c>
      <c r="DN53">
        <f>BE53*(c_Stroke2+c_HF2+c_DM+c_BN_2)</f>
        <v>-0.73930800088751714</v>
      </c>
      <c r="DO53">
        <f t="shared" si="53"/>
        <v>0</v>
      </c>
      <c r="DP53">
        <f t="shared" si="54"/>
        <v>409.01650143667342</v>
      </c>
      <c r="DQ53">
        <f>DP53/(1+r_)^A53</f>
        <v>93.299559728541283</v>
      </c>
    </row>
    <row r="54" spans="1:121" x14ac:dyDescent="0.3">
      <c r="A54">
        <v>51</v>
      </c>
      <c r="B54">
        <v>96</v>
      </c>
      <c r="C54">
        <f t="shared" si="39"/>
        <v>36.251999999999995</v>
      </c>
      <c r="D54">
        <f t="shared" si="1"/>
        <v>125</v>
      </c>
      <c r="E54">
        <f t="shared" si="41"/>
        <v>5.7</v>
      </c>
      <c r="F54">
        <v>0.23330999999999999</v>
      </c>
      <c r="G54">
        <v>0.27490999999999999</v>
      </c>
      <c r="H54">
        <f t="shared" si="42"/>
        <v>0.24162999999999998</v>
      </c>
      <c r="I54">
        <f t="shared" si="43"/>
        <v>4.7655426853004217E-2</v>
      </c>
      <c r="J54">
        <f t="shared" si="21"/>
        <v>0.47855787963625696</v>
      </c>
      <c r="K54">
        <f t="shared" si="22"/>
        <v>0.59825582243462205</v>
      </c>
      <c r="L54">
        <f t="shared" si="23"/>
        <v>0.26527350918842096</v>
      </c>
      <c r="M54">
        <f t="shared" si="24"/>
        <v>0.3506031254979971</v>
      </c>
      <c r="N54">
        <f t="shared" si="25"/>
        <v>0.85306542707640098</v>
      </c>
      <c r="O54">
        <f t="shared" si="26"/>
        <v>0.93344887036562285</v>
      </c>
      <c r="P54">
        <f t="shared" si="27"/>
        <v>0.61067117916550639</v>
      </c>
      <c r="Q54">
        <f t="shared" si="28"/>
        <v>0.73629289571207335</v>
      </c>
      <c r="R54">
        <f>IF(C54&lt;25, HT_f_low, IF(C54&lt;30, HT_f_mod, HT_f_high))</f>
        <v>0.42</v>
      </c>
      <c r="S54">
        <f>IF(C54&lt;25, HT_m_low, IF(C54&lt;30, HT_m_mod, HT_m_high))</f>
        <v>0.43099999999999999</v>
      </c>
      <c r="T54">
        <f>PREV_FEMALE*PREV_SMOKE*(1-$R54)*(1-EXP(-J54/10))+PREV_FEMALE*PREV_SMOKE*$R54*(1-EXP(-K54/10))+PREV_FEMALE*(1-PREV_SMOKE)*(1-$R54)*(1-EXP(-L54/10))+PREV_FEMALE*(1-PREV_SMOKE)*$R54*(1-EXP(-M54/10))+(1-PREV_FEMALE)*PREV_SMOKE*(1-$S54)*(1-EXP(-N54/10))+(1-PREV_FEMALE)*PREV_SMOKE*$S54*(1-EXP(-O54/10))+(1-PREV_FEMALE)*(1-PREV_SMOKE)*(1-$S54)*(1-EXP(-P54/10))+(1-PREV_FEMALE)*(1-PREV_SMOKE)*$S54*(1-EXP(-Q54/10))</f>
        <v>3.9283117435974388E-2</v>
      </c>
      <c r="U54">
        <f t="shared" si="29"/>
        <v>0.75758844990402785</v>
      </c>
      <c r="V54">
        <f t="shared" si="30"/>
        <v>0.862572954721886</v>
      </c>
      <c r="W54">
        <f t="shared" si="31"/>
        <v>0.48873242848946497</v>
      </c>
      <c r="X54">
        <f t="shared" si="32"/>
        <v>0.60919115929953715</v>
      </c>
      <c r="Y54">
        <f t="shared" si="33"/>
        <v>0.96174094542299859</v>
      </c>
      <c r="Z54">
        <f t="shared" si="34"/>
        <v>0.99005924951459001</v>
      </c>
      <c r="AA54">
        <f t="shared" si="35"/>
        <v>0.79915499862407935</v>
      </c>
      <c r="AB54">
        <f t="shared" si="36"/>
        <v>0.89649761560857955</v>
      </c>
      <c r="AC54">
        <f>PREV_FEMALE*PREV_SMOKE*(1-$R54)*(1-EXP(-U54/10))+PREV_FEMALE*PREV_SMOKE*$R54*(1-EXP(-V54/10))+PREV_FEMALE*(1-PREV_SMOKE)*(1-$R54)*(1-EXP(-W54/10))+PREV_FEMALE*(1-PREV_SMOKE)*$R54*(1-EXP(-X54/10))+(1-PREV_FEMALE)*PREV_SMOKE*(1-$S54)*(1-EXP(-Y54/10))+(1-PREV_FEMALE)*PREV_SMOKE*$S54*(1-EXP(-Z54/10))+(1-PREV_FEMALE)*(1-PREV_SMOKE)*(1-$S54)*(1-EXP(-AA54/10))+(1-PREV_FEMALE)*(1-PREV_SMOKE)*$S54*(1-EXP(-AB54/10))</f>
        <v>6.0879246115287007E-2</v>
      </c>
      <c r="AD54">
        <f t="shared" si="44"/>
        <v>2.2160521758031785E-3</v>
      </c>
      <c r="AE54">
        <f t="shared" si="45"/>
        <v>4.038518113667875E-4</v>
      </c>
      <c r="AF54">
        <f t="shared" si="46"/>
        <v>3.8338693685066933E-5</v>
      </c>
      <c r="AG54">
        <f t="shared" si="47"/>
        <v>1.4530299429489116E-5</v>
      </c>
      <c r="AH54">
        <f>AD53*T53*p_MI*p_MI_rec_old*(1-I53)+AE53*T53*p_MI*p_MI_rec_old*(1-I53) + AH53*(PREV_FEMALE*p_recur_MI_F + (1-PREV_FEMALE)*p_recur_MI_M)*p_MI_rec_old*(1-I53) + AI53*(PREV_FEMALE*p_recur_MI_F + (1-PREV_FEMALE)*p_recur_MI_M)*p_MI_rec_old*(1-I53)</f>
        <v>2.5462219030034128E-5</v>
      </c>
      <c r="AI54">
        <f>AH53*(1-(PREV_FEMALE*p_recur_MI_F + (1-PREV_FEMALE)*p_recur_MI_M) - T53*p_Stroke - p_toHF_old - H53*rr_MI)*(1-I53) + AI53*(1-(PREV_FEMALE*p_recur_MI_F + (1-PREV_FEMALE)*p_recur_MI_M) - T53*p_Stroke - p_toHF_old - H53*rr_MI)*(1-I53)</f>
        <v>5.6221448401968201E-5</v>
      </c>
      <c r="AJ54">
        <f t="shared" si="48"/>
        <v>1.1213413644008993E-6</v>
      </c>
      <c r="AK54">
        <f>AF53*T53*p_MI*p_MI_rec_old*(1-I53) + AG53*T53*p_MI*p_MI_rec_old*(1-I53) + AJ53*(PREV_FEMALE*p_recur_MI_F + (1-PREV_FEMALE)*p_recur_MI_M)*p_MI_rec_old*(1-I53) + AK53*(PREV_FEMALE*p_recur_MI_F + (1-PREV_FEMALE)*p_recur_MI_M)*p_MI_rec_old*(1-I53) + AL53*(PREV_FEMALE*p_recur_MI_F + (1-PREV_FEMALE)*p_recur_MI_M)*p_MI_rec_old*(1-I53)</f>
        <v>5.2960329236413804E-7</v>
      </c>
      <c r="AL54">
        <f>AJ53*(1-p_recur_Stroke-(PREV_FEMALE*p_recur_MI_F + (1-PREV_FEMALE)*p_recur_MI_M) - p_toHF_old - H53*rr_MI*rr_Stroke)*(1-I53) + AK53*(1-p_recur_Stroke-(PREV_FEMALE*p_recur_MI_F + (1-PREV_FEMALE)*p_recur_MI_M) - p_toHF_old - H53*rr_MI*rr_Stroke)*(1-I53) + AL53*(1-p_recur_Stroke-(PREV_FEMALE*p_recur_MI_F + (1-PREV_FEMALE)*p_recur_MI_M) - p_toHF_old - H53*rr_MI*rr_Stroke)*(1-I53)</f>
        <v>-6.0577111399784993E-7</v>
      </c>
      <c r="AM54">
        <f>AD53*T53*p_MI*p_MI_HF_old*(1-I53) + AE53*T53*p_MI*p_MI_HF_old*(1-I53) + AH53*p_toHF_old*(1-I53) + AH53*(PREV_FEMALE*p_recur_MI_F + (1-PREV_FEMALE)*p_recur_MI_M)*p_MI_HF_old*(1-I53) + AI53*p_toHF_old*(1-I53) + AI53*(PREV_FEMALE*p_recur_MI_F + (1-PREV_FEMALE)*p_recur_MI_M)*p_MI_HF_old*(1-I53)</f>
        <v>1.9701038077017054E-5</v>
      </c>
      <c r="AN54">
        <f t="shared" si="49"/>
        <v>1.4643064870794648E-4</v>
      </c>
      <c r="AO54">
        <f>AF53*T53*p_MI*p_MI_HF_old*(1-I53) + AG53*T53*p_MI*p_MI_HF_old*(1-I53) + AJ53*(PREV_FEMALE*p_recur_MI_F + (1-PREV_FEMALE)*p_recur_MI_M)*p_MI_HF_old*(1-I53) + AJ53*p_toHF_old*(1-I53) + AK53*(PREV_FEMALE*p_recur_MI_F + (1-PREV_FEMALE)*p_recur_MI_M)*p_MI_HF_old*(1-I53) + AK53*p_toHF_old*(1-I53) + AL53*(PREV_FEMALE*p_recur_MI_F + (1-PREV_FEMALE)*p_recur_MI_M)*p_MI_HF_old*(1-I53) + AL53*p_toHF_old*(1-I53)</f>
        <v>3.4879317543401647E-7</v>
      </c>
      <c r="AP54">
        <f>AM53*T53*p_Stroke*p_Stroke_rec*(1-I53) + AN53*T53*p_Stroke*p_Stroke_rec*(1-I53) + AO53*(p_recur_Stroke*p_Stroke_rec)*(1-I53) + AP53*(p_recur_Stroke*p_Stroke_rec)*(1-I53) + AQ53*(p_recur_Stroke*p_Stroke_rec)*(1-I53)</f>
        <v>2.325979642493793E-6</v>
      </c>
      <c r="AQ54">
        <f>AO53*(1-p_recur_Stroke-H53*rr_Stroke*rr_HF)*(1-I53) + AP53*(1-p_recur_Stroke-H53*rr_Stroke*rr_HF)*(1-I53) + AQ53*(1-p_recur_Stroke-H53*rr_Stroke*rr_HF)*(1-I53)</f>
        <v>-1.0278837522350737E-6</v>
      </c>
      <c r="AR54">
        <f>AR53*(1-AC53-H53*rr_DM) + AD53*(1-T53-H53)*I53</f>
        <v>9.1421457037644642E-3</v>
      </c>
      <c r="AS54">
        <f>AR53*AC53*p_Other + AD53*T53*p_Other*I53 + AE53*(1-T53*p_Stroke-T53*p_MI-H53*rr_Other)*I53 + AS53*(1-AC53*p_Stroke-AC53*p_MI-H53*rr_Other*rr_DM)</f>
        <v>2.3167059831100826E-3</v>
      </c>
      <c r="AT54">
        <f>AR53*AC53*p_Stroke*p_Stroke_rec + AD53*T53*p_Stroke*p_Stroke_rec*I53 + AE53*T53*p_Stroke*p_Stroke_rec*I53 + AF53*p_recur_Stroke*p_Stroke_rec*I53 + AG53*p_recur_Stroke*p_Stroke_rec*I53 + AS53*AC53*p_Stroke*p_Stroke_rec + AT53*p_recur_Stroke*p_Stroke_rec + AU53*p_recur_Stroke*p_Stroke_rec</f>
        <v>2.7512003628375167E-4</v>
      </c>
      <c r="AU54">
        <f>AF53*(1-p_recur_Stroke-T53*p_MI-H53*rr_Stroke)*I53 + AG53*(1-p_recur_Stroke-T53*p_MI-H53*rr_Stroke)*I53 + AT53*(1-p_recur_Stroke-AC53*p_MI-H53*rr_Stroke*rr_DM) + AU53*(1-p_recur_Stroke-AC53*p_MI-H53*rr_Stroke*rr_DM)</f>
        <v>3.6969340113037355E-5</v>
      </c>
      <c r="AV54">
        <f>AR53*AC53*p_MI*p_MI_rec_old + AD53*T53*p_MI*p_MI_rec_old*I53 + AE53*T53*p_MI*p_MI_rec_old*I53 +AH53*(PREV_FEMALE*p_recur_MI_F + (1-PREV_FEMALE)*p_recur_MI_M)*p_MI_rec_old*I53 + AI53*(PREV_FEMALE*p_recur_MI_F + (1-PREV_FEMALE)*p_recur_MI_M)*p_MI_rec_old*I53 + AS53*AC53*p_MI*p_MI_rec_old + AV53*(PREV_FEMALE*p_recur_MI_F + (1-PREV_FEMALE)*p_recur_MI_M)*p_MI_rec_old + AW53*(PREV_FEMALE*p_recur_MI_F + (1-PREV_FEMALE)*p_recur_MI_M)*p_MI_rec_old</f>
        <v>1.9034377408483756E-4</v>
      </c>
      <c r="AW54">
        <f>AH53*(1-(PREV_FEMALE*p_recur_MI_F + (1-PREV_FEMALE)*p_recur_MI_M) - T53*p_Stroke - p_toHF_old - H53*rr_MI)*I53 + AI53*(1-(PREV_FEMALE*p_recur_MI_F + (1-PREV_FEMALE)*p_recur_MI_M) - T53*p_Stroke - p_toHF_old - H53*rr_MI)*I53 + AV53*(1-(PREV_FEMALE*p_recur_MI_F + (1-PREV_FEMALE)*p_recur_MI_M) - AC53*p_Stroke - p_toHF_old - H53*rr_MI*rr_DM) + AW53*(1-(PREV_FEMALE*p_recur_MI_F + (1-PREV_FEMALE)*p_recur_MI_M) - AC53*p_Stroke - p_toHF_old - H53*rr_MI*rr_DM)</f>
        <v>3.8466293879693231E-4</v>
      </c>
      <c r="AX54">
        <f>AH53*T53*p_Stroke*p_Stroke_rec*I53 + AI53*T53*p_Stroke*p_Stroke_rec*I53 + AJ53*p_recur_Stroke*p_Stroke_rec*I53 + AK53*p_recur_Stroke*p_Stroke_rec*I53 + AL53*p_recur_Stroke*p_Stroke_rec*I53 + AV53*AC53*p_Stroke*p_Stroke_rec + AW53*AC53*p_Stroke*p_Stroke_rec + AX53*p_recur_Stroke*p_Stroke_rec + AY53*p_recur_Stroke*p_Stroke_rec + AZ53*p_recur_Stroke*p_Stroke_rec</f>
        <v>1.3159581443342071E-5</v>
      </c>
      <c r="AY54">
        <f>AF53*T53*p_MI*p_MI_rec_old*I53 + AG53*T53*p_MI*p_MI_rec_old*I53 + AJ53*(PREV_FEMALE*p_recur_MI_F+(1-PREV_FEMALE)*p_recur_MI_M)*p_MI_rec_old*I53 + AK53*(PREV_FEMALE*p_recur_MI_F+(1-PREV_FEMALE)*p_recur_MI_M)*p_MI_rec_old*I53 + AL53*(PREV_FEMALE*p_recur_MI_F+(1-PREV_FEMALE)*p_recur_MI_M)*p_MI_rec_old*I53 + AT53*AC53*p_MI*p_MI_rec_old + AU53*AC53*p_MI*p_MI_rec_old + AX53*(PREV_FEMALE*p_recur_MI_F+(1-PREV_FEMALE)*p_recur_MI_M)*p_MI_rec_old + AY53*(PREV_FEMALE*p_recur_MI_F+(1-PREV_FEMALE)*p_recur_MI_M)*p_MI_rec_old + AZ53*(PREV_FEMALE*p_recur_MI_F+(1-PREV_FEMALE)*p_recur_MI_M)*p_MI_rec_old</f>
        <v>5.3158790200466553E-6</v>
      </c>
      <c r="AZ54">
        <f>AJ53*(1-p_recur_Stroke-(PREV_FEMALE*p_recur_MI_F + (1-PREV_FEMALE)*p_recur_MI_M) - p_toHF_old - H53*rr_MI*rr_Stroke)*I53 + AK53*(1-p_recur_Stroke-(PREV_FEMALE*p_recur_MI_F + (1-PREV_FEMALE)*p_recur_MI_M) - p_toHF_old - H53*rr_MI*rr_Stroke)*I53 + AL53*(1-p_recur_Stroke-(PREV_FEMALE*p_recur_MI_F + (1-PREV_FEMALE)*p_recur_MI_M) - p_toHF_old - H53*rr_MI*rr_Stroke)*I53 + AX53*(1-p_recur_Stroke-(PREV_FEMALE*p_recur_MI_F + (1-PREV_FEMALE)*p_recur_MI_M) - p_toHF_old - H53*rr_MI*rr_Stroke*rr_DM) + AY53*(1-p_recur_Stroke-(PREV_FEMALE*p_recur_MI_F + (1-PREV_FEMALE)*p_recur_MI_M) - p_toHF_old - H53*rr_MI*rr_Stroke*rr_DM) + AZ53*(1-p_recur_Stroke-(PREV_FEMALE*p_recur_MI_F + (1-PREV_FEMALE)*p_recur_MI_M) - p_toHF_old - H53*rr_MI*rr_Stroke*rr_DM)</f>
        <v>-8.8508714817505758E-6</v>
      </c>
      <c r="BA54">
        <f>AR53*AC53*p_MI*p_MI_HF_old + AD53*T53*p_MI*p_MI_HF_old*I53 + AE53*T53*p_MI*p_MI_HF_old*I53 + AH53*p_toHF_old*I53 + AH53*(PREV_FEMALE*p_recur_MI_F + (1-PREV_FEMALE)*p_recur_MI_M)*p_MI_HF_old*I53 + AI53*p_toHF_old*I53 + AI53*(PREV_FEMALE*p_recur_MI_F + (1-PREV_FEMALE)*p_recur_MI_M)*p_MI_HF_old*I53 + AS53*AC53*p_MI*p_MI_HF_old + AV53*(PREV_FEMALE*p_recur_MI_F + (1-PREV_FEMALE)*p_recur_MI_M)*p_MI_HF_old + AV53*p_toHF_old + AW53*(PREV_FEMALE*p_recur_MI_F + (1-PREV_FEMALE)*p_recur_MI_M)*p_MI_HF_old + AW53*p_toHF_old</f>
        <v>1.4981116188443429E-4</v>
      </c>
      <c r="BB54">
        <f>AM53*(1-T53*p_Stroke - H53*rr_HF)*I53 + AN53*(1-T53*p_Stroke - H53*rr_HF)*I53 + BA53*(1-AC53*p_Stroke - H53*rr_HF*rr_DM) + BB53*(1-AC53*p_Stroke - H53*rr_HF*rr_DM)</f>
        <v>9.9644654823225539E-4</v>
      </c>
      <c r="BC54">
        <f>AF53*T53*p_MI*p_MI_HF_old*I53 + AG53*T53*p_MI*p_MI_HF_old*I53 + AJ53*(PREV_FEMALE*p_recur_MI_F + (1-PREV_FEMALE)*p_recur_MI_M)*p_MI_HF_old*I53 + AJ53*p_toHF_old*I53 + AK53*(PREV_FEMALE*p_recur_MI_F + (1-PREV_FEMALE)*p_recur_MI_M)*p_MI_HF_old*I53 + AK53*p_toHF_old*I53 + AL53*(PREV_FEMALE*p_recur_MI_F + (1-PREV_FEMALE)*p_recur_MI_M)*p_MI_HF_old*I53 + AL53*p_toHF_old*I53 + AT53*AC53*p_MI*p_MI_HF_old + AU53*AC53*p_MI*p_MI_HF_old + AX53*(PREV_FEMALE*p_recur_MI_F + (1-PREV_FEMALE)*p_recur_MI_M)*p_MI_HF_old + AX53*p_toHF_old + AY53*(PREV_FEMALE*p_recur_MI_F + (1-PREV_FEMALE)*p_recur_MI_M)*p_MI_HF_old + AY53*p_toHF_old + AZ53*(PREV_FEMALE*p_recur_MI_F + (1-PREV_FEMALE)*p_recur_MI_M)*p_MI_HF_old + AZ53*p_toHF_old</f>
        <v>3.5131057604189379E-6</v>
      </c>
      <c r="BD54">
        <f>AM53*T53*p_Stroke*p_Stroke_rec*I53 + AN53*T53*p_Stroke*p_Stroke_rec*I53 + AO53*(p_recur_Stroke*p_Stroke_rec)*I53 + AP53*(p_recur_Stroke*p_Stroke_rec)*I53 + AQ53*(p_recur_Stroke*p_Stroke_rec)*I53 + BA53*AC53*p_Stroke*p_Stroke_rec + BB53*AC53*p_Stroke*p_Stroke_rec + BC53*(p_recur_Stroke*p_Stroke_rec) + BD53*(p_recur_Stroke*p_Stroke_rec) + BE53*(p_recur_Stroke*p_Stroke_rec)</f>
        <v>2.7140307878905416E-5</v>
      </c>
      <c r="BE54">
        <f>AO53*(1-p_recur_Stroke - H53*rr_Stroke*rr_HF)*I53 + AP53*(1-p_recur_Stroke-H53*rr_Stroke*rr_HF)*I53 + AQ53*(1-p_recur_Stroke-H53*rr_Stroke*rr_HF)*I53 + BC53*(1-p_recur_Stroke - H53*rr_Stroke*rr_HF*rr_DM) + BD53*(1-p_recur_Stroke-H53*rr_Stroke*rr_HF*rr_DM) + BE53*(1-p_recur_Stroke-H53*rr_Stroke*rr_HF*rr_DM)</f>
        <v>-1.5591104426145449E-5</v>
      </c>
      <c r="BF54">
        <f>AD53*H53 + AE53*H53*rr_Other + AF53*H53*rr_Stroke + AG53*H53*rr_Stroke + AH53*H53*rr_MI + AI53*H53*rr_MI + AJ53*H53*rr_Stroke*rr_MI + AK53*H53*rr_Stroke*rr_MI + AL53*H53*rr_Stroke*rr_MI + AM53*H53*rr_HF + AN53*H53*rr_HF + AO53*H53*rr_Stroke*rr_HF + AP53*H53*rr_Stroke*rr_HF + AR53*H53*rr_DM + AS53*H53*rr_DM*rr_Other + AT53*H53*rr_DM*rr_Stroke + AU53*H53*rr_DM*rr_Stroke + AV53*H53*rr_DM*rr_MI + AW53*H53*rr_DM*rr_MI + AX53*H53*rr_DM*rr_Stroke*rr_MI + AY53*H53*rr_DM*rr_Stroke*rr_MI + AZ53*H53*rr_DM*rr_Stroke*rr_MI + BA53*H53*rr_DM*rr_HF + BB53*H53*rr_DM*rr_HF + BC53*H53*rr_DM*rr_Stroke*rr_HF + BD53*H53*rr_DM*rr_Stroke*rr_HF + AQ53*H53*rr_Stroke*rr_HF + BE53*H53*rr_DM*rr_Stroke*rr_HF
+ AD53*T53*p_MI*p_MI_mort + AD53*T53*p_Stroke*p_Stroke_mort + AE53*T53*p_MI*p_MI_mort + AE53*T53*p_Stroke*p_Stroke_mort + AF53*T53*p_MI*p_MI_mort + AF53*p_recur_Stroke*p_Stroke_mort + AG53*T53*p_MI*p_MI_mort + AG53*p_recur_Stroke*p_Stroke_mort + AH53*(PREV_FEMALE*p_recur_MI_F + (1-PREV_FEMALE)*p_recur_MI_M)*p_MI_mort + AH53*T53*p_Stroke*p_Stroke_mort + AI53*(PREV_FEMALE*p_recur_MI_F + (1-PREV_FEMALE)*p_recur_MI_M)*p_MI_mort + AI53*T53*p_Stroke*p_Stroke_mort + AJ53*(PREV_FEMALE*p_recur_MI_F + (1-PREV_FEMALE)*p_recur_MI_M)*p_MI_mort + AJ53*p_recur_Stroke*p_Stroke_mort + AK53*(PREV_FEMALE*p_recur_MI_F + (1-PREV_FEMALE)*p_recur_MI_M)*p_MI_mort + AK53*p_recur_Stroke*p_Stroke_mort + AL53*(PREV_FEMALE*p_recur_MI_F + (1-PREV_FEMALE)*p_recur_MI_M)*p_MI_mort + AL53*p_recur_Stroke*p_Stroke_mort + AM53*T53*p_Stroke*p_Stroke_mort + AN53*T53*p_Stroke*p_Stroke_mort + AO53*p_recur_Stroke*p_Stroke_mort + AP53*p_recur_Stroke*p_Stroke_mort + AQ53*p_recur_Stroke*p_Stroke_mort
+ AR53*AC53*p_MI*p_MI_mort + AR53*AC53*p_Stroke*p_Stroke_mort + AS53*AC53*p_MI*p_MI_mort + AS53*AC53*p_Stroke*p_Stroke_mort + AT53*AC53*p_MI*p_MI_mort + AT53*p_recur_Stroke*p_Stroke_mort + AU53*AC53*p_MI*p_MI_mort + AU53*p_recur_Stroke*p_Stroke_mort + AV53*(PREV_FEMALE*p_recur_MI_F + (1-PREV_FEMALE)*p_recur_MI_M)*p_MI_mort + AV53*AC53*p_Stroke*p_Stroke_mort + AW53*(PREV_FEMALE*p_recur_MI_F + (1-PREV_FEMALE)*p_recur_MI_M)*p_MI_mort + AW53*AC53*p_Stroke*p_Stroke_mort + AX53*(PREV_FEMALE*p_recur_MI_F + (1-PREV_FEMALE)*p_recur_MI_M)*p_MI_mort + AX53*p_recur_Stroke*p_Stroke_mort + AY53*(PREV_FEMALE*p_recur_MI_F + (1-PREV_FEMALE)*p_recur_MI_M)*p_MI_mort + AY53*p_recur_Stroke*p_Stroke_mort + AZ53*(PREV_FEMALE*p_recur_MI_F + (1-PREV_FEMALE)*p_recur_MI_M)*p_MI_mort + AZ53*p_recur_Stroke*p_Stroke_mort + BA53*AC53*p_Stroke*p_Stroke_mort + BB53*AC53*p_Stroke*p_Stroke_mort + BC53*p_recur_Stroke*p_Stroke_mort + BD53*p_recur_Stroke*p_Stroke_mort + BE53*p_recur_Stroke*p_Stroke_mort
+BF53</f>
        <v>0.93055982721842567</v>
      </c>
      <c r="BG54">
        <f t="shared" si="50"/>
        <v>0.94700000000000029</v>
      </c>
      <c r="BH54">
        <f>(0.9442 - 0.0007*$B54 - dis_BMI*($C54-21.75))*AD54</f>
        <v>1.8374250356228451E-3</v>
      </c>
      <c r="BI54">
        <f>0.959*(0.9442 - 0.0007*$B54 - dis_BMI*($C54-21.75))*AE54</f>
        <v>3.2112217034993134E-4</v>
      </c>
      <c r="BJ54">
        <f>(0.943*(0.9442 - 0.0007*$B54 - dis_BMI*($C54-21.75)) - 0.19*0.5)*AF54</f>
        <v>2.6334167267998655E-5</v>
      </c>
      <c r="BK54">
        <f>(0.943*(0.9442 - 0.0007*$B54 - dis_BMI*($C54-21.75)))*AG54</f>
        <v>1.1360982865281538E-5</v>
      </c>
      <c r="BL54">
        <f>(0.955*(0.9442 - 0.0007*$B54 - dis_BMI*($C54-21.75)) - 0.15*0.5)*AH54</f>
        <v>1.8252132042239814E-5</v>
      </c>
      <c r="BM54">
        <f>(0.955*(0.9442 - 0.0007*$B54 - dis_BMI*($C54-21.75)))*AI54</f>
        <v>4.4517938951290513E-5</v>
      </c>
      <c r="BN54">
        <f>(0.955*0.943*(0.9442 - 0.0007*$B54 - dis_BMI*($C54-21.75)) - 0.19*0.5)*AJ54</f>
        <v>7.3077539300507865E-7</v>
      </c>
      <c r="BO54">
        <f>(0.955*0.943*(0.9442 - 0.0007*$B54 - dis_BMI*($C54-21.75)) - 0.15*0.5)*AK54</f>
        <v>3.5573322125356784E-7</v>
      </c>
      <c r="BP54">
        <f>(0.955*0.943*(0.9442 - 0.0007*$B54 - dis_BMI*($C54-21.75)))*AL54</f>
        <v>-4.5232779215717968E-7</v>
      </c>
      <c r="BQ54">
        <f>(0.93*(0.9442 - 0.0007*$B54 - dis_BMI*($C54-21.75)))*AM54</f>
        <v>1.5191536696077866E-5</v>
      </c>
      <c r="BR54">
        <f>(0.93*(0.9442 - 0.0007*$B54 - dis_BMI*($C54-21.75)))*AN54</f>
        <v>1.129131655185385E-4</v>
      </c>
      <c r="BS54">
        <f>(0.93*0.943*(0.9442 - 0.0007*$B54 - dis_BMI*($C54-21.75)))*AO54</f>
        <v>2.5362512157729585E-7</v>
      </c>
      <c r="BT54">
        <f>(0.93*0.943*(0.9442 - 0.0007*$B54 - dis_BMI*($C54-21.75))-0.19*0.5)*AP54</f>
        <v>1.4703691250641918E-6</v>
      </c>
      <c r="BU54">
        <f>(0.93*0.943*(0.9442 - 0.0007*$B54 - dis_BMI*($C54-21.75)))*AQ54</f>
        <v>-7.4742615391930289E-7</v>
      </c>
      <c r="BV54">
        <f>0.962*(0.9442 - 0.0007*$B54 - dis_BMI*($C54-21.75))*AR54</f>
        <v>7.2921040807743028E-3</v>
      </c>
      <c r="BW54">
        <f>0.962*0.959*(0.9442 - 0.0007*$B54 - dis_BMI*($C54-21.75))*AS54</f>
        <v>1.7721245724000147E-3</v>
      </c>
      <c r="BX54">
        <f>0.962*(0.943*(0.9442 - 0.0007*$B54 - dis_BMI*($C54-21.75)) - 0.19*0.5)*AT54</f>
        <v>1.8179401060100541E-4</v>
      </c>
      <c r="BY54">
        <f>0.962*(0.943*(0.9442 - 0.0007*$B54 - dis_BMI*($C54-21.75)))*AU54</f>
        <v>2.7807254490674993E-5</v>
      </c>
      <c r="BZ54">
        <f>0.962*(0.955*(0.9442 - 0.0007*$B54 - dis_BMI*($C54-21.75)) - 0.15*0.5)*AV54</f>
        <v>1.3125960724585286E-4</v>
      </c>
      <c r="CA54">
        <f>0.962*(0.955*(0.9442 - 0.0007*$B54 - dis_BMI*($C54-21.75)))*AW54</f>
        <v>2.9301404442319664E-4</v>
      </c>
      <c r="CB54">
        <f>0.962*(0.955*0.943*(0.9442 - 0.0007*$B54 - dis_BMI*($C54-21.75)) - 0.19*0.5)*AX54</f>
        <v>8.2501761366341685E-6</v>
      </c>
      <c r="CC54">
        <f>0.962*(0.955*0.943*(0.9442 - 0.0007*$B54 - dis_BMI*($C54-21.75)) - 0.15*0.5)*AY54</f>
        <v>3.4349776005093694E-6</v>
      </c>
      <c r="CD54">
        <f>0.962*(0.955*0.943*(0.9442 - 0.0007*$B54 - dis_BMI*($C54-21.75)))*AZ54</f>
        <v>-6.357784732687964E-6</v>
      </c>
      <c r="CE54">
        <f>0.962*(0.93*(0.9442 - 0.0007*$B54 - dis_BMI*($C54-21.75)))*BA54</f>
        <v>1.1113013475163342E-4</v>
      </c>
      <c r="CF54">
        <f>0.962*(0.93*(0.9442 - 0.0007*$B54 - dis_BMI*($C54-21.75)))*BB54</f>
        <v>7.3916547862617023E-4</v>
      </c>
      <c r="CG54">
        <f>0.962*(0.93*0.943*(0.9442 - 0.0007*$B54 - dis_BMI*($C54-21.75)))*BC54</f>
        <v>2.4574833589010374E-6</v>
      </c>
      <c r="CH54">
        <f>0.962*(0.93*0.943*(0.9442 - 0.0007*$B54 - dis_BMI*($C54-21.75))-0.19*0.5)*BD54</f>
        <v>1.6504801572650045E-5</v>
      </c>
      <c r="CI54">
        <f>0.962*(0.93*0.943*(0.9442 - 0.0007*$B54 - dis_BMI*($C54-21.75)))*BE54</f>
        <v>-1.0906269918151197E-5</v>
      </c>
      <c r="CJ54">
        <f t="shared" si="51"/>
        <v>0</v>
      </c>
      <c r="CK54">
        <f t="shared" si="52"/>
        <v>1.295051044555973E-2</v>
      </c>
      <c r="CL54">
        <f>CK54/(1+r_)^A54</f>
        <v>2.8680612810906168E-3</v>
      </c>
      <c r="CM54">
        <f>AD54*c_BN_2</f>
        <v>4.6426293083076589</v>
      </c>
      <c r="CN54">
        <f>AE54*(c_Other+c_BN_2)</f>
        <v>6.6126695593197784</v>
      </c>
      <c r="CO54">
        <f>AF54*(c_Stroke1+c_Stroke2+c_BN_2)</f>
        <v>0.99339389207376927</v>
      </c>
      <c r="CP54">
        <f>AG54*(c_Stroke2 + c_BN_2)</f>
        <v>0.12488792359645895</v>
      </c>
      <c r="CQ54">
        <f>AH54*(c_MI1+c_MI2 + c_BN_2)</f>
        <v>0.7955924958124464</v>
      </c>
      <c r="CR54">
        <f>AI54*(c_MI2+c_BN_2)</f>
        <v>0.29302618907105826</v>
      </c>
      <c r="CS54">
        <f>AJ54*(c_Stroke1+c_Stroke2+c_MI2+c_BN_2)</f>
        <v>3.2550297125829304E-2</v>
      </c>
      <c r="CT54">
        <f>AK54*(c_Stroke2+c_MI1+c_MI2+c_BN_2)</f>
        <v>1.9990405873576755E-2</v>
      </c>
      <c r="CU54">
        <f>AL54*(c_Stroke2+c_MI2+c_BN_2)</f>
        <v>-7.0947912871428187E-3</v>
      </c>
      <c r="CV54">
        <f>AM54*(c_HF1+c_BN_2)</f>
        <v>0.5737927339931217</v>
      </c>
      <c r="CW54">
        <f>AN54*(c_HF2+c_BN_2)</f>
        <v>2.5918224821306528</v>
      </c>
      <c r="CX54">
        <f>AO54*(c_Stroke2+c_HF1+c_BN_2)</f>
        <v>1.2425756874836836E-2</v>
      </c>
      <c r="CY54">
        <f>AP54*(c_Stroke1+c_Stroke2+c_HF2+c_BN_2)</f>
        <v>9.6565370837772307E-2</v>
      </c>
      <c r="CZ54">
        <f>AQ54*(c_Stroke2+c_HF2+c_BN_2)</f>
        <v>-2.4874786804088785E-2</v>
      </c>
      <c r="DA54">
        <f>AR54*(c_DM+c_BN_2)</f>
        <v>123.60180991489555</v>
      </c>
      <c r="DB54">
        <f>AS54*(c_Other+c_DM+c_BN_2)</f>
        <v>64.402109624477191</v>
      </c>
      <c r="DC54">
        <f>AT54*(c_Stroke1+c_Stroke2+c_DM+c_BN_2)</f>
        <v>10.271881674690153</v>
      </c>
      <c r="DD54">
        <f>AU54*(c_Stroke2+c_DM+c_BN_2)</f>
        <v>0.74012618906300787</v>
      </c>
      <c r="DE54">
        <f>AV54*(c_MI1+c_MI2+c_DM+c_BN_2)</f>
        <v>8.1221591839741034</v>
      </c>
      <c r="DF54">
        <f>AW54*(c_MI2+c_DM+c_BN_2)</f>
        <v>6.3996373127645629</v>
      </c>
      <c r="DG54">
        <f>AX54*(c_Stroke1+c_Stroke2+c_MI2+c_DM+c_BN_2)</f>
        <v>0.53234454812751675</v>
      </c>
      <c r="DH54">
        <f>AY54*(c_Stroke2+c_MI1+c_MI2+c_DM+c_BN_2)</f>
        <v>0.2613870872947141</v>
      </c>
      <c r="DI54">
        <f>AZ54*(c_Stroke2+c_MI2+c_DM+c_BN_2)</f>
        <v>-0.20478261347326307</v>
      </c>
      <c r="DJ54">
        <f>BA54*(c_HF1+c_DM+c_BN_2)</f>
        <v>6.0748426144138108</v>
      </c>
      <c r="DK54">
        <f>BB54*(c_HF2+c_DM+c_BN_2)</f>
        <v>29.021505717264439</v>
      </c>
      <c r="DL54">
        <f>BC54*(c_Stroke2+c_HF1+c_DM+c_BN_2)</f>
        <v>0.16529162602771102</v>
      </c>
      <c r="DM54">
        <f>BD54*(c_Stroke1+c_Stroke2+c_HF2+c_DM+c_BN_2)</f>
        <v>1.4368350394171316</v>
      </c>
      <c r="DN54">
        <f>BE54*(c_Stroke2+c_HF2+c_DM+c_BN_2)</f>
        <v>-0.55543309518143158</v>
      </c>
      <c r="DO54">
        <f t="shared" si="53"/>
        <v>0</v>
      </c>
      <c r="DP54">
        <f t="shared" si="54"/>
        <v>267.02709166068092</v>
      </c>
      <c r="DQ54">
        <f>DP54/(1+r_)^A54</f>
        <v>59.136670003367854</v>
      </c>
    </row>
    <row r="55" spans="1:121" x14ac:dyDescent="0.3">
      <c r="A55">
        <v>52</v>
      </c>
      <c r="B55">
        <v>97</v>
      </c>
      <c r="C55">
        <f t="shared" si="39"/>
        <v>36.251999999999995</v>
      </c>
      <c r="D55">
        <f t="shared" si="1"/>
        <v>125</v>
      </c>
      <c r="E55">
        <f t="shared" si="41"/>
        <v>5.7</v>
      </c>
      <c r="F55">
        <v>0.25402999999999998</v>
      </c>
      <c r="G55">
        <v>0.29626000000000002</v>
      </c>
      <c r="H55">
        <f t="shared" si="42"/>
        <v>0.26247599999999999</v>
      </c>
      <c r="I55">
        <f t="shared" si="43"/>
        <v>4.7655426853004217E-2</v>
      </c>
      <c r="J55">
        <f t="shared" si="21"/>
        <v>0.48817860955816306</v>
      </c>
      <c r="K55">
        <f t="shared" si="22"/>
        <v>0.60859815404051099</v>
      </c>
      <c r="L55">
        <f t="shared" si="23"/>
        <v>0.2717223168973758</v>
      </c>
      <c r="M55">
        <f t="shared" si="24"/>
        <v>0.35857167063739903</v>
      </c>
      <c r="N55">
        <f t="shared" si="25"/>
        <v>0.86201944719099677</v>
      </c>
      <c r="O55">
        <f t="shared" si="26"/>
        <v>0.93910632368232172</v>
      </c>
      <c r="P55">
        <f t="shared" si="27"/>
        <v>0.62252782148834362</v>
      </c>
      <c r="Q55">
        <f t="shared" si="28"/>
        <v>0.74756874978939369</v>
      </c>
      <c r="R55">
        <f>IF(C55&lt;25, HT_f_low, IF(C55&lt;30, HT_f_mod, HT_f_high))</f>
        <v>0.42</v>
      </c>
      <c r="S55">
        <f>IF(C55&lt;25, HT_m_low, IF(C55&lt;30, HT_m_mod, HT_m_high))</f>
        <v>0.43099999999999999</v>
      </c>
      <c r="T55">
        <f>PREV_FEMALE*PREV_SMOKE*(1-$R55)*(1-EXP(-J55/10))+PREV_FEMALE*PREV_SMOKE*$R55*(1-EXP(-K55/10))+PREV_FEMALE*(1-PREV_SMOKE)*(1-$R55)*(1-EXP(-L55/10))+PREV_FEMALE*(1-PREV_SMOKE)*$R55*(1-EXP(-M55/10))+(1-PREV_FEMALE)*PREV_SMOKE*(1-$S55)*(1-EXP(-N55/10))+(1-PREV_FEMALE)*PREV_SMOKE*$S55*(1-EXP(-O55/10))+(1-PREV_FEMALE)*(1-PREV_SMOKE)*(1-$S55)*(1-EXP(-P55/10))+(1-PREV_FEMALE)*(1-PREV_SMOKE)*$S55*(1-EXP(-Q55/10))</f>
        <v>4.0065388385580998E-2</v>
      </c>
      <c r="U55">
        <f t="shared" si="29"/>
        <v>0.76721658747401134</v>
      </c>
      <c r="V55">
        <f t="shared" si="30"/>
        <v>0.87015603447609879</v>
      </c>
      <c r="W55">
        <f t="shared" si="31"/>
        <v>0.49844816625990651</v>
      </c>
      <c r="X55">
        <f t="shared" si="32"/>
        <v>0.61955236345272879</v>
      </c>
      <c r="Y55">
        <f t="shared" si="33"/>
        <v>0.96562294186845876</v>
      </c>
      <c r="Z55">
        <f t="shared" si="34"/>
        <v>0.99145398008697716</v>
      </c>
      <c r="AA55">
        <f t="shared" si="35"/>
        <v>0.80945169213357482</v>
      </c>
      <c r="AB55">
        <f t="shared" si="36"/>
        <v>0.90391509227524125</v>
      </c>
      <c r="AC55">
        <f>PREV_FEMALE*PREV_SMOKE*(1-$R55)*(1-EXP(-U55/10))+PREV_FEMALE*PREV_SMOKE*$R55*(1-EXP(-V55/10))+PREV_FEMALE*(1-PREV_SMOKE)*(1-$R55)*(1-EXP(-W55/10))+PREV_FEMALE*(1-PREV_SMOKE)*$R55*(1-EXP(-X55/10))+(1-PREV_FEMALE)*PREV_SMOKE*(1-$S55)*(1-EXP(-Y55/10))+(1-PREV_FEMALE)*PREV_SMOKE*$S55*(1-EXP(-Z55/10))+(1-PREV_FEMALE)*(1-PREV_SMOKE)*(1-$S55)*(1-EXP(-AA55/10))+(1-PREV_FEMALE)*(1-PREV_SMOKE)*$S55*(1-EXP(-AB55/10))</f>
        <v>6.1774236889100921E-2</v>
      </c>
      <c r="AD55">
        <f t="shared" si="44"/>
        <v>1.5175935053067461E-3</v>
      </c>
      <c r="AE55">
        <f t="shared" si="45"/>
        <v>2.4683342437269135E-4</v>
      </c>
      <c r="AF55">
        <f t="shared" si="46"/>
        <v>2.6298219029711046E-5</v>
      </c>
      <c r="AG55">
        <f t="shared" si="47"/>
        <v>5.7930025634262104E-6</v>
      </c>
      <c r="AH55">
        <f>AD54*T54*p_MI*p_MI_rec_old*(1-I54)+AE54*T54*p_MI*p_MI_rec_old*(1-I54) + AH54*(PREV_FEMALE*p_recur_MI_F + (1-PREV_FEMALE)*p_recur_MI_M)*p_MI_rec_old*(1-I54) + AI54*(PREV_FEMALE*p_recur_MI_F + (1-PREV_FEMALE)*p_recur_MI_M)*p_MI_rec_old*(1-I54)</f>
        <v>1.781737338960003E-5</v>
      </c>
      <c r="AI55">
        <f>AH54*(1-(PREV_FEMALE*p_recur_MI_F + (1-PREV_FEMALE)*p_recur_MI_M) - T54*p_Stroke - p_toHF_old - H54*rr_MI)*(1-I54) + AI54*(1-(PREV_FEMALE*p_recur_MI_F + (1-PREV_FEMALE)*p_recur_MI_M) - T54*p_Stroke - p_toHF_old - H54*rr_MI)*(1-I54)</f>
        <v>3.540186478511374E-5</v>
      </c>
      <c r="AJ55">
        <f t="shared" si="48"/>
        <v>7.5651103749363788E-7</v>
      </c>
      <c r="AK55">
        <f>AF54*T54*p_MI*p_MI_rec_old*(1-I54) + AG54*T54*p_MI*p_MI_rec_old*(1-I54) + AJ54*(PREV_FEMALE*p_recur_MI_F + (1-PREV_FEMALE)*p_recur_MI_M)*p_MI_rec_old*(1-I54) + AK54*(PREV_FEMALE*p_recur_MI_F + (1-PREV_FEMALE)*p_recur_MI_M)*p_MI_rec_old*(1-I54) + AL54*(PREV_FEMALE*p_recur_MI_F + (1-PREV_FEMALE)*p_recur_MI_M)*p_MI_rec_old*(1-I54)</f>
        <v>3.3179714835543077E-7</v>
      </c>
      <c r="AL55">
        <f>AJ54*(1-p_recur_Stroke-(PREV_FEMALE*p_recur_MI_F + (1-PREV_FEMALE)*p_recur_MI_M) - p_toHF_old - H54*rr_MI*rr_Stroke)*(1-I54) + AK54*(1-p_recur_Stroke-(PREV_FEMALE*p_recur_MI_F + (1-PREV_FEMALE)*p_recur_MI_M) - p_toHF_old - H54*rr_MI*rr_Stroke)*(1-I54) + AL54*(1-p_recur_Stroke-(PREV_FEMALE*p_recur_MI_F + (1-PREV_FEMALE)*p_recur_MI_M) - p_toHF_old - H54*rr_MI*rr_Stroke)*(1-I54)</f>
        <v>-4.6688308764635288E-7</v>
      </c>
      <c r="AM55">
        <f>AD54*T54*p_MI*p_MI_HF_old*(1-I54) + AE54*T54*p_MI*p_MI_HF_old*(1-I54) + AH54*p_toHF_old*(1-I54) + AH54*(PREV_FEMALE*p_recur_MI_F + (1-PREV_FEMALE)*p_recur_MI_M)*p_MI_HF_old*(1-I54) + AI54*p_toHF_old*(1-I54) + AI54*(PREV_FEMALE*p_recur_MI_F + (1-PREV_FEMALE)*p_recur_MI_M)*p_MI_HF_old*(1-I54)</f>
        <v>1.3546985417888927E-5</v>
      </c>
      <c r="AN55">
        <f t="shared" si="49"/>
        <v>8.7207621561872508E-5</v>
      </c>
      <c r="AO55">
        <f>AF54*T54*p_MI*p_MI_HF_old*(1-I54) + AG54*T54*p_MI*p_MI_HF_old*(1-I54) + AJ54*(PREV_FEMALE*p_recur_MI_F + (1-PREV_FEMALE)*p_recur_MI_M)*p_MI_HF_old*(1-I54) + AJ54*p_toHF_old*(1-I54) + AK54*(PREV_FEMALE*p_recur_MI_F + (1-PREV_FEMALE)*p_recur_MI_M)*p_MI_HF_old*(1-I54) + AK54*p_toHF_old*(1-I54) + AL54*(PREV_FEMALE*p_recur_MI_F + (1-PREV_FEMALE)*p_recur_MI_M)*p_MI_HF_old*(1-I54) + AL54*p_toHF_old*(1-I54)</f>
        <v>2.1601210504746537E-7</v>
      </c>
      <c r="AP55">
        <f>AM54*T54*p_Stroke*p_Stroke_rec*(1-I54) + AN54*T54*p_Stroke*p_Stroke_rec*(1-I54) + AO54*(p_recur_Stroke*p_Stroke_rec)*(1-I54) + AP54*(p_recur_Stroke*p_Stroke_rec)*(1-I54) + AQ54*(p_recur_Stroke*p_Stroke_rec)*(1-I54)</f>
        <v>1.4882805231801546E-6</v>
      </c>
      <c r="AQ55">
        <f>AO54*(1-p_recur_Stroke-H54*rr_Stroke*rr_HF)*(1-I54) + AP54*(1-p_recur_Stroke-H54*rr_Stroke*rr_HF)*(1-I54) + AQ54*(1-p_recur_Stroke-H54*rr_Stroke*rr_HF)*(1-I54)</f>
        <v>-7.7866560936688801E-7</v>
      </c>
      <c r="AR55">
        <f>AR54*(1-AC54-H54*rr_DM) + AD54*(1-T54-H54)*I54</f>
        <v>6.1211501444732638E-3</v>
      </c>
      <c r="AS55">
        <f>AR54*AC54*p_Other + AD54*T54*p_Other*I54 + AE54*(1-T54*p_Stroke-T54*p_MI-H54*rr_Other)*I54 + AS54*(1-AC54*p_Stroke-AC54*p_MI-H54*rr_Other*rr_DM)</f>
        <v>1.3485699978924093E-3</v>
      </c>
      <c r="AT55">
        <f>AR54*AC54*p_Stroke*p_Stroke_rec + AD54*T54*p_Stroke*p_Stroke_rec*I54 + AE54*T54*p_Stroke*p_Stroke_rec*I54 + AF54*p_recur_Stroke*p_Stroke_rec*I54 + AG54*p_recur_Stroke*p_Stroke_rec*I54 + AS54*AC54*p_Stroke*p_Stroke_rec + AT54*p_recur_Stroke*p_Stroke_rec + AU54*p_recur_Stroke*p_Stroke_rec</f>
        <v>1.8338411585019427E-4</v>
      </c>
      <c r="AU55">
        <f>AF54*(1-p_recur_Stroke-T54*p_MI-H54*rr_Stroke)*I54 + AG54*(1-p_recur_Stroke-T54*p_MI-H54*rr_Stroke)*I54 + AT54*(1-p_recur_Stroke-AC54*p_MI-H54*rr_Stroke*rr_DM) + AU54*(1-p_recur_Stroke-AC54*p_MI-H54*rr_Stroke*rr_DM)</f>
        <v>-6.902713871716858E-7</v>
      </c>
      <c r="AV55">
        <f>AR54*AC54*p_MI*p_MI_rec_old + AD54*T54*p_MI*p_MI_rec_old*I54 + AE54*T54*p_MI*p_MI_rec_old*I54 +AH54*(PREV_FEMALE*p_recur_MI_F + (1-PREV_FEMALE)*p_recur_MI_M)*p_MI_rec_old*I54 + AI54*(PREV_FEMALE*p_recur_MI_F + (1-PREV_FEMALE)*p_recur_MI_M)*p_MI_rec_old*I54 + AS54*AC54*p_MI*p_MI_rec_old + AV54*(PREV_FEMALE*p_recur_MI_F + (1-PREV_FEMALE)*p_recur_MI_M)*p_MI_rec_old + AW54*(PREV_FEMALE*p_recur_MI_F + (1-PREV_FEMALE)*p_recur_MI_M)*p_MI_rec_old</f>
        <v>1.2873663843183204E-4</v>
      </c>
      <c r="AW55">
        <f>AH54*(1-(PREV_FEMALE*p_recur_MI_F + (1-PREV_FEMALE)*p_recur_MI_M) - T54*p_Stroke - p_toHF_old - H54*rr_MI)*I54 + AI54*(1-(PREV_FEMALE*p_recur_MI_F + (1-PREV_FEMALE)*p_recur_MI_M) - T54*p_Stroke - p_toHF_old - H54*rr_MI)*I54 + AV54*(1-(PREV_FEMALE*p_recur_MI_F + (1-PREV_FEMALE)*p_recur_MI_M) - AC54*p_Stroke - p_toHF_old - H54*rr_MI*rr_DM) + AW54*(1-(PREV_FEMALE*p_recur_MI_F + (1-PREV_FEMALE)*p_recur_MI_M) - AC54*p_Stroke - p_toHF_old - H54*rr_MI*rr_DM)</f>
        <v>2.2766638684278031E-4</v>
      </c>
      <c r="AX55">
        <f>AH54*T54*p_Stroke*p_Stroke_rec*I54 + AI54*T54*p_Stroke*p_Stroke_rec*I54 + AJ54*p_recur_Stroke*p_Stroke_rec*I54 + AK54*p_recur_Stroke*p_Stroke_rec*I54 + AL54*p_recur_Stroke*p_Stroke_rec*I54 + AV54*AC54*p_Stroke*p_Stroke_rec + AW54*AC54*p_Stroke*p_Stroke_rec + AX54*p_recur_Stroke*p_Stroke_rec + AY54*p_recur_Stroke*p_Stroke_rec + AZ54*p_recur_Stroke*p_Stroke_rec</f>
        <v>8.5076748693464095E-6</v>
      </c>
      <c r="AY55">
        <f>AF54*T54*p_MI*p_MI_rec_old*I54 + AG54*T54*p_MI*p_MI_rec_old*I54 + AJ54*(PREV_FEMALE*p_recur_MI_F+(1-PREV_FEMALE)*p_recur_MI_M)*p_MI_rec_old*I54 + AK54*(PREV_FEMALE*p_recur_MI_F+(1-PREV_FEMALE)*p_recur_MI_M)*p_MI_rec_old*I54 + AL54*(PREV_FEMALE*p_recur_MI_F+(1-PREV_FEMALE)*p_recur_MI_M)*p_MI_rec_old*I54 + AT54*AC54*p_MI*p_MI_rec_old + AU54*AC54*p_MI*p_MI_rec_old + AX54*(PREV_FEMALE*p_recur_MI_F+(1-PREV_FEMALE)*p_recur_MI_M)*p_MI_rec_old + AY54*(PREV_FEMALE*p_recur_MI_F+(1-PREV_FEMALE)*p_recur_MI_M)*p_MI_rec_old + AZ54*(PREV_FEMALE*p_recur_MI_F+(1-PREV_FEMALE)*p_recur_MI_M)*p_MI_rec_old</f>
        <v>3.2069242867438876E-6</v>
      </c>
      <c r="AZ55">
        <f>AJ54*(1-p_recur_Stroke-(PREV_FEMALE*p_recur_MI_F + (1-PREV_FEMALE)*p_recur_MI_M) - p_toHF_old - H54*rr_MI*rr_Stroke)*I54 + AK54*(1-p_recur_Stroke-(PREV_FEMALE*p_recur_MI_F + (1-PREV_FEMALE)*p_recur_MI_M) - p_toHF_old - H54*rr_MI*rr_Stroke)*I54 + AL54*(1-p_recur_Stroke-(PREV_FEMALE*p_recur_MI_F + (1-PREV_FEMALE)*p_recur_MI_M) - p_toHF_old - H54*rr_MI*rr_Stroke)*I54 + AX54*(1-p_recur_Stroke-(PREV_FEMALE*p_recur_MI_F + (1-PREV_FEMALE)*p_recur_MI_M) - p_toHF_old - H54*rr_MI*rr_Stroke*rr_DM) + AY54*(1-p_recur_Stroke-(PREV_FEMALE*p_recur_MI_F + (1-PREV_FEMALE)*p_recur_MI_M) - p_toHF_old - H54*rr_MI*rr_Stroke*rr_DM) + AZ54*(1-p_recur_Stroke-(PREV_FEMALE*p_recur_MI_F + (1-PREV_FEMALE)*p_recur_MI_M) - p_toHF_old - H54*rr_MI*rr_Stroke*rr_DM)</f>
        <v>-6.2629892333502484E-6</v>
      </c>
      <c r="BA55">
        <f>AR54*AC54*p_MI*p_MI_HF_old + AD54*T54*p_MI*p_MI_HF_old*I54 + AE54*T54*p_MI*p_MI_HF_old*I54 + AH54*p_toHF_old*I54 + AH54*(PREV_FEMALE*p_recur_MI_F + (1-PREV_FEMALE)*p_recur_MI_M)*p_MI_HF_old*I54 + AI54*p_toHF_old*I54 + AI54*(PREV_FEMALE*p_recur_MI_F + (1-PREV_FEMALE)*p_recur_MI_M)*p_MI_HF_old*I54 + AS54*AC54*p_MI*p_MI_HF_old + AV54*(PREV_FEMALE*p_recur_MI_F + (1-PREV_FEMALE)*p_recur_MI_M)*p_MI_HF_old + AV54*p_toHF_old + AW54*(PREV_FEMALE*p_recur_MI_F + (1-PREV_FEMALE)*p_recur_MI_M)*p_MI_HF_old + AW54*p_toHF_old</f>
        <v>9.9228237596390458E-5</v>
      </c>
      <c r="BB55">
        <f>AM54*(1-T54*p_Stroke - H54*rr_HF)*I54 + AN54*(1-T54*p_Stroke - H54*rr_HF)*I54 + BA54*(1-AC54*p_Stroke - H54*rr_HF*rr_DM) + BB54*(1-AC54*p_Stroke - H54*rr_HF*rr_DM)</f>
        <v>5.5487269456728334E-4</v>
      </c>
      <c r="BC55">
        <f>AF54*T54*p_MI*p_MI_HF_old*I54 + AG54*T54*p_MI*p_MI_HF_old*I54 + AJ54*(PREV_FEMALE*p_recur_MI_F + (1-PREV_FEMALE)*p_recur_MI_M)*p_MI_HF_old*I54 + AJ54*p_toHF_old*I54 + AK54*(PREV_FEMALE*p_recur_MI_F + (1-PREV_FEMALE)*p_recur_MI_M)*p_MI_HF_old*I54 + AK54*p_toHF_old*I54 + AL54*(PREV_FEMALE*p_recur_MI_F + (1-PREV_FEMALE)*p_recur_MI_M)*p_MI_HF_old*I54 + AL54*p_toHF_old*I54 + AT54*AC54*p_MI*p_MI_HF_old + AU54*AC54*p_MI*p_MI_HF_old + AX54*(PREV_FEMALE*p_recur_MI_F + (1-PREV_FEMALE)*p_recur_MI_M)*p_MI_HF_old + AX54*p_toHF_old + AY54*(PREV_FEMALE*p_recur_MI_F + (1-PREV_FEMALE)*p_recur_MI_M)*p_MI_HF_old + AY54*p_toHF_old + AZ54*(PREV_FEMALE*p_recur_MI_F + (1-PREV_FEMALE)*p_recur_MI_M)*p_MI_HF_old + AZ54*p_toHF_old</f>
        <v>2.092135376362964E-6</v>
      </c>
      <c r="BD55">
        <f>AM54*T54*p_Stroke*p_Stroke_rec*I54 + AN54*T54*p_Stroke*p_Stroke_rec*I54 + AO54*(p_recur_Stroke*p_Stroke_rec)*I54 + AP54*(p_recur_Stroke*p_Stroke_rec)*I54 + AQ54*(p_recur_Stroke*p_Stroke_rec)*I54 + BA54*AC54*p_Stroke*p_Stroke_rec + BB54*AC54*p_Stroke*p_Stroke_rec + BC54*(p_recur_Stroke*p_Stroke_rec) + BD54*(p_recur_Stroke*p_Stroke_rec) + BE54*(p_recur_Stroke*p_Stroke_rec)</f>
        <v>1.6503500047684752E-5</v>
      </c>
      <c r="BE55">
        <f>AO54*(1-p_recur_Stroke - H54*rr_Stroke*rr_HF)*I54 + AP54*(1-p_recur_Stroke-H54*rr_Stroke*rr_HF)*I54 + AQ54*(1-p_recur_Stroke-H54*rr_Stroke*rr_HF)*I54 + BC54*(1-p_recur_Stroke - H54*rr_Stroke*rr_HF*rr_DM) + BD54*(1-p_recur_Stroke-H54*rr_Stroke*rr_HF*rr_DM) + BE54*(1-p_recur_Stroke-H54*rr_Stroke*rr_HF*rr_DM)</f>
        <v>-1.0626862293592964E-5</v>
      </c>
      <c r="BF55">
        <f>AD54*H54 + AE54*H54*rr_Other + AF54*H54*rr_Stroke + AG54*H54*rr_Stroke + AH54*H54*rr_MI + AI54*H54*rr_MI + AJ54*H54*rr_Stroke*rr_MI + AK54*H54*rr_Stroke*rr_MI + AL54*H54*rr_Stroke*rr_MI + AM54*H54*rr_HF + AN54*H54*rr_HF + AO54*H54*rr_Stroke*rr_HF + AP54*H54*rr_Stroke*rr_HF + AR54*H54*rr_DM + AS54*H54*rr_DM*rr_Other + AT54*H54*rr_DM*rr_Stroke + AU54*H54*rr_DM*rr_Stroke + AV54*H54*rr_DM*rr_MI + AW54*H54*rr_DM*rr_MI + AX54*H54*rr_DM*rr_Stroke*rr_MI + AY54*H54*rr_DM*rr_Stroke*rr_MI + AZ54*H54*rr_DM*rr_Stroke*rr_MI + BA54*H54*rr_DM*rr_HF + BB54*H54*rr_DM*rr_HF + BC54*H54*rr_DM*rr_Stroke*rr_HF + BD54*H54*rr_DM*rr_Stroke*rr_HF + AQ54*H54*rr_Stroke*rr_HF + BE54*H54*rr_DM*rr_Stroke*rr_HF
+ AD54*T54*p_MI*p_MI_mort + AD54*T54*p_Stroke*p_Stroke_mort + AE54*T54*p_MI*p_MI_mort + AE54*T54*p_Stroke*p_Stroke_mort + AF54*T54*p_MI*p_MI_mort + AF54*p_recur_Stroke*p_Stroke_mort + AG54*T54*p_MI*p_MI_mort + AG54*p_recur_Stroke*p_Stroke_mort + AH54*(PREV_FEMALE*p_recur_MI_F + (1-PREV_FEMALE)*p_recur_MI_M)*p_MI_mort + AH54*T54*p_Stroke*p_Stroke_mort + AI54*(PREV_FEMALE*p_recur_MI_F + (1-PREV_FEMALE)*p_recur_MI_M)*p_MI_mort + AI54*T54*p_Stroke*p_Stroke_mort + AJ54*(PREV_FEMALE*p_recur_MI_F + (1-PREV_FEMALE)*p_recur_MI_M)*p_MI_mort + AJ54*p_recur_Stroke*p_Stroke_mort + AK54*(PREV_FEMALE*p_recur_MI_F + (1-PREV_FEMALE)*p_recur_MI_M)*p_MI_mort + AK54*p_recur_Stroke*p_Stroke_mort + AL54*(PREV_FEMALE*p_recur_MI_F + (1-PREV_FEMALE)*p_recur_MI_M)*p_MI_mort + AL54*p_recur_Stroke*p_Stroke_mort + AM54*T54*p_Stroke*p_Stroke_mort + AN54*T54*p_Stroke*p_Stroke_mort + AO54*p_recur_Stroke*p_Stroke_mort + AP54*p_recur_Stroke*p_Stroke_mort + AQ54*p_recur_Stroke*p_Stroke_mort
+ AR54*AC54*p_MI*p_MI_mort + AR54*AC54*p_Stroke*p_Stroke_mort + AS54*AC54*p_MI*p_MI_mort + AS54*AC54*p_Stroke*p_Stroke_mort + AT54*AC54*p_MI*p_MI_mort + AT54*p_recur_Stroke*p_Stroke_mort + AU54*AC54*p_MI*p_MI_mort + AU54*p_recur_Stroke*p_Stroke_mort + AV54*(PREV_FEMALE*p_recur_MI_F + (1-PREV_FEMALE)*p_recur_MI_M)*p_MI_mort + AV54*AC54*p_Stroke*p_Stroke_mort + AW54*(PREV_FEMALE*p_recur_MI_F + (1-PREV_FEMALE)*p_recur_MI_M)*p_MI_mort + AW54*AC54*p_Stroke*p_Stroke_mort + AX54*(PREV_FEMALE*p_recur_MI_F + (1-PREV_FEMALE)*p_recur_MI_M)*p_MI_mort + AX54*p_recur_Stroke*p_Stroke_mort + AY54*(PREV_FEMALE*p_recur_MI_F + (1-PREV_FEMALE)*p_recur_MI_M)*p_MI_mort + AY54*p_recur_Stroke*p_Stroke_mort + AZ54*(PREV_FEMALE*p_recur_MI_F + (1-PREV_FEMALE)*p_recur_MI_M)*p_MI_mort + AZ54*p_recur_Stroke*p_Stroke_mort + BA54*AC54*p_Stroke*p_Stroke_mort + BB54*AC54*p_Stroke*p_Stroke_mort + BC54*p_recur_Stroke*p_Stroke_mort + BD54*p_recur_Stroke*p_Stroke_mort + BE54*p_recur_Stroke*p_Stroke_mort
+BF54</f>
        <v>0.93637162262413598</v>
      </c>
      <c r="BG55">
        <f t="shared" si="50"/>
        <v>0.94700000000000029</v>
      </c>
      <c r="BH55">
        <f>(0.9442 - 0.0007*$B55 - dis_BMI*($C55-21.75))*AD55</f>
        <v>1.257240323354239E-3</v>
      </c>
      <c r="BI55">
        <f>0.959*(0.9442 - 0.0007*$B55 - dis_BMI*($C55-21.75))*AE55</f>
        <v>1.9610353294679614E-4</v>
      </c>
      <c r="BJ55">
        <f>(0.943*(0.9442 - 0.0007*$B55 - dis_BMI*($C55-21.75)) - 0.19*0.5)*AF55</f>
        <v>1.8046419777841617E-5</v>
      </c>
      <c r="BK55">
        <f>(0.943*(0.9442 - 0.0007*$B55 - dis_BMI*($C55-21.75)))*AG55</f>
        <v>4.5256217796818741E-6</v>
      </c>
      <c r="BL55">
        <f>(0.955*(0.9442 - 0.0007*$B55 - dis_BMI*($C55-21.75)) - 0.15*0.5)*AH55</f>
        <v>1.2760151543182032E-5</v>
      </c>
      <c r="BM55">
        <f>(0.955*(0.9442 - 0.0007*$B55 - dis_BMI*($C55-21.75)))*AI55</f>
        <v>2.80086613736185E-5</v>
      </c>
      <c r="BN55">
        <f>(0.955*0.943*(0.9442 - 0.0007*$B55 - dis_BMI*($C55-21.75)) - 0.19*0.5)*AJ55</f>
        <v>4.9253947038844748E-7</v>
      </c>
      <c r="BO55">
        <f>(0.955*0.943*(0.9442 - 0.0007*$B55 - dis_BMI*($C55-21.75)) - 0.15*0.5)*AK55</f>
        <v>2.2265816026192949E-7</v>
      </c>
      <c r="BP55">
        <f>(0.955*0.943*(0.9442 - 0.0007*$B55 - dis_BMI*($C55-21.75)))*AL55</f>
        <v>-3.4832612548909908E-7</v>
      </c>
      <c r="BQ55">
        <f>(0.93*(0.9442 - 0.0007*$B55 - dis_BMI*($C55-21.75)))*AM55</f>
        <v>1.0437306913192082E-5</v>
      </c>
      <c r="BR55">
        <f>(0.93*(0.9442 - 0.0007*$B55 - dis_BMI*($C55-21.75)))*AN55</f>
        <v>6.7189318016746817E-5</v>
      </c>
      <c r="BS55">
        <f>(0.93*0.943*(0.9442 - 0.0007*$B55 - dis_BMI*($C55-21.75)))*AO55</f>
        <v>1.5694069547081035E-7</v>
      </c>
      <c r="BT55">
        <f>(0.93*0.943*(0.9442 - 0.0007*$B55 - dis_BMI*($C55-21.75))-0.19*0.5)*AP55</f>
        <v>9.3990358776967479E-7</v>
      </c>
      <c r="BU55">
        <f>(0.93*0.943*(0.9442 - 0.0007*$B55 - dis_BMI*($C55-21.75)))*AQ55</f>
        <v>-5.6572904674202961E-7</v>
      </c>
      <c r="BV55">
        <f>0.962*(0.9442 - 0.0007*$B55 - dis_BMI*($C55-21.75))*AR55</f>
        <v>4.8783274329692004E-3</v>
      </c>
      <c r="BW55">
        <f>0.962*0.959*(0.9442 - 0.0007*$B55 - dis_BMI*($C55-21.75))*AS55</f>
        <v>1.030694634249125E-3</v>
      </c>
      <c r="BX55">
        <f>0.962*(0.943*(0.9442 - 0.0007*$B55 - dis_BMI*($C55-21.75)) - 0.19*0.5)*AT55</f>
        <v>1.2106023285020638E-4</v>
      </c>
      <c r="BY55">
        <f>0.962*(0.943*(0.9442 - 0.0007*$B55 - dis_BMI*($C55-21.75)))*AU55</f>
        <v>-5.1876358007311878E-7</v>
      </c>
      <c r="BZ55">
        <f>0.962*(0.955*(0.9442 - 0.0007*$B55 - dis_BMI*($C55-21.75)) - 0.15*0.5)*AV55</f>
        <v>8.8693008694621221E-5</v>
      </c>
      <c r="CA55">
        <f>0.962*(0.955*(0.9442 - 0.0007*$B55 - dis_BMI*($C55-21.75)))*AW55</f>
        <v>1.7327671309210786E-4</v>
      </c>
      <c r="CB55">
        <f>0.962*(0.955*0.943*(0.9442 - 0.0007*$B55 - dis_BMI*($C55-21.75)) - 0.19*0.5)*AX55</f>
        <v>5.3285829009365333E-6</v>
      </c>
      <c r="CC55">
        <f>0.962*(0.955*0.943*(0.9442 - 0.0007*$B55 - dis_BMI*($C55-21.75)) - 0.15*0.5)*AY55</f>
        <v>2.0702831427049994E-6</v>
      </c>
      <c r="CD55">
        <f>0.962*(0.955*0.943*(0.9442 - 0.0007*$B55 - dis_BMI*($C55-21.75)))*AZ55</f>
        <v>-4.4950512103887756E-6</v>
      </c>
      <c r="CE55">
        <f>0.962*(0.93*(0.9442 - 0.0007*$B55 - dis_BMI*($C55-21.75)))*BA55</f>
        <v>7.3545506091973262E-5</v>
      </c>
      <c r="CF55">
        <f>0.962*(0.93*(0.9442 - 0.0007*$B55 - dis_BMI*($C55-21.75)))*BB55</f>
        <v>4.1125786496939867E-4</v>
      </c>
      <c r="CG55">
        <f>0.962*(0.93*0.943*(0.9442 - 0.0007*$B55 - dis_BMI*($C55-21.75)))*BC55</f>
        <v>1.4622523864513714E-6</v>
      </c>
      <c r="CH55">
        <f>0.962*(0.93*0.943*(0.9442 - 0.0007*$B55 - dis_BMI*($C55-21.75))-0.19*0.5)*BD55</f>
        <v>1.0026506505156819E-5</v>
      </c>
      <c r="CI55">
        <f>0.962*(0.93*0.943*(0.9442 - 0.0007*$B55 - dis_BMI*($C55-21.75)))*BE55</f>
        <v>-7.4274136008876139E-6</v>
      </c>
      <c r="CJ55">
        <f t="shared" si="51"/>
        <v>0</v>
      </c>
      <c r="CK55">
        <f t="shared" si="52"/>
        <v>8.3785111119074919E-3</v>
      </c>
      <c r="CL55">
        <f>CK55/(1+r_)^A55</f>
        <v>1.8014871361327388E-3</v>
      </c>
      <c r="CM55">
        <f>AD55*c_BN_2</f>
        <v>3.1793583936176333</v>
      </c>
      <c r="CN55">
        <f>AE55*(c_Other+c_BN_2)</f>
        <v>4.0416504906784478</v>
      </c>
      <c r="CO55">
        <f>AF55*(c_Stroke1+c_Stroke2+c_BN_2)</f>
        <v>0.68141315327884289</v>
      </c>
      <c r="CP55">
        <f>AG55*(c_Stroke2 + c_BN_2)</f>
        <v>4.9790857032648281E-2</v>
      </c>
      <c r="CQ55">
        <f>AH55*(c_MI1+c_MI2 + c_BN_2)</f>
        <v>0.55672164893144249</v>
      </c>
      <c r="CR55">
        <f>AI55*(c_MI2+c_BN_2)</f>
        <v>0.1845145192600128</v>
      </c>
      <c r="CS55">
        <f>AJ55*(c_Stroke1+c_Stroke2+c_MI2+c_BN_2)</f>
        <v>2.1960002396365322E-2</v>
      </c>
      <c r="CT55">
        <f>AK55*(c_Stroke2+c_MI1+c_MI2+c_BN_2)</f>
        <v>1.252401516182409E-2</v>
      </c>
      <c r="CU55">
        <f>AL55*(c_Stroke2+c_MI2+c_BN_2)</f>
        <v>-5.4681347225140845E-3</v>
      </c>
      <c r="CV55">
        <f>AM55*(c_HF1+c_BN_2)</f>
        <v>0.39455595029601498</v>
      </c>
      <c r="CW55">
        <f>AN55*(c_HF2+c_BN_2)</f>
        <v>1.5435749016451434</v>
      </c>
      <c r="CX55">
        <f>AO55*(c_Stroke2+c_HF1+c_BN_2)</f>
        <v>7.6954312423159537E-3</v>
      </c>
      <c r="CY55">
        <f>AP55*(c_Stroke1+c_Stroke2+c_HF2+c_BN_2)</f>
        <v>6.17874542003473E-2</v>
      </c>
      <c r="CZ55">
        <f>AQ55*(c_Stroke2+c_HF2+c_BN_2)</f>
        <v>-1.8843707746678689E-2</v>
      </c>
      <c r="DA55">
        <f>AR55*(c_DM+c_BN_2)</f>
        <v>82.757949953278526</v>
      </c>
      <c r="DB55">
        <f>AS55*(c_Other+c_DM+c_BN_2)</f>
        <v>37.488897371411085</v>
      </c>
      <c r="DC55">
        <f>AT55*(c_Stroke1+c_Stroke2+c_DM+c_BN_2)</f>
        <v>6.8468293493828529</v>
      </c>
      <c r="DD55">
        <f>AU55*(c_Stroke2+c_DM+c_BN_2)</f>
        <v>-1.3819233171177149E-2</v>
      </c>
      <c r="DE55">
        <f>AV55*(c_MI1+c_MI2+c_DM+c_BN_2)</f>
        <v>5.4933210985247047</v>
      </c>
      <c r="DF55">
        <f>AW55*(c_MI2+c_DM+c_BN_2)</f>
        <v>3.7876856779033359</v>
      </c>
      <c r="DG55">
        <f>AX55*(c_Stroke1+c_Stroke2+c_MI2+c_DM+c_BN_2)</f>
        <v>0.34416097148967029</v>
      </c>
      <c r="DH55">
        <f>AY55*(c_Stroke2+c_MI1+c_MI2+c_DM+c_BN_2)</f>
        <v>0.15768767410348369</v>
      </c>
      <c r="DI55">
        <f>AZ55*(c_Stroke2+c_MI2+c_DM+c_BN_2)</f>
        <v>-0.14490678189202469</v>
      </c>
      <c r="DJ55">
        <f>BA55*(c_HF1+c_DM+c_BN_2)</f>
        <v>4.0237050345336334</v>
      </c>
      <c r="DK55">
        <f>BB55*(c_HF2+c_DM+c_BN_2)</f>
        <v>16.160667229272129</v>
      </c>
      <c r="DL55">
        <f>BC55*(c_Stroke2+c_HF1+c_DM+c_BN_2)</f>
        <v>9.8434969457877455E-2</v>
      </c>
      <c r="DM55">
        <f>BD55*(c_Stroke1+c_Stroke2+c_HF2+c_DM+c_BN_2)</f>
        <v>0.87371179602447846</v>
      </c>
      <c r="DN55">
        <f>BE55*(c_Stroke2+c_HF2+c_DM+c_BN_2)</f>
        <v>-0.37858196920924936</v>
      </c>
      <c r="DO55">
        <f t="shared" si="53"/>
        <v>0</v>
      </c>
      <c r="DP55">
        <f t="shared" si="54"/>
        <v>168.20697811638118</v>
      </c>
      <c r="DQ55">
        <f>DP55/(1+r_)^A55</f>
        <v>36.166653387111658</v>
      </c>
    </row>
    <row r="56" spans="1:121" x14ac:dyDescent="0.3">
      <c r="A56">
        <v>53</v>
      </c>
      <c r="B56">
        <v>98</v>
      </c>
      <c r="C56">
        <f t="shared" si="39"/>
        <v>36.251999999999995</v>
      </c>
      <c r="D56">
        <f t="shared" si="1"/>
        <v>125</v>
      </c>
      <c r="E56">
        <f t="shared" si="41"/>
        <v>5.7</v>
      </c>
      <c r="F56">
        <v>0.27543000000000001</v>
      </c>
      <c r="G56">
        <v>0.31792999999999999</v>
      </c>
      <c r="H56">
        <f t="shared" si="42"/>
        <v>0.28393000000000002</v>
      </c>
      <c r="I56">
        <f t="shared" si="43"/>
        <v>4.7655426853004217E-2</v>
      </c>
      <c r="J56">
        <f t="shared" si="21"/>
        <v>0.49778928440520365</v>
      </c>
      <c r="K56">
        <f t="shared" si="22"/>
        <v>0.61885222930771366</v>
      </c>
      <c r="L56">
        <f t="shared" si="23"/>
        <v>0.27822843905621286</v>
      </c>
      <c r="M56">
        <f t="shared" si="24"/>
        <v>0.36658245031228631</v>
      </c>
      <c r="N56">
        <f t="shared" si="25"/>
        <v>0.87060710852313927</v>
      </c>
      <c r="O56">
        <f t="shared" si="26"/>
        <v>0.94439174605064002</v>
      </c>
      <c r="P56">
        <f t="shared" si="27"/>
        <v>0.63427256212894878</v>
      </c>
      <c r="Q56">
        <f t="shared" si="28"/>
        <v>0.7585948958605564</v>
      </c>
      <c r="R56">
        <f>IF(C56&lt;25, HT_f_low, IF(C56&lt;30, HT_f_mod, HT_f_high))</f>
        <v>0.42</v>
      </c>
      <c r="S56">
        <f>IF(C56&lt;25, HT_m_low, IF(C56&lt;30, HT_m_mod, HT_m_high))</f>
        <v>0.43099999999999999</v>
      </c>
      <c r="T56">
        <f>PREV_FEMALE*PREV_SMOKE*(1-$R56)*(1-EXP(-J56/10))+PREV_FEMALE*PREV_SMOKE*$R56*(1-EXP(-K56/10))+PREV_FEMALE*(1-PREV_SMOKE)*(1-$R56)*(1-EXP(-L56/10))+PREV_FEMALE*(1-PREV_SMOKE)*$R56*(1-EXP(-M56/10))+(1-PREV_FEMALE)*PREV_SMOKE*(1-$S56)*(1-EXP(-N56/10))+(1-PREV_FEMALE)*PREV_SMOKE*$S56*(1-EXP(-O56/10))+(1-PREV_FEMALE)*(1-PREV_SMOKE)*(1-$S56)*(1-EXP(-P56/10))+(1-PREV_FEMALE)*(1-PREV_SMOKE)*$S56*(1-EXP(-Q56/10))</f>
        <v>4.0846409589758464E-2</v>
      </c>
      <c r="U56">
        <f t="shared" si="29"/>
        <v>0.77662443435807338</v>
      </c>
      <c r="V56">
        <f t="shared" si="30"/>
        <v>0.87744527622894664</v>
      </c>
      <c r="W56">
        <f t="shared" si="31"/>
        <v>0.50814823297118306</v>
      </c>
      <c r="X56">
        <f t="shared" si="32"/>
        <v>0.62981697374199719</v>
      </c>
      <c r="Y56">
        <f t="shared" si="33"/>
        <v>0.96918374229944793</v>
      </c>
      <c r="Z56">
        <f t="shared" si="34"/>
        <v>0.99267744341877029</v>
      </c>
      <c r="AA56">
        <f t="shared" si="35"/>
        <v>0.81942990721401288</v>
      </c>
      <c r="AB56">
        <f t="shared" si="36"/>
        <v>0.91094695370020018</v>
      </c>
      <c r="AC56">
        <f>PREV_FEMALE*PREV_SMOKE*(1-$R56)*(1-EXP(-U56/10))+PREV_FEMALE*PREV_SMOKE*$R56*(1-EXP(-V56/10))+PREV_FEMALE*(1-PREV_SMOKE)*(1-$R56)*(1-EXP(-W56/10))+PREV_FEMALE*(1-PREV_SMOKE)*$R56*(1-EXP(-X56/10))+(1-PREV_FEMALE)*PREV_SMOKE*(1-$S56)*(1-EXP(-Y56/10))+(1-PREV_FEMALE)*PREV_SMOKE*$S56*(1-EXP(-Z56/10))+(1-PREV_FEMALE)*(1-PREV_SMOKE)*(1-$S56)*(1-EXP(-AA56/10))+(1-PREV_FEMALE)*(1-PREV_SMOKE)*$S56*(1-EXP(-AB56/10))</f>
        <v>6.2656614484079012E-2</v>
      </c>
      <c r="AD56">
        <f t="shared" si="44"/>
        <v>1.0080173599955678E-3</v>
      </c>
      <c r="AE56">
        <f t="shared" si="45"/>
        <v>1.4544956785338191E-4</v>
      </c>
      <c r="AF56">
        <f t="shared" si="46"/>
        <v>1.7619701533007459E-5</v>
      </c>
      <c r="AG56">
        <f t="shared" si="47"/>
        <v>1.5169623921299452E-6</v>
      </c>
      <c r="AH56">
        <f>AD55*T55*p_MI*p_MI_rec_old*(1-I55)+AE55*T55*p_MI*p_MI_rec_old*(1-I55) + AH55*(PREV_FEMALE*p_recur_MI_F + (1-PREV_FEMALE)*p_recur_MI_M)*p_MI_rec_old*(1-I55) + AI55*(PREV_FEMALE*p_recur_MI_F + (1-PREV_FEMALE)*p_recur_MI_M)*p_MI_rec_old*(1-I55)</f>
        <v>1.2105553530801502E-5</v>
      </c>
      <c r="AI56">
        <f>AH55*(1-(PREV_FEMALE*p_recur_MI_F + (1-PREV_FEMALE)*p_recur_MI_M) - T55*p_Stroke - p_toHF_old - H55*rr_MI)*(1-I55) + AI55*(1-(PREV_FEMALE*p_recur_MI_F + (1-PREV_FEMALE)*p_recur_MI_M) - T55*p_Stroke - p_toHF_old - H55*rr_MI)*(1-I55)</f>
        <v>2.1386873733298123E-5</v>
      </c>
      <c r="AJ56">
        <f t="shared" si="48"/>
        <v>4.9501853221374656E-7</v>
      </c>
      <c r="AK56">
        <f>AF55*T55*p_MI*p_MI_rec_old*(1-I55) + AG55*T55*p_MI*p_MI_rec_old*(1-I55) + AJ55*(PREV_FEMALE*p_recur_MI_F + (1-PREV_FEMALE)*p_recur_MI_M)*p_MI_rec_old*(1-I55) + AK55*(PREV_FEMALE*p_recur_MI_F + (1-PREV_FEMALE)*p_recur_MI_M)*p_MI_rec_old*(1-I55) + AL55*(PREV_FEMALE*p_recur_MI_F + (1-PREV_FEMALE)*p_recur_MI_M)*p_MI_rec_old*(1-I55)</f>
        <v>2.0423088567329636E-7</v>
      </c>
      <c r="AL56">
        <f>AJ55*(1-p_recur_Stroke-(PREV_FEMALE*p_recur_MI_F + (1-PREV_FEMALE)*p_recur_MI_M) - p_toHF_old - H55*rr_MI*rr_Stroke)*(1-I55) + AK55*(1-p_recur_Stroke-(PREV_FEMALE*p_recur_MI_F + (1-PREV_FEMALE)*p_recur_MI_M) - p_toHF_old - H55*rr_MI*rr_Stroke)*(1-I55) + AL55*(1-p_recur_Stroke-(PREV_FEMALE*p_recur_MI_F + (1-PREV_FEMALE)*p_recur_MI_M) - p_toHF_old - H55*rr_MI*rr_Stroke)*(1-I55)</f>
        <v>-3.3860385658230989E-7</v>
      </c>
      <c r="AM56">
        <f>AD55*T55*p_MI*p_MI_HF_old*(1-I55) + AE55*T55*p_MI*p_MI_HF_old*(1-I55) + AH55*p_toHF_old*(1-I55) + AH55*(PREV_FEMALE*p_recur_MI_F + (1-PREV_FEMALE)*p_recur_MI_M)*p_MI_HF_old*(1-I55) + AI55*p_toHF_old*(1-I55) + AI55*(PREV_FEMALE*p_recur_MI_F + (1-PREV_FEMALE)*p_recur_MI_M)*p_MI_HF_old*(1-I55)</f>
        <v>9.0305465845729345E-6</v>
      </c>
      <c r="AN56">
        <f t="shared" si="49"/>
        <v>4.9231487746113365E-5</v>
      </c>
      <c r="AO56">
        <f>AF55*T55*p_MI*p_MI_HF_old*(1-I55) + AG55*T55*p_MI*p_MI_HF_old*(1-I55) + AJ55*(PREV_FEMALE*p_recur_MI_F + (1-PREV_FEMALE)*p_recur_MI_M)*p_MI_HF_old*(1-I55) + AJ55*p_toHF_old*(1-I55) + AK55*(PREV_FEMALE*p_recur_MI_F + (1-PREV_FEMALE)*p_recur_MI_M)*p_MI_HF_old*(1-I55) + AK55*p_toHF_old*(1-I55) + AL55*(PREV_FEMALE*p_recur_MI_F + (1-PREV_FEMALE)*p_recur_MI_M)*p_MI_HF_old*(1-I55) + AL55*p_toHF_old*(1-I55)</f>
        <v>1.3129253025451241E-7</v>
      </c>
      <c r="AP56">
        <f>AM55*T55*p_Stroke*p_Stroke_rec*(1-I55) + AN55*T55*p_Stroke*p_Stroke_rec*(1-I55) + AO55*(p_recur_Stroke*p_Stroke_rec)*(1-I55) + AP55*(p_recur_Stroke*p_Stroke_rec)*(1-I55) + AQ55*(p_recur_Stroke*p_Stroke_rec)*(1-I55)</f>
        <v>9.1079404177021226E-7</v>
      </c>
      <c r="AQ56">
        <f>AO55*(1-p_recur_Stroke-H55*rr_Stroke*rr_HF)*(1-I55) + AP55*(1-p_recur_Stroke-H55*rr_Stroke*rr_HF)*(1-I55) + AQ55*(1-p_recur_Stroke-H55*rr_Stroke*rr_HF)*(1-I55)</f>
        <v>-5.4232688140850374E-7</v>
      </c>
      <c r="AR56">
        <f>AR55*(1-AC55-H55*rr_DM) + AD55*(1-T55-H55)*I55</f>
        <v>3.9458088085066742E-3</v>
      </c>
      <c r="AS56">
        <f>AR55*AC55*p_Other + AD55*T55*p_Other*I55 + AE55*(1-T55*p_Stroke-T55*p_MI-H55*rr_Other)*I55 + AS55*(1-AC55*p_Stroke-AC55*p_MI-H55*rr_Other*rr_DM)</f>
        <v>7.5291291116109395E-4</v>
      </c>
      <c r="AT56">
        <f>AR55*AC55*p_Stroke*p_Stroke_rec + AD55*T55*p_Stroke*p_Stroke_rec*I55 + AE55*T55*p_Stroke*p_Stroke_rec*I55 + AF55*p_recur_Stroke*p_Stroke_rec*I55 + AG55*p_recur_Stroke*p_Stroke_rec*I55 + AS55*AC55*p_Stroke*p_Stroke_rec + AT55*p_recur_Stroke*p_Stroke_rec + AU55*p_recur_Stroke*p_Stroke_rec</f>
        <v>1.1869100517337703E-4</v>
      </c>
      <c r="AU56">
        <f>AF55*(1-p_recur_Stroke-T55*p_MI-H55*rr_Stroke)*I55 + AG55*(1-p_recur_Stroke-T55*p_MI-H55*rr_Stroke)*I55 + AT55*(1-p_recur_Stroke-AC55*p_MI-H55*rr_Stroke*rr_DM) + AU55*(1-p_recur_Stroke-AC55*p_MI-H55*rr_Stroke*rr_DM)</f>
        <v>-1.424229982448563E-5</v>
      </c>
      <c r="AV56">
        <f>AR55*AC55*p_MI*p_MI_rec_old + AD55*T55*p_MI*p_MI_rec_old*I55 + AE55*T55*p_MI*p_MI_rec_old*I55 +AH55*(PREV_FEMALE*p_recur_MI_F + (1-PREV_FEMALE)*p_recur_MI_M)*p_MI_rec_old*I55 + AI55*(PREV_FEMALE*p_recur_MI_F + (1-PREV_FEMALE)*p_recur_MI_M)*p_MI_rec_old*I55 + AS55*AC55*p_MI*p_MI_rec_old + AV55*(PREV_FEMALE*p_recur_MI_F + (1-PREV_FEMALE)*p_recur_MI_M)*p_MI_rec_old + AW55*(PREV_FEMALE*p_recur_MI_F + (1-PREV_FEMALE)*p_recur_MI_M)*p_MI_rec_old</f>
        <v>8.4013151226172044E-5</v>
      </c>
      <c r="AW56">
        <f>AH55*(1-(PREV_FEMALE*p_recur_MI_F + (1-PREV_FEMALE)*p_recur_MI_M) - T55*p_Stroke - p_toHF_old - H55*rr_MI)*I55 + AI55*(1-(PREV_FEMALE*p_recur_MI_F + (1-PREV_FEMALE)*p_recur_MI_M) - T55*p_Stroke - p_toHF_old - H55*rr_MI)*I55 + AV55*(1-(PREV_FEMALE*p_recur_MI_F + (1-PREV_FEMALE)*p_recur_MI_M) - AC55*p_Stroke - p_toHF_old - H55*rr_MI*rr_DM) + AW55*(1-(PREV_FEMALE*p_recur_MI_F + (1-PREV_FEMALE)*p_recur_MI_M) - AC55*p_Stroke - p_toHF_old - H55*rr_MI*rr_DM)</f>
        <v>1.2751238393719679E-4</v>
      </c>
      <c r="AX56">
        <f>AH55*T55*p_Stroke*p_Stroke_rec*I55 + AI55*T55*p_Stroke*p_Stroke_rec*I55 + AJ55*p_recur_Stroke*p_Stroke_rec*I55 + AK55*p_recur_Stroke*p_Stroke_rec*I55 + AL55*p_recur_Stroke*p_Stroke_rec*I55 + AV55*AC55*p_Stroke*p_Stroke_rec + AW55*AC55*p_Stroke*p_Stroke_rec + AX55*p_recur_Stroke*p_Stroke_rec + AY55*p_recur_Stroke*p_Stroke_rec + AZ55*p_recur_Stroke*p_Stroke_rec</f>
        <v>5.2853251883274743E-6</v>
      </c>
      <c r="AY56">
        <f>AF55*T55*p_MI*p_MI_rec_old*I55 + AG55*T55*p_MI*p_MI_rec_old*I55 + AJ55*(PREV_FEMALE*p_recur_MI_F+(1-PREV_FEMALE)*p_recur_MI_M)*p_MI_rec_old*I55 + AK55*(PREV_FEMALE*p_recur_MI_F+(1-PREV_FEMALE)*p_recur_MI_M)*p_MI_rec_old*I55 + AL55*(PREV_FEMALE*p_recur_MI_F+(1-PREV_FEMALE)*p_recur_MI_M)*p_MI_rec_old*I55 + AT55*AC55*p_MI*p_MI_rec_old + AU55*AC55*p_MI*p_MI_rec_old + AX55*(PREV_FEMALE*p_recur_MI_F+(1-PREV_FEMALE)*p_recur_MI_M)*p_MI_rec_old + AY55*(PREV_FEMALE*p_recur_MI_F+(1-PREV_FEMALE)*p_recur_MI_M)*p_MI_rec_old + AZ55*(PREV_FEMALE*p_recur_MI_F+(1-PREV_FEMALE)*p_recur_MI_M)*p_MI_rec_old</f>
        <v>1.8924357105968703E-6</v>
      </c>
      <c r="AZ56">
        <f>AJ55*(1-p_recur_Stroke-(PREV_FEMALE*p_recur_MI_F + (1-PREV_FEMALE)*p_recur_MI_M) - p_toHF_old - H55*rr_MI*rr_Stroke)*I55 + AK55*(1-p_recur_Stroke-(PREV_FEMALE*p_recur_MI_F + (1-PREV_FEMALE)*p_recur_MI_M) - p_toHF_old - H55*rr_MI*rr_Stroke)*I55 + AL55*(1-p_recur_Stroke-(PREV_FEMALE*p_recur_MI_F + (1-PREV_FEMALE)*p_recur_MI_M) - p_toHF_old - H55*rr_MI*rr_Stroke)*I55 + AX55*(1-p_recur_Stroke-(PREV_FEMALE*p_recur_MI_F + (1-PREV_FEMALE)*p_recur_MI_M) - p_toHF_old - H55*rr_MI*rr_Stroke*rr_DM) + AY55*(1-p_recur_Stroke-(PREV_FEMALE*p_recur_MI_F + (1-PREV_FEMALE)*p_recur_MI_M) - p_toHF_old - H55*rr_MI*rr_Stroke*rr_DM) + AZ55*(1-p_recur_Stroke-(PREV_FEMALE*p_recur_MI_F + (1-PREV_FEMALE)*p_recur_MI_M) - p_toHF_old - H55*rr_MI*rr_Stroke*rr_DM)</f>
        <v>-4.197544272414264E-6</v>
      </c>
      <c r="BA56">
        <f>AR55*AC55*p_MI*p_MI_HF_old + AD55*T55*p_MI*p_MI_HF_old*I55 + AE55*T55*p_MI*p_MI_HF_old*I55 + AH55*p_toHF_old*I55 + AH55*(PREV_FEMALE*p_recur_MI_F + (1-PREV_FEMALE)*p_recur_MI_M)*p_MI_HF_old*I55 + AI55*p_toHF_old*I55 + AI55*(PREV_FEMALE*p_recur_MI_F + (1-PREV_FEMALE)*p_recur_MI_M)*p_MI_HF_old*I55 + AS55*AC55*p_MI*p_MI_HF_old + AV55*(PREV_FEMALE*p_recur_MI_F + (1-PREV_FEMALE)*p_recur_MI_M)*p_MI_HF_old + AV55*p_toHF_old + AW55*(PREV_FEMALE*p_recur_MI_F + (1-PREV_FEMALE)*p_recur_MI_M)*p_MI_HF_old + AW55*p_toHF_old</f>
        <v>6.324814994362608E-5</v>
      </c>
      <c r="BB56">
        <f>AM55*(1-T55*p_Stroke - H55*rr_HF)*I55 + AN55*(1-T55*p_Stroke - H55*rr_HF)*I55 + BA55*(1-AC55*p_Stroke - H55*rr_HF*rr_DM) + BB55*(1-AC55*p_Stroke - H55*rr_HF*rr_DM)</f>
        <v>2.8793259484920122E-4</v>
      </c>
      <c r="BC56">
        <f>AF55*T55*p_MI*p_MI_HF_old*I55 + AG55*T55*p_MI*p_MI_HF_old*I55 + AJ55*(PREV_FEMALE*p_recur_MI_F + (1-PREV_FEMALE)*p_recur_MI_M)*p_MI_HF_old*I55 + AJ55*p_toHF_old*I55 + AK55*(PREV_FEMALE*p_recur_MI_F + (1-PREV_FEMALE)*p_recur_MI_M)*p_MI_HF_old*I55 + AK55*p_toHF_old*I55 + AL55*(PREV_FEMALE*p_recur_MI_F + (1-PREV_FEMALE)*p_recur_MI_M)*p_MI_HF_old*I55 + AL55*p_toHF_old*I55 + AT55*AC55*p_MI*p_MI_HF_old + AU55*AC55*p_MI*p_MI_HF_old + AX55*(PREV_FEMALE*p_recur_MI_F + (1-PREV_FEMALE)*p_recur_MI_M)*p_MI_HF_old + AX55*p_toHF_old + AY55*(PREV_FEMALE*p_recur_MI_F + (1-PREV_FEMALE)*p_recur_MI_M)*p_MI_HF_old + AY55*p_toHF_old + AZ55*(PREV_FEMALE*p_recur_MI_F + (1-PREV_FEMALE)*p_recur_MI_M)*p_MI_HF_old + AZ55*p_toHF_old</f>
        <v>1.2163702833847196E-6</v>
      </c>
      <c r="BD56">
        <f>AM55*T55*p_Stroke*p_Stroke_rec*I55 + AN55*T55*p_Stroke*p_Stroke_rec*I55 + AO55*(p_recur_Stroke*p_Stroke_rec)*I55 + AP55*(p_recur_Stroke*p_Stroke_rec)*I55 + AQ55*(p_recur_Stroke*p_Stroke_rec)*I55 + BA55*AC55*p_Stroke*p_Stroke_rec + BB55*AC55*p_Stroke*p_Stroke_rec + BC55*(p_recur_Stroke*p_Stroke_rec) + BD55*(p_recur_Stroke*p_Stroke_rec) + BE55*(p_recur_Stroke*p_Stroke_rec)</f>
        <v>9.4753623707029023E-6</v>
      </c>
      <c r="BE56">
        <f>AO55*(1-p_recur_Stroke - H55*rr_Stroke*rr_HF)*I55 + AP55*(1-p_recur_Stroke-H55*rr_Stroke*rr_HF)*I55 + AQ55*(1-p_recur_Stroke-H55*rr_Stroke*rr_HF)*I55 + BC55*(1-p_recur_Stroke - H55*rr_Stroke*rr_HF*rr_DM) + BD55*(1-p_recur_Stroke-H55*rr_Stroke*rr_HF*rr_DM) + BE55*(1-p_recur_Stroke-H55*rr_Stroke*rr_HF*rr_DM)</f>
        <v>-6.7169542085932722E-6</v>
      </c>
      <c r="BF56">
        <f>AD55*H55 + AE55*H55*rr_Other + AF55*H55*rr_Stroke + AG55*H55*rr_Stroke + AH55*H55*rr_MI + AI55*H55*rr_MI + AJ55*H55*rr_Stroke*rr_MI + AK55*H55*rr_Stroke*rr_MI + AL55*H55*rr_Stroke*rr_MI + AM55*H55*rr_HF + AN55*H55*rr_HF + AO55*H55*rr_Stroke*rr_HF + AP55*H55*rr_Stroke*rr_HF + AR55*H55*rr_DM + AS55*H55*rr_DM*rr_Other + AT55*H55*rr_DM*rr_Stroke + AU55*H55*rr_DM*rr_Stroke + AV55*H55*rr_DM*rr_MI + AW55*H55*rr_DM*rr_MI + AX55*H55*rr_DM*rr_Stroke*rr_MI + AY55*H55*rr_DM*rr_Stroke*rr_MI + AZ55*H55*rr_DM*rr_Stroke*rr_MI + BA55*H55*rr_DM*rr_HF + BB55*H55*rr_DM*rr_HF + BC55*H55*rr_DM*rr_Stroke*rr_HF + BD55*H55*rr_DM*rr_Stroke*rr_HF + AQ55*H55*rr_Stroke*rr_HF + BE55*H55*rr_DM*rr_Stroke*rr_HF
+ AD55*T55*p_MI*p_MI_mort + AD55*T55*p_Stroke*p_Stroke_mort + AE55*T55*p_MI*p_MI_mort + AE55*T55*p_Stroke*p_Stroke_mort + AF55*T55*p_MI*p_MI_mort + AF55*p_recur_Stroke*p_Stroke_mort + AG55*T55*p_MI*p_MI_mort + AG55*p_recur_Stroke*p_Stroke_mort + AH55*(PREV_FEMALE*p_recur_MI_F + (1-PREV_FEMALE)*p_recur_MI_M)*p_MI_mort + AH55*T55*p_Stroke*p_Stroke_mort + AI55*(PREV_FEMALE*p_recur_MI_F + (1-PREV_FEMALE)*p_recur_MI_M)*p_MI_mort + AI55*T55*p_Stroke*p_Stroke_mort + AJ55*(PREV_FEMALE*p_recur_MI_F + (1-PREV_FEMALE)*p_recur_MI_M)*p_MI_mort + AJ55*p_recur_Stroke*p_Stroke_mort + AK55*(PREV_FEMALE*p_recur_MI_F + (1-PREV_FEMALE)*p_recur_MI_M)*p_MI_mort + AK55*p_recur_Stroke*p_Stroke_mort + AL55*(PREV_FEMALE*p_recur_MI_F + (1-PREV_FEMALE)*p_recur_MI_M)*p_MI_mort + AL55*p_recur_Stroke*p_Stroke_mort + AM55*T55*p_Stroke*p_Stroke_mort + AN55*T55*p_Stroke*p_Stroke_mort + AO55*p_recur_Stroke*p_Stroke_mort + AP55*p_recur_Stroke*p_Stroke_mort + AQ55*p_recur_Stroke*p_Stroke_mort
+ AR55*AC55*p_MI*p_MI_mort + AR55*AC55*p_Stroke*p_Stroke_mort + AS55*AC55*p_MI*p_MI_mort + AS55*AC55*p_Stroke*p_Stroke_mort + AT55*AC55*p_MI*p_MI_mort + AT55*p_recur_Stroke*p_Stroke_mort + AU55*AC55*p_MI*p_MI_mort + AU55*p_recur_Stroke*p_Stroke_mort + AV55*(PREV_FEMALE*p_recur_MI_F + (1-PREV_FEMALE)*p_recur_MI_M)*p_MI_mort + AV55*AC55*p_Stroke*p_Stroke_mort + AW55*(PREV_FEMALE*p_recur_MI_F + (1-PREV_FEMALE)*p_recur_MI_M)*p_MI_mort + AW55*AC55*p_Stroke*p_Stroke_mort + AX55*(PREV_FEMALE*p_recur_MI_F + (1-PREV_FEMALE)*p_recur_MI_M)*p_MI_mort + AX55*p_recur_Stroke*p_Stroke_mort + AY55*(PREV_FEMALE*p_recur_MI_F + (1-PREV_FEMALE)*p_recur_MI_M)*p_MI_mort + AY55*p_recur_Stroke*p_Stroke_mort + AZ55*(PREV_FEMALE*p_recur_MI_F + (1-PREV_FEMALE)*p_recur_MI_M)*p_MI_mort + AZ55*p_recur_Stroke*p_Stroke_mort + BA55*AC55*p_Stroke*p_Stroke_mort + BB55*AC55*p_Stroke*p_Stroke_mort + BC55*p_recur_Stroke*p_Stroke_mort + BD55*p_recur_Stroke*p_Stroke_mort + BE55*p_recur_Stroke*p_Stroke_mort
+BF55</f>
        <v>0.94036194984133459</v>
      </c>
      <c r="BG56">
        <f t="shared" si="50"/>
        <v>0.94700000000000029</v>
      </c>
      <c r="BH56">
        <f>(0.9442 - 0.0007*$B56 - dis_BMI*($C56-21.75))*AD56</f>
        <v>8.3437971682175528E-4</v>
      </c>
      <c r="BI56">
        <f>0.959*(0.9442 - 0.0007*$B56 - dis_BMI*($C56-21.75))*AE56</f>
        <v>1.1545872811072599E-4</v>
      </c>
      <c r="BJ56">
        <f>(0.943*(0.9442 - 0.0007*$B56 - dis_BMI*($C56-21.75)) - 0.19*0.5)*AF56</f>
        <v>1.2079398284007839E-5</v>
      </c>
      <c r="BK56">
        <f>(0.943*(0.9442 - 0.0007*$B56 - dis_BMI*($C56-21.75)))*AG56</f>
        <v>1.1840832384701488E-6</v>
      </c>
      <c r="BL56">
        <f>(0.955*(0.9442 - 0.0007*$B56 - dis_BMI*($C56-21.75)) - 0.15*0.5)*AH56</f>
        <v>8.6614623819264844E-6</v>
      </c>
      <c r="BM56">
        <f>(0.955*(0.9442 - 0.0007*$B56 - dis_BMI*($C56-21.75)))*AI56</f>
        <v>1.6906215618299193E-5</v>
      </c>
      <c r="BN56">
        <f>(0.955*0.943*(0.9442 - 0.0007*$B56 - dis_BMI*($C56-21.75)) - 0.19*0.5)*AJ56</f>
        <v>3.21978237867997E-7</v>
      </c>
      <c r="BO56">
        <f>(0.955*0.943*(0.9442 - 0.0007*$B56 - dis_BMI*($C56-21.75)) - 0.15*0.5)*AK56</f>
        <v>1.3692388818125193E-7</v>
      </c>
      <c r="BP56">
        <f>(0.955*0.943*(0.9442 - 0.0007*$B56 - dis_BMI*($C56-21.75)))*AL56</f>
        <v>-2.5240775331623602E-7</v>
      </c>
      <c r="BQ56">
        <f>(0.93*(0.9442 - 0.0007*$B56 - dis_BMI*($C56-21.75)))*AM56</f>
        <v>6.9517270604086936E-6</v>
      </c>
      <c r="BR56">
        <f>(0.93*(0.9442 - 0.0007*$B56 - dis_BMI*($C56-21.75)))*AN56</f>
        <v>3.7898466320244384E-5</v>
      </c>
      <c r="BS56">
        <f>(0.93*0.943*(0.9442 - 0.0007*$B56 - dis_BMI*($C56-21.75)))*AO56</f>
        <v>9.5308225999559921E-8</v>
      </c>
      <c r="BT56">
        <f>(0.93*0.943*(0.9442 - 0.0007*$B56 - dis_BMI*($C56-21.75))-0.19*0.5)*AP56</f>
        <v>5.7464062173822113E-7</v>
      </c>
      <c r="BU56">
        <f>(0.93*0.943*(0.9442 - 0.0007*$B56 - dis_BMI*($C56-21.75)))*AQ56</f>
        <v>-3.9368738555590239E-7</v>
      </c>
      <c r="BV56">
        <f>0.962*(0.9442 - 0.0007*$B56 - dis_BMI*($C56-21.75))*AR56</f>
        <v>3.1420047453449393E-3</v>
      </c>
      <c r="BW56">
        <f>0.962*0.959*(0.9442 - 0.0007*$B56 - dis_BMI*($C56-21.75))*AS56</f>
        <v>5.7495539096597556E-4</v>
      </c>
      <c r="BX56">
        <f>0.962*(0.943*(0.9442 - 0.0007*$B56 - dis_BMI*($C56-21.75)) - 0.19*0.5)*AT56</f>
        <v>7.8277984250436778E-5</v>
      </c>
      <c r="BY56">
        <f>0.962*(0.943*(0.9442 - 0.0007*$B56 - dis_BMI*($C56-21.75)))*AU56</f>
        <v>-1.0694552469215966E-5</v>
      </c>
      <c r="BZ56">
        <f>0.962*(0.955*(0.9442 - 0.0007*$B56 - dis_BMI*($C56-21.75)) - 0.15*0.5)*AV56</f>
        <v>5.7826767746885785E-5</v>
      </c>
      <c r="CA56">
        <f>0.962*(0.955*(0.9442 - 0.0007*$B56 - dis_BMI*($C56-21.75)))*AW56</f>
        <v>9.6967575165351471E-5</v>
      </c>
      <c r="CB56">
        <f>0.962*(0.955*0.943*(0.9442 - 0.0007*$B56 - dis_BMI*($C56-21.75)) - 0.19*0.5)*AX56</f>
        <v>3.3071344119772152E-6</v>
      </c>
      <c r="CC56">
        <f>0.962*(0.955*0.943*(0.9442 - 0.0007*$B56 - dis_BMI*($C56-21.75)) - 0.15*0.5)*AY56</f>
        <v>1.2205455991258226E-6</v>
      </c>
      <c r="CD56">
        <f>0.962*(0.955*0.943*(0.9442 - 0.0007*$B56 - dis_BMI*($C56-21.75)))*AZ56</f>
        <v>-3.0101015570282733E-6</v>
      </c>
      <c r="CE56">
        <f>0.962*(0.93*(0.9442 - 0.0007*$B56 - dis_BMI*($C56-21.75)))*BA56</f>
        <v>4.6838348515701407E-5</v>
      </c>
      <c r="CF56">
        <f>0.962*(0.93*(0.9442 - 0.0007*$B56 - dis_BMI*($C56-21.75)))*BB56</f>
        <v>2.1322816933930314E-4</v>
      </c>
      <c r="CG56">
        <f>0.962*(0.93*0.943*(0.9442 - 0.0007*$B56 - dis_BMI*($C56-21.75)))*BC56</f>
        <v>8.4943713160835641E-7</v>
      </c>
      <c r="CH56">
        <f>0.962*(0.93*0.943*(0.9442 - 0.0007*$B56 - dis_BMI*($C56-21.75))-0.19*0.5)*BD56</f>
        <v>5.7510486618984113E-6</v>
      </c>
      <c r="CI56">
        <f>0.962*(0.93*0.943*(0.9442 - 0.0007*$B56 - dis_BMI*($C56-21.75)))*BE56</f>
        <v>-4.6907018315306393E-6</v>
      </c>
      <c r="CJ56">
        <f t="shared" si="51"/>
        <v>0</v>
      </c>
      <c r="CK56">
        <f t="shared" si="52"/>
        <v>5.2368343449461828E-3</v>
      </c>
      <c r="CL56">
        <f>CK56/(1+r_)^A56</f>
        <v>1.0931906960918538E-3</v>
      </c>
      <c r="CM56">
        <f>AD56*c_BN_2</f>
        <v>2.1117963691907145</v>
      </c>
      <c r="CN56">
        <f>AE56*(c_Other+c_BN_2)</f>
        <v>2.3815912240312755</v>
      </c>
      <c r="CO56">
        <f>AF56*(c_Stroke1+c_Stroke2+c_BN_2)</f>
        <v>0.45654408642175626</v>
      </c>
      <c r="CP56">
        <f>AG56*(c_Stroke2 + c_BN_2)</f>
        <v>1.3038291760356879E-2</v>
      </c>
      <c r="CQ56">
        <f>AH56*(c_MI1+c_MI2 + c_BN_2)</f>
        <v>0.37825012562342375</v>
      </c>
      <c r="CR56">
        <f>AI56*(c_MI2+c_BN_2)</f>
        <v>0.11146838589794981</v>
      </c>
      <c r="CS56">
        <f>AJ56*(c_Stroke1+c_Stroke2+c_MI2+c_BN_2)</f>
        <v>1.4369397953100636E-2</v>
      </c>
      <c r="CT56">
        <f>AK56*(c_Stroke2+c_MI1+c_MI2+c_BN_2)</f>
        <v>7.7088990106242445E-3</v>
      </c>
      <c r="CU56">
        <f>AL56*(c_Stroke2+c_MI2+c_BN_2)</f>
        <v>-3.9657283682920132E-3</v>
      </c>
      <c r="CV56">
        <f>AM56*(c_HF1+c_BN_2)</f>
        <v>0.26301466927568673</v>
      </c>
      <c r="CW56">
        <f>AN56*(c_HF2+c_BN_2)</f>
        <v>0.8713973331062066</v>
      </c>
      <c r="CX56">
        <f>AO56*(c_Stroke2+c_HF1+c_BN_2)</f>
        <v>4.6772963903170045E-3</v>
      </c>
      <c r="CY56">
        <f>AP56*(c_Stroke1+c_Stroke2+c_HF2+c_BN_2)</f>
        <v>3.7812525438132134E-2</v>
      </c>
      <c r="CZ56">
        <f>AQ56*(c_Stroke2+c_HF2+c_BN_2)</f>
        <v>-1.3124310530085791E-2</v>
      </c>
      <c r="DA56">
        <f>AR56*(c_DM+c_BN_2)</f>
        <v>53.347335091010237</v>
      </c>
      <c r="DB56">
        <f>AS56*(c_Other+c_DM+c_BN_2)</f>
        <v>20.93022601736725</v>
      </c>
      <c r="DC56">
        <f>AT56*(c_Stroke1+c_Stroke2+c_DM+c_BN_2)</f>
        <v>4.4314473691532053</v>
      </c>
      <c r="DD56">
        <f>AU56*(c_Stroke2+c_DM+c_BN_2)</f>
        <v>-0.2851308424862023</v>
      </c>
      <c r="DE56">
        <f>AV56*(c_MI1+c_MI2+c_DM+c_BN_2)</f>
        <v>3.5849251759719873</v>
      </c>
      <c r="DF56">
        <f>AW56*(c_MI2+c_DM+c_BN_2)</f>
        <v>2.1214235315631429</v>
      </c>
      <c r="DG56">
        <f>AX56*(c_Stroke1+c_Stroke2+c_MI2+c_DM+c_BN_2)</f>
        <v>0.21380725984341131</v>
      </c>
      <c r="DH56">
        <f>AY56*(c_Stroke2+c_MI1+c_MI2+c_DM+c_BN_2)</f>
        <v>9.3052956325758704E-2</v>
      </c>
      <c r="DI56">
        <f>AZ56*(c_Stroke2+c_MI2+c_DM+c_BN_2)</f>
        <v>-9.711858183084883E-2</v>
      </c>
      <c r="DJ56">
        <f>BA56*(c_HF1+c_DM+c_BN_2)</f>
        <v>2.5647124802140375</v>
      </c>
      <c r="DK56">
        <f>BB56*(c_HF2+c_DM+c_BN_2)</f>
        <v>8.3860368249829857</v>
      </c>
      <c r="DL56">
        <f>BC56*(c_Stroke2+c_HF1+c_DM+c_BN_2)</f>
        <v>5.7230221833251056E-2</v>
      </c>
      <c r="DM56">
        <f>BD56*(c_Stroke1+c_Stroke2+c_HF2+c_DM+c_BN_2)</f>
        <v>0.50163515926738234</v>
      </c>
      <c r="DN56">
        <f>BE56*(c_Stroke2+c_HF2+c_DM+c_BN_2)</f>
        <v>-0.23929149368113531</v>
      </c>
      <c r="DO56">
        <f t="shared" si="53"/>
        <v>0</v>
      </c>
      <c r="DP56">
        <f t="shared" si="54"/>
        <v>102.24486973473562</v>
      </c>
      <c r="DQ56">
        <f>DP56/(1+r_)^A56</f>
        <v>21.343646362425694</v>
      </c>
    </row>
    <row r="57" spans="1:121" x14ac:dyDescent="0.3">
      <c r="A57">
        <v>54</v>
      </c>
      <c r="B57">
        <v>99</v>
      </c>
      <c r="C57">
        <f t="shared" si="39"/>
        <v>36.251999999999995</v>
      </c>
      <c r="D57">
        <f t="shared" si="1"/>
        <v>125</v>
      </c>
      <c r="E57">
        <f t="shared" si="41"/>
        <v>5.7</v>
      </c>
      <c r="F57">
        <v>0.29732999999999998</v>
      </c>
      <c r="G57">
        <v>0.33972999999999998</v>
      </c>
      <c r="H57">
        <f t="shared" si="42"/>
        <v>0.30580999999999997</v>
      </c>
      <c r="I57">
        <f t="shared" si="43"/>
        <v>4.7655426853004217E-2</v>
      </c>
      <c r="J57">
        <f t="shared" si="21"/>
        <v>0.50738496543739708</v>
      </c>
      <c r="K57">
        <f t="shared" si="22"/>
        <v>0.62901219890225357</v>
      </c>
      <c r="L57">
        <f t="shared" si="23"/>
        <v>0.28479015728811619</v>
      </c>
      <c r="M57">
        <f t="shared" si="24"/>
        <v>0.3746324444748319</v>
      </c>
      <c r="N57">
        <f t="shared" si="25"/>
        <v>0.87883011295456381</v>
      </c>
      <c r="O57">
        <f t="shared" si="26"/>
        <v>0.949318802301793</v>
      </c>
      <c r="P57">
        <f t="shared" si="27"/>
        <v>0.64589590738923697</v>
      </c>
      <c r="Q57">
        <f t="shared" si="28"/>
        <v>0.76936404014170678</v>
      </c>
      <c r="R57">
        <f>IF(C57&lt;25, HT_f_low, IF(C57&lt;30, HT_f_mod, HT_f_high))</f>
        <v>0.42</v>
      </c>
      <c r="S57">
        <f>IF(C57&lt;25, HT_m_low, IF(C57&lt;30, HT_m_mod, HT_m_high))</f>
        <v>0.43099999999999999</v>
      </c>
      <c r="T57">
        <f>PREV_FEMALE*PREV_SMOKE*(1-$R57)*(1-EXP(-J57/10))+PREV_FEMALE*PREV_SMOKE*$R57*(1-EXP(-K57/10))+PREV_FEMALE*(1-PREV_SMOKE)*(1-$R57)*(1-EXP(-L57/10))+PREV_FEMALE*(1-PREV_SMOKE)*$R57*(1-EXP(-M57/10))+(1-PREV_FEMALE)*PREV_SMOKE*(1-$S57)*(1-EXP(-N57/10))+(1-PREV_FEMALE)*PREV_SMOKE*$S57*(1-EXP(-O57/10))+(1-PREV_FEMALE)*(1-PREV_SMOKE)*(1-$S57)*(1-EXP(-P57/10))+(1-PREV_FEMALE)*(1-PREV_SMOKE)*$S57*(1-EXP(-Q57/10))</f>
        <v>4.1625859279098648E-2</v>
      </c>
      <c r="U57">
        <f t="shared" si="29"/>
        <v>0.78580867669735577</v>
      </c>
      <c r="V57">
        <f t="shared" si="30"/>
        <v>0.88444365740908848</v>
      </c>
      <c r="W57">
        <f t="shared" si="31"/>
        <v>0.51782756345210279</v>
      </c>
      <c r="X57">
        <f t="shared" si="32"/>
        <v>0.6399791425895307</v>
      </c>
      <c r="Y57">
        <f t="shared" si="33"/>
        <v>0.97244146976577372</v>
      </c>
      <c r="Z57">
        <f t="shared" si="34"/>
        <v>0.99374684663771495</v>
      </c>
      <c r="AA57">
        <f t="shared" si="35"/>
        <v>0.82908608476302059</v>
      </c>
      <c r="AB57">
        <f t="shared" si="36"/>
        <v>0.91760079948150775</v>
      </c>
      <c r="AC57">
        <f>PREV_FEMALE*PREV_SMOKE*(1-$R57)*(1-EXP(-U57/10))+PREV_FEMALE*PREV_SMOKE*$R57*(1-EXP(-V57/10))+PREV_FEMALE*(1-PREV_SMOKE)*(1-$R57)*(1-EXP(-W57/10))+PREV_FEMALE*(1-PREV_SMOKE)*$R57*(1-EXP(-X57/10))+(1-PREV_FEMALE)*PREV_SMOKE*(1-$S57)*(1-EXP(-Y57/10))+(1-PREV_FEMALE)*PREV_SMOKE*$S57*(1-EXP(-Z57/10))+(1-PREV_FEMALE)*(1-PREV_SMOKE)*(1-$S57)*(1-EXP(-AA57/10))+(1-PREV_FEMALE)*(1-PREV_SMOKE)*$S57*(1-EXP(-AB57/10))</f>
        <v>6.3526107374749188E-2</v>
      </c>
      <c r="AD57">
        <f t="shared" si="44"/>
        <v>6.4820104943133917E-4</v>
      </c>
      <c r="AE57">
        <f t="shared" si="45"/>
        <v>8.2812525761307625E-5</v>
      </c>
      <c r="AF57">
        <f t="shared" si="46"/>
        <v>1.1506434755241874E-5</v>
      </c>
      <c r="AG57">
        <f t="shared" si="47"/>
        <v>-3.2234224090159594E-7</v>
      </c>
      <c r="AH57">
        <f>AD56*T56*p_MI*p_MI_rec_old*(1-I56)+AE56*T56*p_MI*p_MI_rec_old*(1-I56) + AH56*(PREV_FEMALE*p_recur_MI_F + (1-PREV_FEMALE)*p_recur_MI_M)*p_MI_rec_old*(1-I56) + AI56*(PREV_FEMALE*p_recur_MI_F + (1-PREV_FEMALE)*p_recur_MI_M)*p_MI_rec_old*(1-I56)</f>
        <v>7.9771233134279503E-6</v>
      </c>
      <c r="AI57">
        <f>AH56*(1-(PREV_FEMALE*p_recur_MI_F + (1-PREV_FEMALE)*p_recur_MI_M) - T56*p_Stroke - p_toHF_old - H56*rr_MI)*(1-I56) + AI56*(1-(PREV_FEMALE*p_recur_MI_F + (1-PREV_FEMALE)*p_recur_MI_M) - T56*p_Stroke - p_toHF_old - H56*rr_MI)*(1-I56)</f>
        <v>1.2372456977088616E-5</v>
      </c>
      <c r="AJ57">
        <f t="shared" si="48"/>
        <v>3.136010463295246E-7</v>
      </c>
      <c r="AK57">
        <f>AF56*T56*p_MI*p_MI_rec_old*(1-I56) + AG56*T56*p_MI*p_MI_rec_old*(1-I56) + AJ56*(PREV_FEMALE*p_recur_MI_F + (1-PREV_FEMALE)*p_recur_MI_M)*p_MI_rec_old*(1-I56) + AK56*(PREV_FEMALE*p_recur_MI_F + (1-PREV_FEMALE)*p_recur_MI_M)*p_MI_rec_old*(1-I56) + AL56*(PREV_FEMALE*p_recur_MI_F + (1-PREV_FEMALE)*p_recur_MI_M)*p_MI_rec_old*(1-I56)</f>
        <v>1.2337226544887805E-7</v>
      </c>
      <c r="AL57">
        <f>AJ56*(1-p_recur_Stroke-(PREV_FEMALE*p_recur_MI_F + (1-PREV_FEMALE)*p_recur_MI_M) - p_toHF_old - H56*rr_MI*rr_Stroke)*(1-I56) + AK56*(1-p_recur_Stroke-(PREV_FEMALE*p_recur_MI_F + (1-PREV_FEMALE)*p_recur_MI_M) - p_toHF_old - H56*rr_MI*rr_Stroke)*(1-I56) + AL56*(1-p_recur_Stroke-(PREV_FEMALE*p_recur_MI_F + (1-PREV_FEMALE)*p_recur_MI_M) - p_toHF_old - H56*rr_MI*rr_Stroke)*(1-I56)</f>
        <v>-2.3295007492152868E-7</v>
      </c>
      <c r="AM57">
        <f>AD56*T56*p_MI*p_MI_HF_old*(1-I56) + AE56*T56*p_MI*p_MI_HF_old*(1-I56) + AH56*p_toHF_old*(1-I56) + AH56*(PREV_FEMALE*p_recur_MI_F + (1-PREV_FEMALE)*p_recur_MI_M)*p_MI_HF_old*(1-I56) + AI56*p_toHF_old*(1-I56) + AI56*(PREV_FEMALE*p_recur_MI_F + (1-PREV_FEMALE)*p_recur_MI_M)*p_MI_HF_old*(1-I56)</f>
        <v>5.8306467653855641E-6</v>
      </c>
      <c r="AN57">
        <f t="shared" si="49"/>
        <v>2.62919706823861E-5</v>
      </c>
      <c r="AO57">
        <f>AF56*T56*p_MI*p_MI_HF_old*(1-I56) + AG56*T56*p_MI*p_MI_HF_old*(1-I56) + AJ56*(PREV_FEMALE*p_recur_MI_F + (1-PREV_FEMALE)*p_recur_MI_M)*p_MI_HF_old*(1-I56) + AJ56*p_toHF_old*(1-I56) + AK56*(PREV_FEMALE*p_recur_MI_F + (1-PREV_FEMALE)*p_recur_MI_M)*p_MI_HF_old*(1-I56) + AK56*p_toHF_old*(1-I56) + AL56*(PREV_FEMALE*p_recur_MI_F + (1-PREV_FEMALE)*p_recur_MI_M)*p_MI_HF_old*(1-I56) + AL56*p_toHF_old*(1-I56)</f>
        <v>7.8188006745986794E-8</v>
      </c>
      <c r="AP57">
        <f>AM56*T56*p_Stroke*p_Stroke_rec*(1-I56) + AN56*T56*p_Stroke*p_Stroke_rec*(1-I56) + AO56*(p_recur_Stroke*p_Stroke_rec)*(1-I56) + AP56*(p_recur_Stroke*p_Stroke_rec)*(1-I56) + AQ56*(p_recur_Stroke*p_Stroke_rec)*(1-I56)</f>
        <v>5.3211117301430822E-7</v>
      </c>
      <c r="AQ57">
        <f>AO56*(1-p_recur_Stroke-H56*rr_Stroke*rr_HF)*(1-I56) + AP56*(1-p_recur_Stroke-H56*rr_Stroke*rr_HF)*(1-I56) + AQ56*(1-p_recur_Stroke-H56*rr_Stroke*rr_HF)*(1-I56)</f>
        <v>-3.5097764639054261E-7</v>
      </c>
      <c r="AR57">
        <f>AR56*(1-AC56-H56*rr_DM) + AD56*(1-T56-H56)*I56</f>
        <v>2.4426303194957141E-3</v>
      </c>
      <c r="AS57">
        <f>AR56*AC56*p_Other + AD56*T56*p_Other*I56 + AE56*(1-T56*p_Stroke-T56*p_MI-H56*rr_Other)*I56 + AS56*(1-AC56*p_Stroke-AC56*p_MI-H56*rr_Other*rr_DM)</f>
        <v>4.0470776259915865E-4</v>
      </c>
      <c r="AT57">
        <f>AR56*AC56*p_Stroke*p_Stroke_rec + AD56*T56*p_Stroke*p_Stroke_rec*I56 + AE56*T56*p_Stroke*p_Stroke_rec*I56 + AF56*p_recur_Stroke*p_Stroke_rec*I56 + AG56*p_recur_Stroke*p_Stroke_rec*I56 + AS56*AC56*p_Stroke*p_Stroke_rec + AT56*p_recur_Stroke*p_Stroke_rec + AU56*p_recur_Stroke*p_Stroke_rec</f>
        <v>7.4403228944789124E-5</v>
      </c>
      <c r="AU57">
        <f>AF56*(1-p_recur_Stroke-T56*p_MI-H56*rr_Stroke)*I56 + AG56*(1-p_recur_Stroke-T56*p_MI-H56*rr_Stroke)*I56 + AT56*(1-p_recur_Stroke-AC56*p_MI-H56*rr_Stroke*rr_DM) + AU56*(1-p_recur_Stroke-AC56*p_MI-H56*rr_Stroke*rr_DM)</f>
        <v>-1.6288245046724354E-5</v>
      </c>
      <c r="AV57">
        <f>AR56*AC56*p_MI*p_MI_rec_old + AD56*T56*p_MI*p_MI_rec_old*I56 + AE56*T56*p_MI*p_MI_rec_old*I56 +AH56*(PREV_FEMALE*p_recur_MI_F + (1-PREV_FEMALE)*p_recur_MI_M)*p_MI_rec_old*I56 + AI56*(PREV_FEMALE*p_recur_MI_F + (1-PREV_FEMALE)*p_recur_MI_M)*p_MI_rec_old*I56 + AS56*AC56*p_MI*p_MI_rec_old + AV56*(PREV_FEMALE*p_recur_MI_F + (1-PREV_FEMALE)*p_recur_MI_M)*p_MI_rec_old + AW56*(PREV_FEMALE*p_recur_MI_F + (1-PREV_FEMALE)*p_recur_MI_M)*p_MI_rec_old</f>
        <v>5.2848247584686727E-5</v>
      </c>
      <c r="AW57">
        <f>AH56*(1-(PREV_FEMALE*p_recur_MI_F + (1-PREV_FEMALE)*p_recur_MI_M) - T56*p_Stroke - p_toHF_old - H56*rr_MI)*I56 + AI56*(1-(PREV_FEMALE*p_recur_MI_F + (1-PREV_FEMALE)*p_recur_MI_M) - T56*p_Stroke - p_toHF_old - H56*rr_MI)*I56 + AV56*(1-(PREV_FEMALE*p_recur_MI_F + (1-PREV_FEMALE)*p_recur_MI_M) - AC56*p_Stroke - p_toHF_old - H56*rr_MI*rr_DM) + AW56*(1-(PREV_FEMALE*p_recur_MI_F + (1-PREV_FEMALE)*p_recur_MI_M) - AC56*p_Stroke - p_toHF_old - H56*rr_MI*rr_DM)</f>
        <v>6.7374075372485619E-5</v>
      </c>
      <c r="AX57">
        <f>AH56*T56*p_Stroke*p_Stroke_rec*I56 + AI56*T56*p_Stroke*p_Stroke_rec*I56 + AJ56*p_recur_Stroke*p_Stroke_rec*I56 + AK56*p_recur_Stroke*p_Stroke_rec*I56 + AL56*p_recur_Stroke*p_Stroke_rec*I56 + AV56*AC56*p_Stroke*p_Stroke_rec + AW56*AC56*p_Stroke*p_Stroke_rec + AX56*p_recur_Stroke*p_Stroke_rec + AY56*p_recur_Stroke*p_Stroke_rec + AZ56*p_recur_Stroke*p_Stroke_rec</f>
        <v>3.1491436257205627E-6</v>
      </c>
      <c r="AY57">
        <f>AF56*T56*p_MI*p_MI_rec_old*I56 + AG56*T56*p_MI*p_MI_rec_old*I56 + AJ56*(PREV_FEMALE*p_recur_MI_F+(1-PREV_FEMALE)*p_recur_MI_M)*p_MI_rec_old*I56 + AK56*(PREV_FEMALE*p_recur_MI_F+(1-PREV_FEMALE)*p_recur_MI_M)*p_MI_rec_old*I56 + AL56*(PREV_FEMALE*p_recur_MI_F+(1-PREV_FEMALE)*p_recur_MI_M)*p_MI_rec_old*I56 + AT56*AC56*p_MI*p_MI_rec_old + AU56*AC56*p_MI*p_MI_rec_old + AX56*(PREV_FEMALE*p_recur_MI_F+(1-PREV_FEMALE)*p_recur_MI_M)*p_MI_rec_old + AY56*(PREV_FEMALE*p_recur_MI_F+(1-PREV_FEMALE)*p_recur_MI_M)*p_MI_rec_old + AZ56*(PREV_FEMALE*p_recur_MI_F+(1-PREV_FEMALE)*p_recur_MI_M)*p_MI_rec_old</f>
        <v>1.0888864244156917E-6</v>
      </c>
      <c r="AZ57">
        <f>AJ56*(1-p_recur_Stroke-(PREV_FEMALE*p_recur_MI_F + (1-PREV_FEMALE)*p_recur_MI_M) - p_toHF_old - H56*rr_MI*rr_Stroke)*I56 + AK56*(1-p_recur_Stroke-(PREV_FEMALE*p_recur_MI_F + (1-PREV_FEMALE)*p_recur_MI_M) - p_toHF_old - H56*rr_MI*rr_Stroke)*I56 + AL56*(1-p_recur_Stroke-(PREV_FEMALE*p_recur_MI_F + (1-PREV_FEMALE)*p_recur_MI_M) - p_toHF_old - H56*rr_MI*rr_Stroke)*I56 + AX56*(1-p_recur_Stroke-(PREV_FEMALE*p_recur_MI_F + (1-PREV_FEMALE)*p_recur_MI_M) - p_toHF_old - H56*rr_MI*rr_Stroke*rr_DM) + AY56*(1-p_recur_Stroke-(PREV_FEMALE*p_recur_MI_F + (1-PREV_FEMALE)*p_recur_MI_M) - p_toHF_old - H56*rr_MI*rr_Stroke*rr_DM) + AZ56*(1-p_recur_Stroke-(PREV_FEMALE*p_recur_MI_F + (1-PREV_FEMALE)*p_recur_MI_M) - p_toHF_old - H56*rr_MI*rr_Stroke*rr_DM)</f>
        <v>-2.6606806151884977E-6</v>
      </c>
      <c r="BA57">
        <f>AR56*AC56*p_MI*p_MI_HF_old + AD56*T56*p_MI*p_MI_HF_old*I56 + AE56*T56*p_MI*p_MI_HF_old*I56 + AH56*p_toHF_old*I56 + AH56*(PREV_FEMALE*p_recur_MI_F + (1-PREV_FEMALE)*p_recur_MI_M)*p_MI_HF_old*I56 + AI56*p_toHF_old*I56 + AI56*(PREV_FEMALE*p_recur_MI_F + (1-PREV_FEMALE)*p_recur_MI_M)*p_MI_HF_old*I56 + AS56*AC56*p_MI*p_MI_HF_old + AV56*(PREV_FEMALE*p_recur_MI_F + (1-PREV_FEMALE)*p_recur_MI_M)*p_MI_HF_old + AV56*p_toHF_old + AW56*(PREV_FEMALE*p_recur_MI_F + (1-PREV_FEMALE)*p_recur_MI_M)*p_MI_HF_old + AW56*p_toHF_old</f>
        <v>3.8772629800429603E-5</v>
      </c>
      <c r="BB57">
        <f>AM56*(1-T56*p_Stroke - H56*rr_HF)*I56 + AN56*(1-T56*p_Stroke - H56*rr_HF)*I56 + BA56*(1-AC56*p_Stroke - H56*rr_HF*rr_DM) + BB56*(1-AC56*p_Stroke - H56*rr_HF*rr_DM)</f>
        <v>1.3874092730112211E-4</v>
      </c>
      <c r="BC57">
        <f>AF56*T56*p_MI*p_MI_HF_old*I56 + AG56*T56*p_MI*p_MI_HF_old*I56 + AJ56*(PREV_FEMALE*p_recur_MI_F + (1-PREV_FEMALE)*p_recur_MI_M)*p_MI_HF_old*I56 + AJ56*p_toHF_old*I56 + AK56*(PREV_FEMALE*p_recur_MI_F + (1-PREV_FEMALE)*p_recur_MI_M)*p_MI_HF_old*I56 + AK56*p_toHF_old*I56 + AL56*(PREV_FEMALE*p_recur_MI_F + (1-PREV_FEMALE)*p_recur_MI_M)*p_MI_HF_old*I56 + AL56*p_toHF_old*I56 + AT56*AC56*p_MI*p_MI_HF_old + AU56*AC56*p_MI*p_MI_HF_old + AX56*(PREV_FEMALE*p_recur_MI_F + (1-PREV_FEMALE)*p_recur_MI_M)*p_MI_HF_old + AX56*p_toHF_old + AY56*(PREV_FEMALE*p_recur_MI_F + (1-PREV_FEMALE)*p_recur_MI_M)*p_MI_HF_old + AY56*p_toHF_old + AZ56*(PREV_FEMALE*p_recur_MI_F + (1-PREV_FEMALE)*p_recur_MI_M)*p_MI_HF_old + AZ56*p_toHF_old</f>
        <v>6.8737135000267177E-7</v>
      </c>
      <c r="BD57">
        <f>AM56*T56*p_Stroke*p_Stroke_rec*I56 + AN56*T56*p_Stroke*p_Stroke_rec*I56 + AO56*(p_recur_Stroke*p_Stroke_rec)*I56 + AP56*(p_recur_Stroke*p_Stroke_rec)*I56 + AQ56*(p_recur_Stroke*p_Stroke_rec)*I56 + BA56*AC56*p_Stroke*p_Stroke_rec + BB56*AC56*p_Stroke*p_Stroke_rec + BC56*(p_recur_Stroke*p_Stroke_rec) + BD56*(p_recur_Stroke*p_Stroke_rec) + BE56*(p_recur_Stroke*p_Stroke_rec)</f>
        <v>5.1214457898350667E-6</v>
      </c>
      <c r="BE57">
        <f>AO56*(1-p_recur_Stroke - H56*rr_Stroke*rr_HF)*I56 + AP56*(1-p_recur_Stroke-H56*rr_Stroke*rr_HF)*I56 + AQ56*(1-p_recur_Stroke-H56*rr_Stroke*rr_HF)*I56 + BC56*(1-p_recur_Stroke - H56*rr_Stroke*rr_HF*rr_DM) + BD56*(1-p_recur_Stroke-H56*rr_Stroke*rr_HF*rr_DM) + BE56*(1-p_recur_Stroke-H56*rr_Stroke*rr_HF*rr_DM)</f>
        <v>-3.9130484854020078E-6</v>
      </c>
      <c r="BF57">
        <f>AD56*H56 + AE56*H56*rr_Other + AF56*H56*rr_Stroke + AG56*H56*rr_Stroke + AH56*H56*rr_MI + AI56*H56*rr_MI + AJ56*H56*rr_Stroke*rr_MI + AK56*H56*rr_Stroke*rr_MI + AL56*H56*rr_Stroke*rr_MI + AM56*H56*rr_HF + AN56*H56*rr_HF + AO56*H56*rr_Stroke*rr_HF + AP56*H56*rr_Stroke*rr_HF + AR56*H56*rr_DM + AS56*H56*rr_DM*rr_Other + AT56*H56*rr_DM*rr_Stroke + AU56*H56*rr_DM*rr_Stroke + AV56*H56*rr_DM*rr_MI + AW56*H56*rr_DM*rr_MI + AX56*H56*rr_DM*rr_Stroke*rr_MI + AY56*H56*rr_DM*rr_Stroke*rr_MI + AZ56*H56*rr_DM*rr_Stroke*rr_MI + BA56*H56*rr_DM*rr_HF + BB56*H56*rr_DM*rr_HF + BC56*H56*rr_DM*rr_Stroke*rr_HF + BD56*H56*rr_DM*rr_Stroke*rr_HF + AQ56*H56*rr_Stroke*rr_HF + BE56*H56*rr_DM*rr_Stroke*rr_HF
+ AD56*T56*p_MI*p_MI_mort + AD56*T56*p_Stroke*p_Stroke_mort + AE56*T56*p_MI*p_MI_mort + AE56*T56*p_Stroke*p_Stroke_mort + AF56*T56*p_MI*p_MI_mort + AF56*p_recur_Stroke*p_Stroke_mort + AG56*T56*p_MI*p_MI_mort + AG56*p_recur_Stroke*p_Stroke_mort + AH56*(PREV_FEMALE*p_recur_MI_F + (1-PREV_FEMALE)*p_recur_MI_M)*p_MI_mort + AH56*T56*p_Stroke*p_Stroke_mort + AI56*(PREV_FEMALE*p_recur_MI_F + (1-PREV_FEMALE)*p_recur_MI_M)*p_MI_mort + AI56*T56*p_Stroke*p_Stroke_mort + AJ56*(PREV_FEMALE*p_recur_MI_F + (1-PREV_FEMALE)*p_recur_MI_M)*p_MI_mort + AJ56*p_recur_Stroke*p_Stroke_mort + AK56*(PREV_FEMALE*p_recur_MI_F + (1-PREV_FEMALE)*p_recur_MI_M)*p_MI_mort + AK56*p_recur_Stroke*p_Stroke_mort + AL56*(PREV_FEMALE*p_recur_MI_F + (1-PREV_FEMALE)*p_recur_MI_M)*p_MI_mort + AL56*p_recur_Stroke*p_Stroke_mort + AM56*T56*p_Stroke*p_Stroke_mort + AN56*T56*p_Stroke*p_Stroke_mort + AO56*p_recur_Stroke*p_Stroke_mort + AP56*p_recur_Stroke*p_Stroke_mort + AQ56*p_recur_Stroke*p_Stroke_mort
+ AR56*AC56*p_MI*p_MI_mort + AR56*AC56*p_Stroke*p_Stroke_mort + AS56*AC56*p_MI*p_MI_mort + AS56*AC56*p_Stroke*p_Stroke_mort + AT56*AC56*p_MI*p_MI_mort + AT56*p_recur_Stroke*p_Stroke_mort + AU56*AC56*p_MI*p_MI_mort + AU56*p_recur_Stroke*p_Stroke_mort + AV56*(PREV_FEMALE*p_recur_MI_F + (1-PREV_FEMALE)*p_recur_MI_M)*p_MI_mort + AV56*AC56*p_Stroke*p_Stroke_mort + AW56*(PREV_FEMALE*p_recur_MI_F + (1-PREV_FEMALE)*p_recur_MI_M)*p_MI_mort + AW56*AC56*p_Stroke*p_Stroke_mort + AX56*(PREV_FEMALE*p_recur_MI_F + (1-PREV_FEMALE)*p_recur_MI_M)*p_MI_mort + AX56*p_recur_Stroke*p_Stroke_mort + AY56*(PREV_FEMALE*p_recur_MI_F + (1-PREV_FEMALE)*p_recur_MI_M)*p_MI_mort + AY56*p_recur_Stroke*p_Stroke_mort + AZ56*(PREV_FEMALE*p_recur_MI_F + (1-PREV_FEMALE)*p_recur_MI_M)*p_MI_mort + AZ56*p_recur_Stroke*p_Stroke_mort + BA56*AC56*p_Stroke*p_Stroke_mort + BB56*AC56*p_Stroke*p_Stroke_mort + BC56*p_recur_Stroke*p_Stroke_mort + BD56*p_recur_Stroke*p_Stroke_mort + BE56*p_recur_Stroke*p_Stroke_mort
+BF56</f>
        <v>0.94299820472564366</v>
      </c>
      <c r="BG57">
        <f t="shared" si="50"/>
        <v>0.94700000000000017</v>
      </c>
      <c r="BH57">
        <f>(0.9442 - 0.0007*$B57 - dis_BMI*($C57-21.75))*AD57</f>
        <v>5.3609039980526282E-4</v>
      </c>
      <c r="BI57">
        <f>0.959*(0.9442 - 0.0007*$B57 - dis_BMI*($C57-21.75))*AE57</f>
        <v>6.568148120062245E-5</v>
      </c>
      <c r="BJ57">
        <f>(0.943*(0.9442 - 0.0007*$B57 - dis_BMI*($C57-21.75)) - 0.19*0.5)*AF57</f>
        <v>7.8807793275597855E-6</v>
      </c>
      <c r="BK57">
        <f>(0.943*(0.9442 - 0.0007*$B57 - dis_BMI*($C57-21.75)))*AG57</f>
        <v>-2.5139533457477909E-7</v>
      </c>
      <c r="BL57">
        <f>(0.955*(0.9442 - 0.0007*$B57 - dis_BMI*($C57-21.75)) - 0.15*0.5)*AH57</f>
        <v>5.7022587154185688E-6</v>
      </c>
      <c r="BM57">
        <f>(0.955*(0.9442 - 0.0007*$B57 - dis_BMI*($C57-21.75)))*AI57</f>
        <v>9.7720937348742603E-6</v>
      </c>
      <c r="BN57">
        <f>(0.955*0.943*(0.9442 - 0.0007*$B57 - dis_BMI*($C57-21.75)) - 0.19*0.5)*AJ57</f>
        <v>2.0377994798534391E-7</v>
      </c>
      <c r="BO57">
        <f>(0.955*0.943*(0.9442 - 0.0007*$B57 - dis_BMI*($C57-21.75)) - 0.15*0.5)*AK57</f>
        <v>8.263552551872615E-8</v>
      </c>
      <c r="BP57">
        <f>(0.955*0.943*(0.9442 - 0.0007*$B57 - dis_BMI*($C57-21.75)))*AL57</f>
        <v>-1.7350269259344646E-7</v>
      </c>
      <c r="BQ57">
        <f>(0.93*(0.9442 - 0.0007*$B57 - dis_BMI*($C57-21.75)))*AM57</f>
        <v>4.484644070290436E-6</v>
      </c>
      <c r="BR57">
        <f>(0.93*(0.9442 - 0.0007*$B57 - dis_BMI*($C57-21.75)))*AN57</f>
        <v>2.0222478768050653E-5</v>
      </c>
      <c r="BS57">
        <f>(0.93*0.943*(0.9442 - 0.0007*$B57 - dis_BMI*($C57-21.75)))*AO57</f>
        <v>5.6710448672248341E-8</v>
      </c>
      <c r="BT57">
        <f>(0.93*0.943*(0.9442 - 0.0007*$B57 - dis_BMI*($C57-21.75))-0.19*0.5)*AP57</f>
        <v>3.3539435033499316E-7</v>
      </c>
      <c r="BU57">
        <f>(0.93*0.943*(0.9442 - 0.0007*$B57 - dis_BMI*($C57-21.75)))*AQ57</f>
        <v>-2.5456717250000778E-7</v>
      </c>
      <c r="BV57">
        <f>0.962*(0.9442 - 0.0007*$B57 - dis_BMI*($C57-21.75))*AR57</f>
        <v>1.9433951555724261E-3</v>
      </c>
      <c r="BW57">
        <f>0.962*0.959*(0.9442 - 0.0007*$B57 - dis_BMI*($C57-21.75))*AS57</f>
        <v>3.0879020370872613E-4</v>
      </c>
      <c r="BX57">
        <f>0.962*(0.943*(0.9442 - 0.0007*$B57 - dis_BMI*($C57-21.75)) - 0.19*0.5)*AT57</f>
        <v>4.902247605663381E-5</v>
      </c>
      <c r="BY57">
        <f>0.962*(0.943*(0.9442 - 0.0007*$B57 - dis_BMI*($C57-21.75)))*AU57</f>
        <v>-1.2220510806276331E-5</v>
      </c>
      <c r="BZ57">
        <f>0.962*(0.955*(0.9442 - 0.0007*$B57 - dis_BMI*($C57-21.75)) - 0.15*0.5)*AV57</f>
        <v>3.6341786699194703E-5</v>
      </c>
      <c r="CA57">
        <f>0.962*(0.955*(0.9442 - 0.0007*$B57 - dis_BMI*($C57-21.75)))*AW57</f>
        <v>5.1191701161648814E-5</v>
      </c>
      <c r="CB57">
        <f>0.962*(0.955*0.943*(0.9442 - 0.0007*$B57 - dis_BMI*($C57-21.75)) - 0.19*0.5)*AX57</f>
        <v>1.9685728193572648E-6</v>
      </c>
      <c r="CC57">
        <f>0.962*(0.955*0.943*(0.9442 - 0.0007*$B57 - dis_BMI*($C57-21.75)) - 0.15*0.5)*AY57</f>
        <v>7.0162799494848906E-7</v>
      </c>
      <c r="CD57">
        <f>0.962*(0.955*0.943*(0.9442 - 0.0007*$B57 - dis_BMI*($C57-21.75)))*AZ57</f>
        <v>-1.9063875016269723E-6</v>
      </c>
      <c r="CE57">
        <f>0.962*(0.93*(0.9442 - 0.0007*$B57 - dis_BMI*($C57-21.75)))*BA57</f>
        <v>2.8688746921318104E-5</v>
      </c>
      <c r="CF57">
        <f>0.962*(0.93*(0.9442 - 0.0007*$B57 - dis_BMI*($C57-21.75)))*BB57</f>
        <v>1.0265755434847456E-4</v>
      </c>
      <c r="CG57">
        <f>0.962*(0.93*0.943*(0.9442 - 0.0007*$B57 - dis_BMI*($C57-21.75)))*BC57</f>
        <v>4.7961133673263159E-7</v>
      </c>
      <c r="CH57">
        <f>0.962*(0.93*0.943*(0.9442 - 0.0007*$B57 - dis_BMI*($C57-21.75))-0.19*0.5)*BD57</f>
        <v>3.1054247982156079E-6</v>
      </c>
      <c r="CI57">
        <f>0.962*(0.93*0.943*(0.9442 - 0.0007*$B57 - dis_BMI*($C57-21.75)))*BE57</f>
        <v>-2.7303180657383549E-6</v>
      </c>
      <c r="CJ57">
        <f t="shared" si="51"/>
        <v>0</v>
      </c>
      <c r="CK57">
        <f t="shared" si="52"/>
        <v>3.1593188357389563E-3</v>
      </c>
      <c r="CL57">
        <f>CK57/(1+r_)^A57</f>
        <v>6.4029973585473651E-4</v>
      </c>
      <c r="CM57">
        <f>AD57*c_BN_2</f>
        <v>1.3579811985586556</v>
      </c>
      <c r="CN57">
        <f>AE57*(c_Other+c_BN_2)</f>
        <v>1.3559722968156511</v>
      </c>
      <c r="CO57">
        <f>AF57*(c_Stroke1+c_Stroke2+c_BN_2)</f>
        <v>0.29814323094307221</v>
      </c>
      <c r="CP57">
        <f>AG57*(c_Stroke2 + c_BN_2)</f>
        <v>-2.770531560549217E-3</v>
      </c>
      <c r="CQ57">
        <f>AH57*(c_MI1+c_MI2 + c_BN_2)</f>
        <v>0.24925319505136972</v>
      </c>
      <c r="CR57">
        <f>AI57*(c_MI2+c_BN_2)</f>
        <v>6.4485245764585863E-2</v>
      </c>
      <c r="CS57">
        <f>AJ57*(c_Stroke1+c_Stroke2+c_MI2+c_BN_2)</f>
        <v>9.1032111728534398E-3</v>
      </c>
      <c r="CT57">
        <f>AK57*(c_Stroke2+c_MI1+c_MI2+c_BN_2)</f>
        <v>4.6568095316333507E-3</v>
      </c>
      <c r="CU57">
        <f>AL57*(c_Stroke2+c_MI2+c_BN_2)</f>
        <v>-2.7283112774809438E-3</v>
      </c>
      <c r="CV57">
        <f>AM57*(c_HF1+c_BN_2)</f>
        <v>0.16981758704185457</v>
      </c>
      <c r="CW57">
        <f>AN57*(c_HF2+c_BN_2)</f>
        <v>0.46536788107823396</v>
      </c>
      <c r="CX57">
        <f>AO57*(c_Stroke2+c_HF1+c_BN_2)</f>
        <v>2.7854477403257793E-3</v>
      </c>
      <c r="CY57">
        <f>AP57*(c_Stroke1+c_Stroke2+c_HF2+c_BN_2)</f>
        <v>2.209112745886202E-2</v>
      </c>
      <c r="CZ57">
        <f>AQ57*(c_Stroke2+c_HF2+c_BN_2)</f>
        <v>-8.4936590426511315E-3</v>
      </c>
      <c r="DA57">
        <f>AR57*(c_DM+c_BN_2)</f>
        <v>33.024361919582056</v>
      </c>
      <c r="DB57">
        <f>AS57*(c_Other+c_DM+c_BN_2)</f>
        <v>11.250471092494012</v>
      </c>
      <c r="DC57">
        <f>AT57*(c_Stroke1+c_Stroke2+c_DM+c_BN_2)</f>
        <v>2.7779189558826469</v>
      </c>
      <c r="DD57">
        <f>AU57*(c_Stroke2+c_DM+c_BN_2)</f>
        <v>-0.32609066583542157</v>
      </c>
      <c r="DE57">
        <f>AV57*(c_MI1+c_MI2+c_DM+c_BN_2)</f>
        <v>2.2550875726861674</v>
      </c>
      <c r="DF57">
        <f>AW57*(c_MI2+c_DM+c_BN_2)</f>
        <v>1.1209024919720432</v>
      </c>
      <c r="DG57">
        <f>AX57*(c_Stroke1+c_Stroke2+c_MI2+c_DM+c_BN_2)</f>
        <v>0.12739230709127392</v>
      </c>
      <c r="DH57">
        <f>AY57*(c_Stroke2+c_MI1+c_MI2+c_DM+c_BN_2)</f>
        <v>5.3541634374943976E-2</v>
      </c>
      <c r="DI57">
        <f>AZ57*(c_Stroke2+c_MI2+c_DM+c_BN_2)</f>
        <v>-6.156016739361627E-2</v>
      </c>
      <c r="DJ57">
        <f>BA57*(c_HF1+c_DM+c_BN_2)</f>
        <v>1.5722301384074204</v>
      </c>
      <c r="DK57">
        <f>BB57*(c_HF2+c_DM+c_BN_2)</f>
        <v>4.0408295076451815</v>
      </c>
      <c r="DL57">
        <f>BC57*(c_Stroke2+c_HF1+c_DM+c_BN_2)</f>
        <v>3.2340822017625705E-2</v>
      </c>
      <c r="DM57">
        <f>BD57*(c_Stroke1+c_Stroke2+c_HF2+c_DM+c_BN_2)</f>
        <v>0.27113446155965826</v>
      </c>
      <c r="DN57">
        <f>BE57*(c_Stroke2+c_HF2+c_DM+c_BN_2)</f>
        <v>-0.13940235229244652</v>
      </c>
      <c r="DO57">
        <f t="shared" si="53"/>
        <v>0</v>
      </c>
      <c r="DP57">
        <f t="shared" si="54"/>
        <v>59.984822447467963</v>
      </c>
      <c r="DQ57">
        <f>DP57/(1+r_)^A57</f>
        <v>12.157135118470375</v>
      </c>
    </row>
    <row r="58" spans="1:121" x14ac:dyDescent="0.3">
      <c r="A58">
        <v>55</v>
      </c>
      <c r="B58">
        <v>100</v>
      </c>
      <c r="C58">
        <f t="shared" si="39"/>
        <v>36.251999999999995</v>
      </c>
      <c r="D58">
        <f t="shared" si="1"/>
        <v>125</v>
      </c>
      <c r="E58">
        <f t="shared" si="41"/>
        <v>5.7</v>
      </c>
      <c r="F58">
        <v>0.31955</v>
      </c>
      <c r="G58">
        <v>0.36148000000000002</v>
      </c>
      <c r="H58">
        <f t="shared" si="42"/>
        <v>0.32793600000000001</v>
      </c>
      <c r="I58">
        <f t="shared" si="43"/>
        <v>4.7655426853004217E-2</v>
      </c>
      <c r="J58">
        <f t="shared" si="21"/>
        <v>0.51696074843054263</v>
      </c>
      <c r="K58">
        <f t="shared" si="22"/>
        <v>0.63907239082524536</v>
      </c>
      <c r="L58">
        <f t="shared" si="23"/>
        <v>0.29140571709180885</v>
      </c>
      <c r="M58">
        <f t="shared" si="24"/>
        <v>0.38271860295358751</v>
      </c>
      <c r="N58">
        <f t="shared" si="25"/>
        <v>0.88669115205038318</v>
      </c>
      <c r="O58">
        <f t="shared" si="26"/>
        <v>0.95390166282386801</v>
      </c>
      <c r="P58">
        <f t="shared" si="27"/>
        <v>0.65738864243165729</v>
      </c>
      <c r="Q58">
        <f t="shared" si="28"/>
        <v>0.77986959412774481</v>
      </c>
      <c r="R58">
        <f>IF(C58&lt;25, HT_f_low, IF(C58&lt;30, HT_f_mod, HT_f_high))</f>
        <v>0.42</v>
      </c>
      <c r="S58">
        <f>IF(C58&lt;25, HT_m_low, IF(C58&lt;30, HT_m_mod, HT_m_high))</f>
        <v>0.43099999999999999</v>
      </c>
      <c r="T58">
        <f>PREV_FEMALE*PREV_SMOKE*(1-$R58)*(1-EXP(-J58/10))+PREV_FEMALE*PREV_SMOKE*$R58*(1-EXP(-K58/10))+PREV_FEMALE*(1-PREV_SMOKE)*(1-$R58)*(1-EXP(-L58/10))+PREV_FEMALE*(1-PREV_SMOKE)*$R58*(1-EXP(-M58/10))+(1-PREV_FEMALE)*PREV_SMOKE*(1-$S58)*(1-EXP(-N58/10))+(1-PREV_FEMALE)*PREV_SMOKE*$S58*(1-EXP(-O58/10))+(1-PREV_FEMALE)*(1-PREV_SMOKE)*(1-$S58)*(1-EXP(-P58/10))+(1-PREV_FEMALE)*(1-PREV_SMOKE)*$S58*(1-EXP(-Q58/10))</f>
        <v>4.2403424505095919E-2</v>
      </c>
      <c r="U58">
        <f t="shared" si="29"/>
        <v>0.79476646558149699</v>
      </c>
      <c r="V58">
        <f t="shared" si="30"/>
        <v>0.89115469482135945</v>
      </c>
      <c r="W58">
        <f t="shared" si="31"/>
        <v>0.52748113586980772</v>
      </c>
      <c r="X58">
        <f t="shared" si="32"/>
        <v>0.65003321698887817</v>
      </c>
      <c r="Y58">
        <f t="shared" si="33"/>
        <v>0.97541413964454171</v>
      </c>
      <c r="Z58">
        <f t="shared" si="34"/>
        <v>0.9946782273999778</v>
      </c>
      <c r="AA58">
        <f t="shared" si="35"/>
        <v>0.83841757702956077</v>
      </c>
      <c r="AB58">
        <f t="shared" si="36"/>
        <v>0.92388510447033645</v>
      </c>
      <c r="AC58">
        <f>PREV_FEMALE*PREV_SMOKE*(1-$R58)*(1-EXP(-U58/10))+PREV_FEMALE*PREV_SMOKE*$R58*(1-EXP(-V58/10))+PREV_FEMALE*(1-PREV_SMOKE)*(1-$R58)*(1-EXP(-W58/10))+PREV_FEMALE*(1-PREV_SMOKE)*$R58*(1-EXP(-X58/10))+(1-PREV_FEMALE)*PREV_SMOKE*(1-$S58)*(1-EXP(-Y58/10))+(1-PREV_FEMALE)*PREV_SMOKE*$S58*(1-EXP(-Z58/10))+(1-PREV_FEMALE)*(1-PREV_SMOKE)*(1-$S58)*(1-EXP(-AA58/10))+(1-PREV_FEMALE)*(1-PREV_SMOKE)*$S58*(1-EXP(-AB58/10))</f>
        <v>6.43824691572914E-2</v>
      </c>
      <c r="AD58">
        <f t="shared" si="44"/>
        <v>4.0283486026315186E-4</v>
      </c>
      <c r="AE58">
        <f t="shared" si="45"/>
        <v>4.5697362546277504E-5</v>
      </c>
      <c r="AF58">
        <f t="shared" si="46"/>
        <v>7.3078300312813572E-6</v>
      </c>
      <c r="AG58">
        <f t="shared" si="47"/>
        <v>-9.1964865774225355E-7</v>
      </c>
      <c r="AH58">
        <f>AD57*T57*p_MI*p_MI_rec_old*(1-I57)+AE57*T57*p_MI*p_MI_rec_old*(1-I57) + AH57*(PREV_FEMALE*p_recur_MI_F + (1-PREV_FEMALE)*p_recur_MI_M)*p_MI_rec_old*(1-I57) + AI57*(PREV_FEMALE*p_recur_MI_F + (1-PREV_FEMALE)*p_recur_MI_M)*p_MI_rec_old*(1-I57)</f>
        <v>5.0930424826138176E-6</v>
      </c>
      <c r="AI58">
        <f>AH57*(1-(PREV_FEMALE*p_recur_MI_F + (1-PREV_FEMALE)*p_recur_MI_M) - T57*p_Stroke - p_toHF_old - H57*rr_MI)*(1-I57) + AI57*(1-(PREV_FEMALE*p_recur_MI_F + (1-PREV_FEMALE)*p_recur_MI_M) - T57*p_Stroke - p_toHF_old - H57*rr_MI)*(1-I57)</f>
        <v>6.8439081048947501E-6</v>
      </c>
      <c r="AJ58">
        <f t="shared" si="48"/>
        <v>1.9214877059459327E-7</v>
      </c>
      <c r="AK58">
        <f>AF57*T57*p_MI*p_MI_rec_old*(1-I57) + AG57*T57*p_MI*p_MI_rec_old*(1-I57) + AJ57*(PREV_FEMALE*p_recur_MI_F + (1-PREV_FEMALE)*p_recur_MI_M)*p_MI_rec_old*(1-I57) + AK57*(PREV_FEMALE*p_recur_MI_F + (1-PREV_FEMALE)*p_recur_MI_M)*p_MI_rec_old*(1-I57) + AL57*(PREV_FEMALE*p_recur_MI_F + (1-PREV_FEMALE)*p_recur_MI_M)*p_MI_rec_old*(1-I57)</f>
        <v>7.2983062811826419E-8</v>
      </c>
      <c r="AL58">
        <f>AJ57*(1-p_recur_Stroke-(PREV_FEMALE*p_recur_MI_F + (1-PREV_FEMALE)*p_recur_MI_M) - p_toHF_old - H57*rr_MI*rr_Stroke)*(1-I57) + AK57*(1-p_recur_Stroke-(PREV_FEMALE*p_recur_MI_F + (1-PREV_FEMALE)*p_recur_MI_M) - p_toHF_old - H57*rr_MI*rr_Stroke)*(1-I57) + AL57*(1-p_recur_Stroke-(PREV_FEMALE*p_recur_MI_F + (1-PREV_FEMALE)*p_recur_MI_M) - p_toHF_old - H57*rr_MI*rr_Stroke)*(1-I57)</f>
        <v>-1.5280810619885026E-7</v>
      </c>
      <c r="AM58">
        <f>AD57*T57*p_MI*p_MI_HF_old*(1-I57) + AE57*T57*p_MI*p_MI_HF_old*(1-I57) + AH57*p_toHF_old*(1-I57) + AH57*(PREV_FEMALE*p_recur_MI_F + (1-PREV_FEMALE)*p_recur_MI_M)*p_MI_HF_old*(1-I57) + AI57*p_toHF_old*(1-I57) + AI57*(PREV_FEMALE*p_recur_MI_F + (1-PREV_FEMALE)*p_recur_MI_M)*p_MI_HF_old*(1-I57)</f>
        <v>3.6438441684094988E-6</v>
      </c>
      <c r="AN58">
        <f t="shared" si="49"/>
        <v>1.3272309271466256E-5</v>
      </c>
      <c r="AO58">
        <f>AF57*T57*p_MI*p_MI_HF_old*(1-I57) + AG57*T57*p_MI*p_MI_HF_old*(1-I57) + AJ57*(PREV_FEMALE*p_recur_MI_F + (1-PREV_FEMALE)*p_recur_MI_M)*p_MI_HF_old*(1-I57) + AJ57*p_toHF_old*(1-I57) + AK57*(PREV_FEMALE*p_recur_MI_F + (1-PREV_FEMALE)*p_recur_MI_M)*p_MI_HF_old*(1-I57) + AK57*p_toHF_old*(1-I57) + AL57*(PREV_FEMALE*p_recur_MI_F + (1-PREV_FEMALE)*p_recur_MI_M)*p_MI_HF_old*(1-I57) + AL57*p_toHF_old*(1-I57)</f>
        <v>4.5543206850944141E-8</v>
      </c>
      <c r="AP58">
        <f>AM57*T57*p_Stroke*p_Stroke_rec*(1-I57) + AN57*T57*p_Stroke*p_Stroke_rec*(1-I57) + AO57*(p_recur_Stroke*p_Stroke_rec)*(1-I57) + AP57*(p_recur_Stroke*p_Stroke_rec)*(1-I57) + AQ57*(p_recur_Stroke*p_Stroke_rec)*(1-I57)</f>
        <v>2.9671831690722947E-7</v>
      </c>
      <c r="AQ58">
        <f>AO57*(1-p_recur_Stroke-H57*rr_Stroke*rr_HF)*(1-I57) + AP57*(1-p_recur_Stroke-H57*rr_Stroke*rr_HF)*(1-I57) + AQ57*(1-p_recur_Stroke-H57*rr_Stroke*rr_HF)*(1-I57)</f>
        <v>-2.1290157515321836E-7</v>
      </c>
      <c r="AR58">
        <f>AR57*(1-AC57-H57*rr_DM) + AD57*(1-T57-H57)*I57</f>
        <v>1.4485895294102764E-3</v>
      </c>
      <c r="AS58">
        <f>AR57*AC57*p_Other + AD57*T57*p_Other*I57 + AE57*(1-T57*p_Stroke-T57*p_MI-H57*rr_Other)*I57 + AS57*(1-AC57*p_Stroke-AC57*p_MI-H57*rr_Other*rr_DM)</f>
        <v>2.1034547972952658E-4</v>
      </c>
      <c r="AT58">
        <f>AR57*AC57*p_Stroke*p_Stroke_rec + AD57*T57*p_Stroke*p_Stroke_rec*I57 + AE57*T57*p_Stroke*p_Stroke_rec*I57 + AF57*p_recur_Stroke*p_Stroke_rec*I57 + AG57*p_recur_Stroke*p_Stroke_rec*I57 + AS57*AC57*p_Stroke*p_Stroke_rec + AT57*p_recur_Stroke*p_Stroke_rec + AU57*p_recur_Stroke*p_Stroke_rec</f>
        <v>4.5055851320328842E-5</v>
      </c>
      <c r="AU58">
        <f>AF57*(1-p_recur_Stroke-T57*p_MI-H57*rr_Stroke)*I57 + AG57*(1-p_recur_Stroke-T57*p_MI-H57*rr_Stroke)*I57 + AT57*(1-p_recur_Stroke-AC57*p_MI-H57*rr_Stroke*rr_DM) + AU57*(1-p_recur_Stroke-AC57*p_MI-H57*rr_Stroke*rr_DM)</f>
        <v>-1.3687863146455244E-5</v>
      </c>
      <c r="AV58">
        <f>AR57*AC57*p_MI*p_MI_rec_old + AD57*T57*p_MI*p_MI_rec_old*I57 + AE57*T57*p_MI*p_MI_rec_old*I57 +AH57*(PREV_FEMALE*p_recur_MI_F + (1-PREV_FEMALE)*p_recur_MI_M)*p_MI_rec_old*I57 + AI57*(PREV_FEMALE*p_recur_MI_F + (1-PREV_FEMALE)*p_recur_MI_M)*p_MI_rec_old*I57 + AS57*AC57*p_MI*p_MI_rec_old + AV57*(PREV_FEMALE*p_recur_MI_F + (1-PREV_FEMALE)*p_recur_MI_M)*p_MI_rec_old + AW57*(PREV_FEMALE*p_recur_MI_F + (1-PREV_FEMALE)*p_recur_MI_M)*p_MI_rec_old</f>
        <v>3.2008652448954831E-5</v>
      </c>
      <c r="AW58">
        <f>AH57*(1-(PREV_FEMALE*p_recur_MI_F + (1-PREV_FEMALE)*p_recur_MI_M) - T57*p_Stroke - p_toHF_old - H57*rr_MI)*I57 + AI57*(1-(PREV_FEMALE*p_recur_MI_F + (1-PREV_FEMALE)*p_recur_MI_M) - T57*p_Stroke - p_toHF_old - H57*rr_MI)*I57 + AV57*(1-(PREV_FEMALE*p_recur_MI_F + (1-PREV_FEMALE)*p_recur_MI_M) - AC57*p_Stroke - p_toHF_old - H57*rr_MI*rr_DM) + AW57*(1-(PREV_FEMALE*p_recur_MI_F + (1-PREV_FEMALE)*p_recur_MI_M) - AC57*p_Stroke - p_toHF_old - H57*rr_MI*rr_DM)</f>
        <v>3.3479616319796734E-5</v>
      </c>
      <c r="AX58">
        <f>AH57*T57*p_Stroke*p_Stroke_rec*I57 + AI57*T57*p_Stroke*p_Stroke_rec*I57 + AJ57*p_recur_Stroke*p_Stroke_rec*I57 + AK57*p_recur_Stroke*p_Stroke_rec*I57 + AL57*p_recur_Stroke*p_Stroke_rec*I57 + AV57*AC57*p_Stroke*p_Stroke_rec + AW57*AC57*p_Stroke*p_Stroke_rec + AX57*p_recur_Stroke*p_Stroke_rec + AY57*p_recur_Stroke*p_Stroke_rec + AZ57*p_recur_Stroke*p_Stroke_rec</f>
        <v>1.7997979344547492E-6</v>
      </c>
      <c r="AY58">
        <f>AF57*T57*p_MI*p_MI_rec_old*I57 + AG57*T57*p_MI*p_MI_rec_old*I57 + AJ57*(PREV_FEMALE*p_recur_MI_F+(1-PREV_FEMALE)*p_recur_MI_M)*p_MI_rec_old*I57 + AK57*(PREV_FEMALE*p_recur_MI_F+(1-PREV_FEMALE)*p_recur_MI_M)*p_MI_rec_old*I57 + AL57*(PREV_FEMALE*p_recur_MI_F+(1-PREV_FEMALE)*p_recur_MI_M)*p_MI_rec_old*I57 + AT57*AC57*p_MI*p_MI_rec_old + AU57*AC57*p_MI*p_MI_rec_old + AX57*(PREV_FEMALE*p_recur_MI_F+(1-PREV_FEMALE)*p_recur_MI_M)*p_MI_rec_old + AY57*(PREV_FEMALE*p_recur_MI_F+(1-PREV_FEMALE)*p_recur_MI_M)*p_MI_rec_old + AZ57*(PREV_FEMALE*p_recur_MI_F+(1-PREV_FEMALE)*p_recur_MI_M)*p_MI_rec_old</f>
        <v>6.0941335454468029E-7</v>
      </c>
      <c r="AZ58">
        <f>AJ57*(1-p_recur_Stroke-(PREV_FEMALE*p_recur_MI_F + (1-PREV_FEMALE)*p_recur_MI_M) - p_toHF_old - H57*rr_MI*rr_Stroke)*I57 + AK57*(1-p_recur_Stroke-(PREV_FEMALE*p_recur_MI_F + (1-PREV_FEMALE)*p_recur_MI_M) - p_toHF_old - H57*rr_MI*rr_Stroke)*I57 + AL57*(1-p_recur_Stroke-(PREV_FEMALE*p_recur_MI_F + (1-PREV_FEMALE)*p_recur_MI_M) - p_toHF_old - H57*rr_MI*rr_Stroke)*I57 + AX57*(1-p_recur_Stroke-(PREV_FEMALE*p_recur_MI_F + (1-PREV_FEMALE)*p_recur_MI_M) - p_toHF_old - H57*rr_MI*rr_Stroke*rr_DM) + AY57*(1-p_recur_Stroke-(PREV_FEMALE*p_recur_MI_F + (1-PREV_FEMALE)*p_recur_MI_M) - p_toHF_old - H57*rr_MI*rr_Stroke*rr_DM) + AZ57*(1-p_recur_Stroke-(PREV_FEMALE*p_recur_MI_F + (1-PREV_FEMALE)*p_recur_MI_M) - p_toHF_old - H57*rr_MI*rr_Stroke*rr_DM)</f>
        <v>-1.6059836920962785E-6</v>
      </c>
      <c r="BA58">
        <f>AR57*AC57*p_MI*p_MI_HF_old + AD57*T57*p_MI*p_MI_HF_old*I57 + AE57*T57*p_MI*p_MI_HF_old*I57 + AH57*p_toHF_old*I57 + AH57*(PREV_FEMALE*p_recur_MI_F + (1-PREV_FEMALE)*p_recur_MI_M)*p_MI_HF_old*I57 + AI57*p_toHF_old*I57 + AI57*(PREV_FEMALE*p_recur_MI_F + (1-PREV_FEMALE)*p_recur_MI_M)*p_MI_HF_old*I57 + AS57*AC57*p_MI*p_MI_HF_old + AV57*(PREV_FEMALE*p_recur_MI_F + (1-PREV_FEMALE)*p_recur_MI_M)*p_MI_HF_old + AV57*p_toHF_old + AW57*(PREV_FEMALE*p_recur_MI_F + (1-PREV_FEMALE)*p_recur_MI_M)*p_MI_HF_old + AW57*p_toHF_old</f>
        <v>2.2852298032602548E-5</v>
      </c>
      <c r="BB58">
        <f>AM57*(1-T57*p_Stroke - H57*rr_HF)*I57 + AN57*(1-T57*p_Stroke - H57*rr_HF)*I57 + BA57*(1-AC57*p_Stroke - H57*rr_HF*rr_DM) + BB57*(1-AC57*p_Stroke - H57*rr_HF*rr_DM)</f>
        <v>6.1964667558297789E-5</v>
      </c>
      <c r="BC58">
        <f>AF57*T57*p_MI*p_MI_HF_old*I57 + AG57*T57*p_MI*p_MI_HF_old*I57 + AJ57*(PREV_FEMALE*p_recur_MI_F + (1-PREV_FEMALE)*p_recur_MI_M)*p_MI_HF_old*I57 + AJ57*p_toHF_old*I57 + AK57*(PREV_FEMALE*p_recur_MI_F + (1-PREV_FEMALE)*p_recur_MI_M)*p_MI_HF_old*I57 + AK57*p_toHF_old*I57 + AL57*(PREV_FEMALE*p_recur_MI_F + (1-PREV_FEMALE)*p_recur_MI_M)*p_MI_HF_old*I57 + AL57*p_toHF_old*I57 + AT57*AC57*p_MI*p_MI_HF_old + AU57*AC57*p_MI*p_MI_HF_old + AX57*(PREV_FEMALE*p_recur_MI_F + (1-PREV_FEMALE)*p_recur_MI_M)*p_MI_HF_old + AX57*p_toHF_old + AY57*(PREV_FEMALE*p_recur_MI_F + (1-PREV_FEMALE)*p_recur_MI_M)*p_MI_HF_old + AY57*p_toHF_old + AZ57*(PREV_FEMALE*p_recur_MI_F + (1-PREV_FEMALE)*p_recur_MI_M)*p_MI_HF_old + AZ57*p_toHF_old</f>
        <v>3.7746083979456722E-7</v>
      </c>
      <c r="BD58">
        <f>AM57*T57*p_Stroke*p_Stroke_rec*I57 + AN57*T57*p_Stroke*p_Stroke_rec*I57 + AO57*(p_recur_Stroke*p_Stroke_rec)*I57 + AP57*(p_recur_Stroke*p_Stroke_rec)*I57 + AQ57*(p_recur_Stroke*p_Stroke_rec)*I57 + BA57*AC57*p_Stroke*p_Stroke_rec + BB57*AC57*p_Stroke*p_Stroke_rec + BC57*(p_recur_Stroke*p_Stroke_rec) + BD57*(p_recur_Stroke*p_Stroke_rec) + BE57*(p_recur_Stroke*p_Stroke_rec)</f>
        <v>2.6102999796919012E-6</v>
      </c>
      <c r="BE58">
        <f>AO57*(1-p_recur_Stroke - H57*rr_Stroke*rr_HF)*I57 + AP57*(1-p_recur_Stroke-H57*rr_Stroke*rr_HF)*I57 + AQ57*(1-p_recur_Stroke-H57*rr_Stroke*rr_HF)*I57 + BC57*(1-p_recur_Stroke - H57*rr_Stroke*rr_HF*rr_DM) + BD57*(1-p_recur_Stroke-H57*rr_Stroke*rr_HF*rr_DM) + BE57*(1-p_recur_Stroke-H57*rr_Stroke*rr_HF*rr_DM)</f>
        <v>-2.1403389543176333E-6</v>
      </c>
      <c r="BF58">
        <f>AD57*H57 + AE57*H57*rr_Other + AF57*H57*rr_Stroke + AG57*H57*rr_Stroke + AH57*H57*rr_MI + AI57*H57*rr_MI + AJ57*H57*rr_Stroke*rr_MI + AK57*H57*rr_Stroke*rr_MI + AL57*H57*rr_Stroke*rr_MI + AM57*H57*rr_HF + AN57*H57*rr_HF + AO57*H57*rr_Stroke*rr_HF + AP57*H57*rr_Stroke*rr_HF + AR57*H57*rr_DM + AS57*H57*rr_DM*rr_Other + AT57*H57*rr_DM*rr_Stroke + AU57*H57*rr_DM*rr_Stroke + AV57*H57*rr_DM*rr_MI + AW57*H57*rr_DM*rr_MI + AX57*H57*rr_DM*rr_Stroke*rr_MI + AY57*H57*rr_DM*rr_Stroke*rr_MI + AZ57*H57*rr_DM*rr_Stroke*rr_MI + BA57*H57*rr_DM*rr_HF + BB57*H57*rr_DM*rr_HF + BC57*H57*rr_DM*rr_Stroke*rr_HF + BD57*H57*rr_DM*rr_Stroke*rr_HF + AQ57*H57*rr_Stroke*rr_HF + BE57*H57*rr_DM*rr_Stroke*rr_HF
+ AD57*T57*p_MI*p_MI_mort + AD57*T57*p_Stroke*p_Stroke_mort + AE57*T57*p_MI*p_MI_mort + AE57*T57*p_Stroke*p_Stroke_mort + AF57*T57*p_MI*p_MI_mort + AF57*p_recur_Stroke*p_Stroke_mort + AG57*T57*p_MI*p_MI_mort + AG57*p_recur_Stroke*p_Stroke_mort + AH57*(PREV_FEMALE*p_recur_MI_F + (1-PREV_FEMALE)*p_recur_MI_M)*p_MI_mort + AH57*T57*p_Stroke*p_Stroke_mort + AI57*(PREV_FEMALE*p_recur_MI_F + (1-PREV_FEMALE)*p_recur_MI_M)*p_MI_mort + AI57*T57*p_Stroke*p_Stroke_mort + AJ57*(PREV_FEMALE*p_recur_MI_F + (1-PREV_FEMALE)*p_recur_MI_M)*p_MI_mort + AJ57*p_recur_Stroke*p_Stroke_mort + AK57*(PREV_FEMALE*p_recur_MI_F + (1-PREV_FEMALE)*p_recur_MI_M)*p_MI_mort + AK57*p_recur_Stroke*p_Stroke_mort + AL57*(PREV_FEMALE*p_recur_MI_F + (1-PREV_FEMALE)*p_recur_MI_M)*p_MI_mort + AL57*p_recur_Stroke*p_Stroke_mort + AM57*T57*p_Stroke*p_Stroke_mort + AN57*T57*p_Stroke*p_Stroke_mort + AO57*p_recur_Stroke*p_Stroke_mort + AP57*p_recur_Stroke*p_Stroke_mort + AQ57*p_recur_Stroke*p_Stroke_mort
+ AR57*AC57*p_MI*p_MI_mort + AR57*AC57*p_Stroke*p_Stroke_mort + AS57*AC57*p_MI*p_MI_mort + AS57*AC57*p_Stroke*p_Stroke_mort + AT57*AC57*p_MI*p_MI_mort + AT57*p_recur_Stroke*p_Stroke_mort + AU57*AC57*p_MI*p_MI_mort + AU57*p_recur_Stroke*p_Stroke_mort + AV57*(PREV_FEMALE*p_recur_MI_F + (1-PREV_FEMALE)*p_recur_MI_M)*p_MI_mort + AV57*AC57*p_Stroke*p_Stroke_mort + AW57*(PREV_FEMALE*p_recur_MI_F + (1-PREV_FEMALE)*p_recur_MI_M)*p_MI_mort + AW57*AC57*p_Stroke*p_Stroke_mort + AX57*(PREV_FEMALE*p_recur_MI_F + (1-PREV_FEMALE)*p_recur_MI_M)*p_MI_mort + AX57*p_recur_Stroke*p_Stroke_mort + AY57*(PREV_FEMALE*p_recur_MI_F + (1-PREV_FEMALE)*p_recur_MI_M)*p_MI_mort + AY57*p_recur_Stroke*p_Stroke_mort + AZ57*(PREV_FEMALE*p_recur_MI_F + (1-PREV_FEMALE)*p_recur_MI_M)*p_MI_mort + AZ57*p_recur_Stroke*p_Stroke_mort + BA57*AC57*p_Stroke*p_Stroke_mort + BB57*AC57*p_Stroke*p_Stroke_mort + BC57*p_recur_Stroke*p_Stroke_mort + BD57*p_recur_Stroke*p_Stroke_mort + BE57*p_recur_Stroke*p_Stroke_mort
+BF57</f>
        <v>0.94467372592697862</v>
      </c>
      <c r="BG58">
        <f t="shared" si="50"/>
        <v>0.94700000000000017</v>
      </c>
      <c r="BH58">
        <f>(0.9442 - 0.0007*$B58 - dis_BMI*($C58-21.75))*AD58</f>
        <v>3.3287992806837785E-4</v>
      </c>
      <c r="BI58">
        <f>0.959*(0.9442 - 0.0007*$B58 - dis_BMI*($C58-21.75))*AE58</f>
        <v>3.6213483666085143E-5</v>
      </c>
      <c r="BJ58">
        <f>(0.943*(0.9442 - 0.0007*$B58 - dis_BMI*($C58-21.75)) - 0.19*0.5)*AF58</f>
        <v>5.0003229661631596E-6</v>
      </c>
      <c r="BK58">
        <f>(0.943*(0.9442 - 0.0007*$B58 - dis_BMI*($C58-21.75)))*AG58</f>
        <v>-7.1662869952145251E-7</v>
      </c>
      <c r="BL58">
        <f>(0.955*(0.9442 - 0.0007*$B58 - dis_BMI*($C58-21.75)) - 0.15*0.5)*AH58</f>
        <v>3.6372367633672673E-6</v>
      </c>
      <c r="BM58">
        <f>(0.955*(0.9442 - 0.0007*$B58 - dis_BMI*($C58-21.75)))*AI58</f>
        <v>5.4009244695154017E-6</v>
      </c>
      <c r="BN58">
        <f>(0.955*0.943*(0.9442 - 0.0007*$B58 - dis_BMI*($C58-21.75)) - 0.19*0.5)*AJ58</f>
        <v>1.2473835954321964E-7</v>
      </c>
      <c r="BO58">
        <f>(0.955*0.943*(0.9442 - 0.0007*$B58 - dis_BMI*($C58-21.75)) - 0.15*0.5)*AK58</f>
        <v>4.8838509954647885E-8</v>
      </c>
      <c r="BP58">
        <f>(0.955*0.943*(0.9442 - 0.0007*$B58 - dis_BMI*($C58-21.75)))*AL58</f>
        <v>-1.137161166845906E-7</v>
      </c>
      <c r="BQ58">
        <f>(0.93*(0.9442 - 0.0007*$B58 - dis_BMI*($C58-21.75)))*AM58</f>
        <v>2.8002919186501209E-6</v>
      </c>
      <c r="BR58">
        <f>(0.93*(0.9442 - 0.0007*$B58 - dis_BMI*($C58-21.75)))*AN58</f>
        <v>1.0199761207388504E-5</v>
      </c>
      <c r="BS58">
        <f>(0.93*0.943*(0.9442 - 0.0007*$B58 - dis_BMI*($C58-21.75)))*AO58</f>
        <v>3.3004929660106683E-8</v>
      </c>
      <c r="BT58">
        <f>(0.93*0.943*(0.9442 - 0.0007*$B58 - dis_BMI*($C58-21.75))-0.19*0.5)*AP58</f>
        <v>1.8684201040822846E-7</v>
      </c>
      <c r="BU58">
        <f>(0.93*0.943*(0.9442 - 0.0007*$B58 - dis_BMI*($C58-21.75)))*AQ58</f>
        <v>-1.5428868536762292E-7</v>
      </c>
      <c r="BV58">
        <f>0.962*(0.9442 - 0.0007*$B58 - dis_BMI*($C58-21.75))*AR58</f>
        <v>1.151545165853671E-3</v>
      </c>
      <c r="BW58">
        <f>0.962*0.959*(0.9442 - 0.0007*$B58 - dis_BMI*($C58-21.75))*AS58</f>
        <v>1.6035681640075351E-4</v>
      </c>
      <c r="BX58">
        <f>0.962*(0.943*(0.9442 - 0.0007*$B58 - dis_BMI*($C58-21.75)) - 0.19*0.5)*AT58</f>
        <v>2.9657592264857625E-5</v>
      </c>
      <c r="BY58">
        <f>0.962*(0.943*(0.9442 - 0.0007*$B58 - dis_BMI*($C58-21.75)))*AU58</f>
        <v>-1.0260841566968724E-5</v>
      </c>
      <c r="BZ58">
        <f>0.962*(0.955*(0.9442 - 0.0007*$B58 - dis_BMI*($C58-21.75)) - 0.15*0.5)*AV58</f>
        <v>2.1990582645453183E-5</v>
      </c>
      <c r="CA58">
        <f>0.962*(0.955*(0.9442 - 0.0007*$B58 - dis_BMI*($C58-21.75)))*AW58</f>
        <v>2.5416718480589902E-5</v>
      </c>
      <c r="CB58">
        <f>0.962*(0.955*0.943*(0.9442 - 0.0007*$B58 - dis_BMI*($C58-21.75)) - 0.19*0.5)*AX58</f>
        <v>1.1239868732671327E-6</v>
      </c>
      <c r="CC58">
        <f>0.962*(0.955*0.943*(0.9442 - 0.0007*$B58 - dis_BMI*($C58-21.75)) - 0.15*0.5)*AY58</f>
        <v>3.9230817606703604E-7</v>
      </c>
      <c r="CD58">
        <f>0.962*(0.955*0.943*(0.9442 - 0.0007*$B58 - dis_BMI*($C58-21.75)))*AZ58</f>
        <v>-1.149719321802452E-6</v>
      </c>
      <c r="CE58">
        <f>0.962*(0.93*(0.9442 - 0.0007*$B58 - dis_BMI*($C58-21.75)))*BA58</f>
        <v>1.6894621352873936E-5</v>
      </c>
      <c r="CF58">
        <f>0.962*(0.93*(0.9442 - 0.0007*$B58 - dis_BMI*($C58-21.75)))*BB58</f>
        <v>4.5810254800660385E-5</v>
      </c>
      <c r="CG58">
        <f>0.962*(0.93*0.943*(0.9442 - 0.0007*$B58 - dis_BMI*($C58-21.75)))*BC58</f>
        <v>2.6314927502465029E-7</v>
      </c>
      <c r="CH58">
        <f>0.962*(0.93*0.943*(0.9442 - 0.0007*$B58 - dis_BMI*($C58-21.75))-0.19*0.5)*BD58</f>
        <v>1.5812322623610229E-6</v>
      </c>
      <c r="CI58">
        <f>0.962*(0.93*0.943*(0.9442 - 0.0007*$B58 - dis_BMI*($C58-21.75)))*BE58</f>
        <v>-1.4921511975712238E-6</v>
      </c>
      <c r="CJ58">
        <f t="shared" si="51"/>
        <v>0</v>
      </c>
      <c r="CK58">
        <f t="shared" si="52"/>
        <v>1.8376704556667771E-3</v>
      </c>
      <c r="CL58">
        <f>CK58/(1+r_)^A58</f>
        <v>3.6159321643690714E-4</v>
      </c>
      <c r="CM58">
        <f>AD58*c_BN_2</f>
        <v>0.84393903225130318</v>
      </c>
      <c r="CN58">
        <f>AE58*(c_Other+c_BN_2)</f>
        <v>0.74824861433274781</v>
      </c>
      <c r="CO58">
        <f>AF58*(c_Stroke1+c_Stroke2+c_BN_2)</f>
        <v>0.18935318394053124</v>
      </c>
      <c r="CP58">
        <f>AG58*(c_Stroke2 + c_BN_2)</f>
        <v>-7.9043802132946692E-3</v>
      </c>
      <c r="CQ58">
        <f>AH58*(c_MI1+c_MI2 + c_BN_2)</f>
        <v>0.15913720541175133</v>
      </c>
      <c r="CR58">
        <f>AI58*(c_MI2+c_BN_2)</f>
        <v>3.5670449042711438E-2</v>
      </c>
      <c r="CS58">
        <f>AJ58*(c_Stroke1+c_Stroke2+c_MI2+c_BN_2)</f>
        <v>5.5776945128198537E-3</v>
      </c>
      <c r="CT58">
        <f>AK58*(c_Stroke2+c_MI1+c_MI2+c_BN_2)</f>
        <v>2.7548186888952E-3</v>
      </c>
      <c r="CU58">
        <f>AL58*(c_Stroke2+c_MI2+c_BN_2)</f>
        <v>-1.7896885398009342E-3</v>
      </c>
      <c r="CV58">
        <f>AM58*(c_HF1+c_BN_2)</f>
        <v>0.10612696140492665</v>
      </c>
      <c r="CW58">
        <f>AN58*(c_HF2+c_BN_2)</f>
        <v>0.23491987410495274</v>
      </c>
      <c r="CX58">
        <f>AO58*(c_Stroke2+c_HF1+c_BN_2)</f>
        <v>1.6224767440648851E-3</v>
      </c>
      <c r="CY58">
        <f>AP58*(c_Stroke1+c_Stroke2+c_HF2+c_BN_2)</f>
        <v>1.2318557644720538E-2</v>
      </c>
      <c r="CZ58">
        <f>AQ58*(c_Stroke2+c_HF2+c_BN_2)</f>
        <v>-5.1522181187078847E-3</v>
      </c>
      <c r="DA58">
        <f>AR58*(c_DM+c_BN_2)</f>
        <v>19.584930437626937</v>
      </c>
      <c r="DB58">
        <f>AS58*(c_Other+c_DM+c_BN_2)</f>
        <v>5.847393991001109</v>
      </c>
      <c r="DC58">
        <f>AT58*(c_Stroke1+c_Stroke2+c_DM+c_BN_2)</f>
        <v>1.6822052648957977</v>
      </c>
      <c r="DD58">
        <f>AU58*(c_Stroke2+c_DM+c_BN_2)</f>
        <v>-0.27403102019203401</v>
      </c>
      <c r="DE58">
        <f>AV58*(c_MI1+c_MI2+c_DM+c_BN_2)</f>
        <v>1.3658412086493517</v>
      </c>
      <c r="DF58">
        <f>AW58*(c_MI2+c_DM+c_BN_2)</f>
        <v>0.55700037671245828</v>
      </c>
      <c r="DG58">
        <f>AX58*(c_Stroke1+c_Stroke2+c_MI2+c_DM+c_BN_2)</f>
        <v>7.2807225842497963E-2</v>
      </c>
      <c r="DH58">
        <f>AY58*(c_Stroke2+c_MI1+c_MI2+c_DM+c_BN_2)</f>
        <v>2.9965464056316476E-2</v>
      </c>
      <c r="DI58">
        <f>AZ58*(c_Stroke2+c_MI2+c_DM+c_BN_2)</f>
        <v>-3.7157644684031599E-2</v>
      </c>
      <c r="DJ58">
        <f>BA58*(c_HF1+c_DM+c_BN_2)</f>
        <v>0.92666068522203338</v>
      </c>
      <c r="DK58">
        <f>BB58*(c_HF2+c_DM+c_BN_2)</f>
        <v>1.8047209426354232</v>
      </c>
      <c r="DL58">
        <f>BC58*(c_Stroke2+c_HF1+c_DM+c_BN_2)</f>
        <v>1.7759532512334388E-2</v>
      </c>
      <c r="DM58">
        <f>BD58*(c_Stroke1+c_Stroke2+c_HF2+c_DM+c_BN_2)</f>
        <v>0.13819189122486894</v>
      </c>
      <c r="DN58">
        <f>BE58*(c_Stroke2+c_HF2+c_DM+c_BN_2)</f>
        <v>-7.624957524756569E-2</v>
      </c>
      <c r="DO58">
        <f t="shared" si="53"/>
        <v>0</v>
      </c>
      <c r="DP58">
        <f t="shared" si="54"/>
        <v>33.964861361463122</v>
      </c>
      <c r="DQ58">
        <f>DP58/(1+r_)^A58</f>
        <v>6.6831696769423736</v>
      </c>
    </row>
    <row r="59" spans="1:121" x14ac:dyDescent="0.3">
      <c r="A59">
        <v>56</v>
      </c>
      <c r="B59">
        <v>101</v>
      </c>
      <c r="C59">
        <f t="shared" si="39"/>
        <v>36.251999999999995</v>
      </c>
      <c r="D59">
        <f t="shared" si="1"/>
        <v>125</v>
      </c>
      <c r="E59">
        <f t="shared" si="41"/>
        <v>5.7</v>
      </c>
      <c r="F59">
        <v>0.34189000000000003</v>
      </c>
      <c r="G59">
        <v>0.38297999999999999</v>
      </c>
      <c r="H59">
        <f t="shared" si="42"/>
        <v>0.35010800000000003</v>
      </c>
      <c r="I59">
        <f t="shared" si="43"/>
        <v>4.7655426853004217E-2</v>
      </c>
      <c r="J59">
        <f t="shared" si="21"/>
        <v>0.52651177013015371</v>
      </c>
      <c r="K59">
        <f t="shared" si="22"/>
        <v>0.64902731867087526</v>
      </c>
      <c r="L59">
        <f t="shared" si="23"/>
        <v>0.298073329020074</v>
      </c>
      <c r="M59">
        <f t="shared" si="24"/>
        <v>0.39083784836345592</v>
      </c>
      <c r="N59">
        <f t="shared" si="25"/>
        <v>0.89419386244459176</v>
      </c>
      <c r="O59">
        <f t="shared" si="26"/>
        <v>0.95815489588173264</v>
      </c>
      <c r="P59">
        <f t="shared" si="27"/>
        <v>0.66874185291477772</v>
      </c>
      <c r="Q59">
        <f t="shared" si="28"/>
        <v>0.79010568464522979</v>
      </c>
      <c r="R59">
        <f>IF(C59&lt;25, HT_f_low, IF(C59&lt;30, HT_f_mod, HT_f_high))</f>
        <v>0.42</v>
      </c>
      <c r="S59">
        <f>IF(C59&lt;25, HT_m_low, IF(C59&lt;30, HT_m_mod, HT_m_high))</f>
        <v>0.43099999999999999</v>
      </c>
      <c r="T59">
        <f>PREV_FEMALE*PREV_SMOKE*(1-$R59)*(1-EXP(-J59/10))+PREV_FEMALE*PREV_SMOKE*$R59*(1-EXP(-K59/10))+PREV_FEMALE*(1-PREV_SMOKE)*(1-$R59)*(1-EXP(-L59/10))+PREV_FEMALE*(1-PREV_SMOKE)*$R59*(1-EXP(-M59/10))+(1-PREV_FEMALE)*PREV_SMOKE*(1-$S59)*(1-EXP(-N59/10))+(1-PREV_FEMALE)*PREV_SMOKE*$S59*(1-EXP(-O59/10))+(1-PREV_FEMALE)*(1-PREV_SMOKE)*(1-$S59)*(1-EXP(-P59/10))+(1-PREV_FEMALE)*(1-PREV_SMOKE)*$S59*(1-EXP(-Q59/10))</f>
        <v>4.317880138679283E-2</v>
      </c>
      <c r="U59">
        <f t="shared" si="29"/>
        <v>0.80349541380052147</v>
      </c>
      <c r="V59">
        <f t="shared" si="30"/>
        <v>0.89758241309401687</v>
      </c>
      <c r="W59">
        <f t="shared" si="31"/>
        <v>0.53710397845412094</v>
      </c>
      <c r="X59">
        <f t="shared" si="32"/>
        <v>0.65997374667367137</v>
      </c>
      <c r="Y59">
        <f t="shared" si="33"/>
        <v>0.97811955258869498</v>
      </c>
      <c r="Z59">
        <f t="shared" si="34"/>
        <v>0.99548645478957198</v>
      </c>
      <c r="AA59">
        <f t="shared" si="35"/>
        <v>0.84742263554563713</v>
      </c>
      <c r="AB59">
        <f t="shared" si="36"/>
        <v>0.92980913910192831</v>
      </c>
      <c r="AC59">
        <f>PREV_FEMALE*PREV_SMOKE*(1-$R59)*(1-EXP(-U59/10))+PREV_FEMALE*PREV_SMOKE*$R59*(1-EXP(-V59/10))+PREV_FEMALE*(1-PREV_SMOKE)*(1-$R59)*(1-EXP(-W59/10))+PREV_FEMALE*(1-PREV_SMOKE)*$R59*(1-EXP(-X59/10))+(1-PREV_FEMALE)*PREV_SMOKE*(1-$S59)*(1-EXP(-Y59/10))+(1-PREV_FEMALE)*PREV_SMOKE*$S59*(1-EXP(-Z59/10))+(1-PREV_FEMALE)*(1-PREV_SMOKE)*(1-$S59)*(1-EXP(-AA59/10))+(1-PREV_FEMALE)*(1-PREV_SMOKE)*$S59*(1-EXP(-AB59/10))</f>
        <v>6.5225477988669039E-2</v>
      </c>
      <c r="AD59">
        <f t="shared" si="44"/>
        <v>2.4156146761885E-4</v>
      </c>
      <c r="AE59">
        <f t="shared" si="45"/>
        <v>2.4520220079210656E-5</v>
      </c>
      <c r="AF59">
        <f t="shared" si="46"/>
        <v>4.5043418207601916E-6</v>
      </c>
      <c r="AG59">
        <f t="shared" si="47"/>
        <v>-9.4765618536038757E-7</v>
      </c>
      <c r="AH59">
        <f>AD58*T58*p_MI*p_MI_rec_old*(1-I58)+AE58*T58*p_MI*p_MI_rec_old*(1-I58) + AH58*(PREV_FEMALE*p_recur_MI_F + (1-PREV_FEMALE)*p_recur_MI_M)*p_MI_rec_old*(1-I58) + AI58*(PREV_FEMALE*p_recur_MI_F + (1-PREV_FEMALE)*p_recur_MI_M)*p_MI_rec_old*(1-I58)</f>
        <v>3.147347387252326E-6</v>
      </c>
      <c r="AI59">
        <f>AH58*(1-(PREV_FEMALE*p_recur_MI_F + (1-PREV_FEMALE)*p_recur_MI_M) - T58*p_Stroke - p_toHF_old - H58*rr_MI)*(1-I58) + AI58*(1-(PREV_FEMALE*p_recur_MI_F + (1-PREV_FEMALE)*p_recur_MI_M) - T58*p_Stroke - p_toHF_old - H58*rr_MI)*(1-I58)</f>
        <v>3.6151473786590061E-6</v>
      </c>
      <c r="AJ59">
        <f t="shared" si="48"/>
        <v>1.1381050967675924E-7</v>
      </c>
      <c r="AK59">
        <f>AF58*T58*p_MI*p_MI_rec_old*(1-I58) + AG58*T58*p_MI*p_MI_rec_old*(1-I58) + AJ58*(PREV_FEMALE*p_recur_MI_F + (1-PREV_FEMALE)*p_recur_MI_M)*p_MI_rec_old*(1-I58) + AK58*(PREV_FEMALE*p_recur_MI_F + (1-PREV_FEMALE)*p_recur_MI_M)*p_MI_rec_old*(1-I58) + AL58*(PREV_FEMALE*p_recur_MI_F + (1-PREV_FEMALE)*p_recur_MI_M)*p_MI_rec_old*(1-I58)</f>
        <v>4.2171585115341382E-8</v>
      </c>
      <c r="AL59">
        <f>AJ58*(1-p_recur_Stroke-(PREV_FEMALE*p_recur_MI_F + (1-PREV_FEMALE)*p_recur_MI_M) - p_toHF_old - H58*rr_MI*rr_Stroke)*(1-I58) + AK58*(1-p_recur_Stroke-(PREV_FEMALE*p_recur_MI_F + (1-PREV_FEMALE)*p_recur_MI_M) - p_toHF_old - H58*rr_MI*rr_Stroke)*(1-I58) + AL58*(1-p_recur_Stroke-(PREV_FEMALE*p_recur_MI_F + (1-PREV_FEMALE)*p_recur_MI_M) - p_toHF_old - H58*rr_MI*rr_Stroke)*(1-I58)</f>
        <v>-9.5832515217618192E-8</v>
      </c>
      <c r="AM59">
        <f>AD58*T58*p_MI*p_MI_HF_old*(1-I58) + AE58*T58*p_MI*p_MI_HF_old*(1-I58) + AH58*p_toHF_old*(1-I58) + AH58*(PREV_FEMALE*p_recur_MI_F + (1-PREV_FEMALE)*p_recur_MI_M)*p_MI_HF_old*(1-I58) + AI58*p_toHF_old*(1-I58) + AI58*(PREV_FEMALE*p_recur_MI_F + (1-PREV_FEMALE)*p_recur_MI_M)*p_MI_HF_old*(1-I58)</f>
        <v>2.2031421472734508E-6</v>
      </c>
      <c r="AN59">
        <f t="shared" si="49"/>
        <v>6.3377362090837511E-6</v>
      </c>
      <c r="AO59">
        <f>AF58*T58*p_MI*p_MI_HF_old*(1-I58) + AG58*T58*p_MI*p_MI_HF_old*(1-I58) + AJ58*(PREV_FEMALE*p_recur_MI_F + (1-PREV_FEMALE)*p_recur_MI_M)*p_MI_HF_old*(1-I58) + AJ58*p_toHF_old*(1-I58) + AK58*(PREV_FEMALE*p_recur_MI_F + (1-PREV_FEMALE)*p_recur_MI_M)*p_MI_HF_old*(1-I58) + AK58*p_toHF_old*(1-I58) + AL58*(PREV_FEMALE*p_recur_MI_F + (1-PREV_FEMALE)*p_recur_MI_M)*p_MI_HF_old*(1-I58) + AL58*p_toHF_old*(1-I58)</f>
        <v>2.5892003895414624E-8</v>
      </c>
      <c r="AP59">
        <f>AM58*T58*p_Stroke*p_Stroke_rec*(1-I58) + AN58*T58*p_Stroke*p_Stroke_rec*(1-I58) + AO58*(p_recur_Stroke*p_Stroke_rec)*(1-I58) + AP58*(p_recur_Stroke*p_Stroke_rec)*(1-I58) + AQ58*(p_recur_Stroke*p_Stroke_rec)*(1-I58)</f>
        <v>1.581488333181069E-7</v>
      </c>
      <c r="AQ59">
        <f>AO58*(1-p_recur_Stroke-H58*rr_Stroke*rr_HF)*(1-I58) + AP58*(1-p_recur_Stroke-H58*rr_Stroke*rr_HF)*(1-I58) + AQ58*(1-p_recur_Stroke-H58*rr_Stroke*rr_HF)*(1-I58)</f>
        <v>-1.217317123327551E-7</v>
      </c>
      <c r="AR59">
        <f>AR58*(1-AC58-H58*rr_DM) + AD58*(1-T58-H58)*I58</f>
        <v>8.211121667311078E-4</v>
      </c>
      <c r="AS59">
        <f>AR58*AC58*p_Other + AD58*T58*p_Other*I58 + AE58*(1-T58*p_Stroke-T58*p_MI-H58*rr_Other)*I58 + AS58*(1-AC58*p_Stroke-AC58*p_MI-H58*rr_Other*rr_DM)</f>
        <v>1.0605241180183544E-4</v>
      </c>
      <c r="AT59">
        <f>AR58*AC58*p_Stroke*p_Stroke_rec + AD58*T58*p_Stroke*p_Stroke_rec*I58 + AE58*T58*p_Stroke*p_Stroke_rec*I58 + AF58*p_recur_Stroke*p_Stroke_rec*I58 + AG58*p_recur_Stroke*p_Stroke_rec*I58 + AS58*AC58*p_Stroke*p_Stroke_rec + AT58*p_recur_Stroke*p_Stroke_rec + AU58*p_recur_Stroke*p_Stroke_rec</f>
        <v>2.6288643516825137E-5</v>
      </c>
      <c r="AU59">
        <f>AF58*(1-p_recur_Stroke-T58*p_MI-H58*rr_Stroke)*I58 + AG58*(1-p_recur_Stroke-T58*p_MI-H58*rr_Stroke)*I58 + AT58*(1-p_recur_Stroke-AC58*p_MI-H58*rr_Stroke*rr_DM) + AU58*(1-p_recur_Stroke-AC58*p_MI-H58*rr_Stroke*rr_DM)</f>
        <v>-9.9148418082039109E-6</v>
      </c>
      <c r="AV59">
        <f>AR58*AC58*p_MI*p_MI_rec_old + AD58*T58*p_MI*p_MI_rec_old*I58 + AE58*T58*p_MI*p_MI_rec_old*I58 +AH58*(PREV_FEMALE*p_recur_MI_F + (1-PREV_FEMALE)*p_recur_MI_M)*p_MI_rec_old*I58 + AI58*(PREV_FEMALE*p_recur_MI_F + (1-PREV_FEMALE)*p_recur_MI_M)*p_MI_rec_old*I58 + AS58*AC58*p_MI*p_MI_rec_old + AV58*(PREV_FEMALE*p_recur_MI_F + (1-PREV_FEMALE)*p_recur_MI_M)*p_MI_rec_old + AW58*(PREV_FEMALE*p_recur_MI_F + (1-PREV_FEMALE)*p_recur_MI_M)*p_MI_rec_old</f>
        <v>1.8641741705675258E-5</v>
      </c>
      <c r="AW59">
        <f>AH58*(1-(PREV_FEMALE*p_recur_MI_F + (1-PREV_FEMALE)*p_recur_MI_M) - T58*p_Stroke - p_toHF_old - H58*rr_MI)*I58 + AI58*(1-(PREV_FEMALE*p_recur_MI_F + (1-PREV_FEMALE)*p_recur_MI_M) - T58*p_Stroke - p_toHF_old - H58*rr_MI)*I58 + AV58*(1-(PREV_FEMALE*p_recur_MI_F + (1-PREV_FEMALE)*p_recur_MI_M) - AC58*p_Stroke - p_toHF_old - H58*rr_MI*rr_DM) + AW58*(1-(PREV_FEMALE*p_recur_MI_F + (1-PREV_FEMALE)*p_recur_MI_M) - AC58*p_Stroke - p_toHF_old - H58*rr_MI*rr_DM)</f>
        <v>1.5585859772585281E-5</v>
      </c>
      <c r="AX59">
        <f>AH58*T58*p_Stroke*p_Stroke_rec*I58 + AI58*T58*p_Stroke*p_Stroke_rec*I58 + AJ58*p_recur_Stroke*p_Stroke_rec*I58 + AK58*p_recur_Stroke*p_Stroke_rec*I58 + AL58*p_recur_Stroke*p_Stroke_rec*I58 + AV58*AC58*p_Stroke*p_Stroke_rec + AW58*AC58*p_Stroke*p_Stroke_rec + AX58*p_recur_Stroke*p_Stroke_rec + AY58*p_recur_Stroke*p_Stroke_rec + AZ58*p_recur_Stroke*p_Stroke_rec</f>
        <v>9.8653974466630551E-7</v>
      </c>
      <c r="AY59">
        <f>AF58*T58*p_MI*p_MI_rec_old*I58 + AG58*T58*p_MI*p_MI_rec_old*I58 + AJ58*(PREV_FEMALE*p_recur_MI_F+(1-PREV_FEMALE)*p_recur_MI_M)*p_MI_rec_old*I58 + AK58*(PREV_FEMALE*p_recur_MI_F+(1-PREV_FEMALE)*p_recur_MI_M)*p_MI_rec_old*I58 + AL58*(PREV_FEMALE*p_recur_MI_F+(1-PREV_FEMALE)*p_recur_MI_M)*p_MI_rec_old*I58 + AT58*AC58*p_MI*p_MI_rec_old + AU58*AC58*p_MI*p_MI_rec_old + AX58*(PREV_FEMALE*p_recur_MI_F+(1-PREV_FEMALE)*p_recur_MI_M)*p_MI_rec_old + AY58*(PREV_FEMALE*p_recur_MI_F+(1-PREV_FEMALE)*p_recur_MI_M)*p_MI_rec_old + AZ58*(PREV_FEMALE*p_recur_MI_F+(1-PREV_FEMALE)*p_recur_MI_M)*p_MI_rec_old</f>
        <v>3.3060080758284975E-7</v>
      </c>
      <c r="AZ59">
        <f>AJ58*(1-p_recur_Stroke-(PREV_FEMALE*p_recur_MI_F + (1-PREV_FEMALE)*p_recur_MI_M) - p_toHF_old - H58*rr_MI*rr_Stroke)*I58 + AK58*(1-p_recur_Stroke-(PREV_FEMALE*p_recur_MI_F + (1-PREV_FEMALE)*p_recur_MI_M) - p_toHF_old - H58*rr_MI*rr_Stroke)*I58 + AL58*(1-p_recur_Stroke-(PREV_FEMALE*p_recur_MI_F + (1-PREV_FEMALE)*p_recur_MI_M) - p_toHF_old - H58*rr_MI*rr_Stroke)*I58 + AX58*(1-p_recur_Stroke-(PREV_FEMALE*p_recur_MI_F + (1-PREV_FEMALE)*p_recur_MI_M) - p_toHF_old - H58*rr_MI*rr_Stroke*rr_DM) + AY58*(1-p_recur_Stroke-(PREV_FEMALE*p_recur_MI_F + (1-PREV_FEMALE)*p_recur_MI_M) - p_toHF_old - H58*rr_MI*rr_Stroke*rr_DM) + AZ58*(1-p_recur_Stroke-(PREV_FEMALE*p_recur_MI_F + (1-PREV_FEMALE)*p_recur_MI_M) - p_toHF_old - H58*rr_MI*rr_Stroke*rr_DM)</f>
        <v>-9.1978487605277719E-7</v>
      </c>
      <c r="BA59">
        <f>AR58*AC58*p_MI*p_MI_HF_old + AD58*T58*p_MI*p_MI_HF_old*I58 + AE58*T58*p_MI*p_MI_HF_old*I58 + AH58*p_toHF_old*I58 + AH58*(PREV_FEMALE*p_recur_MI_F + (1-PREV_FEMALE)*p_recur_MI_M)*p_MI_HF_old*I58 + AI58*p_toHF_old*I58 + AI58*(PREV_FEMALE*p_recur_MI_F + (1-PREV_FEMALE)*p_recur_MI_M)*p_MI_HF_old*I58 + AS58*AC58*p_MI*p_MI_HF_old + AV58*(PREV_FEMALE*p_recur_MI_F + (1-PREV_FEMALE)*p_recur_MI_M)*p_MI_HF_old + AV58*p_toHF_old + AW58*(PREV_FEMALE*p_recur_MI_F + (1-PREV_FEMALE)*p_recur_MI_M)*p_MI_HF_old + AW58*p_toHF_old</f>
        <v>1.2947126746173056E-5</v>
      </c>
      <c r="BB59">
        <f>AM58*(1-T58*p_Stroke - H58*rr_HF)*I58 + AN58*(1-T58*p_Stroke - H58*rr_HF)*I58 + BA58*(1-AC58*p_Stroke - H58*rr_HF*rr_DM) + BB58*(1-AC58*p_Stroke - H58*rr_HF*rr_DM)</f>
        <v>2.566231495744679E-5</v>
      </c>
      <c r="BC59">
        <f>AF58*T58*p_MI*p_MI_HF_old*I58 + AG58*T58*p_MI*p_MI_HF_old*I58 + AJ58*(PREV_FEMALE*p_recur_MI_F + (1-PREV_FEMALE)*p_recur_MI_M)*p_MI_HF_old*I58 + AJ58*p_toHF_old*I58 + AK58*(PREV_FEMALE*p_recur_MI_F + (1-PREV_FEMALE)*p_recur_MI_M)*p_MI_HF_old*I58 + AK58*p_toHF_old*I58 + AL58*(PREV_FEMALE*p_recur_MI_F + (1-PREV_FEMALE)*p_recur_MI_M)*p_MI_HF_old*I58 + AL58*p_toHF_old*I58 + AT58*AC58*p_MI*p_MI_HF_old + AU58*AC58*p_MI*p_MI_HF_old + AX58*(PREV_FEMALE*p_recur_MI_F + (1-PREV_FEMALE)*p_recur_MI_M)*p_MI_HF_old + AX58*p_toHF_old + AY58*(PREV_FEMALE*p_recur_MI_F + (1-PREV_FEMALE)*p_recur_MI_M)*p_MI_HF_old + AY58*p_toHF_old + AZ58*(PREV_FEMALE*p_recur_MI_F + (1-PREV_FEMALE)*p_recur_MI_M)*p_MI_HF_old + AZ58*p_toHF_old</f>
        <v>2.0057756406276084E-7</v>
      </c>
      <c r="BD59">
        <f>AM58*T58*p_Stroke*p_Stroke_rec*I58 + AN58*T58*p_Stroke*p_Stroke_rec*I58 + AO58*(p_recur_Stroke*p_Stroke_rec)*I58 + AP58*(p_recur_Stroke*p_Stroke_rec)*I58 + AQ58*(p_recur_Stroke*p_Stroke_rec)*I58 + BA58*AC58*p_Stroke*p_Stroke_rec + BB58*AC58*p_Stroke*p_Stroke_rec + BC58*(p_recur_Stroke*p_Stroke_rec) + BD58*(p_recur_Stroke*p_Stroke_rec) + BE58*(p_recur_Stroke*p_Stroke_rec)</f>
        <v>1.2569587108927519E-6</v>
      </c>
      <c r="BE59">
        <f>AO58*(1-p_recur_Stroke - H58*rr_Stroke*rr_HF)*I58 + AP58*(1-p_recur_Stroke-H58*rr_Stroke*rr_HF)*I58 + AQ58*(1-p_recur_Stroke-H58*rr_Stroke*rr_HF)*I58 + BC58*(1-p_recur_Stroke - H58*rr_Stroke*rr_HF*rr_DM) + BD58*(1-p_recur_Stroke-H58*rr_Stroke*rr_HF*rr_DM) + BE58*(1-p_recur_Stroke-H58*rr_Stroke*rr_HF*rr_DM)</f>
        <v>-1.0809090339148555E-6</v>
      </c>
      <c r="BF59">
        <f>AD58*H58 + AE58*H58*rr_Other + AF58*H58*rr_Stroke + AG58*H58*rr_Stroke + AH58*H58*rr_MI + AI58*H58*rr_MI + AJ58*H58*rr_Stroke*rr_MI + AK58*H58*rr_Stroke*rr_MI + AL58*H58*rr_Stroke*rr_MI + AM58*H58*rr_HF + AN58*H58*rr_HF + AO58*H58*rr_Stroke*rr_HF + AP58*H58*rr_Stroke*rr_HF + AR58*H58*rr_DM + AS58*H58*rr_DM*rr_Other + AT58*H58*rr_DM*rr_Stroke + AU58*H58*rr_DM*rr_Stroke + AV58*H58*rr_DM*rr_MI + AW58*H58*rr_DM*rr_MI + AX58*H58*rr_DM*rr_Stroke*rr_MI + AY58*H58*rr_DM*rr_Stroke*rr_MI + AZ58*H58*rr_DM*rr_Stroke*rr_MI + BA58*H58*rr_DM*rr_HF + BB58*H58*rr_DM*rr_HF + BC58*H58*rr_DM*rr_Stroke*rr_HF + BD58*H58*rr_DM*rr_Stroke*rr_HF + AQ58*H58*rr_Stroke*rr_HF + BE58*H58*rr_DM*rr_Stroke*rr_HF
+ AD58*T58*p_MI*p_MI_mort + AD58*T58*p_Stroke*p_Stroke_mort + AE58*T58*p_MI*p_MI_mort + AE58*T58*p_Stroke*p_Stroke_mort + AF58*T58*p_MI*p_MI_mort + AF58*p_recur_Stroke*p_Stroke_mort + AG58*T58*p_MI*p_MI_mort + AG58*p_recur_Stroke*p_Stroke_mort + AH58*(PREV_FEMALE*p_recur_MI_F + (1-PREV_FEMALE)*p_recur_MI_M)*p_MI_mort + AH58*T58*p_Stroke*p_Stroke_mort + AI58*(PREV_FEMALE*p_recur_MI_F + (1-PREV_FEMALE)*p_recur_MI_M)*p_MI_mort + AI58*T58*p_Stroke*p_Stroke_mort + AJ58*(PREV_FEMALE*p_recur_MI_F + (1-PREV_FEMALE)*p_recur_MI_M)*p_MI_mort + AJ58*p_recur_Stroke*p_Stroke_mort + AK58*(PREV_FEMALE*p_recur_MI_F + (1-PREV_FEMALE)*p_recur_MI_M)*p_MI_mort + AK58*p_recur_Stroke*p_Stroke_mort + AL58*(PREV_FEMALE*p_recur_MI_F + (1-PREV_FEMALE)*p_recur_MI_M)*p_MI_mort + AL58*p_recur_Stroke*p_Stroke_mort + AM58*T58*p_Stroke*p_Stroke_mort + AN58*T58*p_Stroke*p_Stroke_mort + AO58*p_recur_Stroke*p_Stroke_mort + AP58*p_recur_Stroke*p_Stroke_mort + AQ58*p_recur_Stroke*p_Stroke_mort
+ AR58*AC58*p_MI*p_MI_mort + AR58*AC58*p_Stroke*p_Stroke_mort + AS58*AC58*p_MI*p_MI_mort + AS58*AC58*p_Stroke*p_Stroke_mort + AT58*AC58*p_MI*p_MI_mort + AT58*p_recur_Stroke*p_Stroke_mort + AU58*AC58*p_MI*p_MI_mort + AU58*p_recur_Stroke*p_Stroke_mort + AV58*(PREV_FEMALE*p_recur_MI_F + (1-PREV_FEMALE)*p_recur_MI_M)*p_MI_mort + AV58*AC58*p_Stroke*p_Stroke_mort + AW58*(PREV_FEMALE*p_recur_MI_F + (1-PREV_FEMALE)*p_recur_MI_M)*p_MI_mort + AW58*AC58*p_Stroke*p_Stroke_mort + AX58*(PREV_FEMALE*p_recur_MI_F + (1-PREV_FEMALE)*p_recur_MI_M)*p_MI_mort + AX58*p_recur_Stroke*p_Stroke_mort + AY58*(PREV_FEMALE*p_recur_MI_F + (1-PREV_FEMALE)*p_recur_MI_M)*p_MI_mort + AY58*p_recur_Stroke*p_Stroke_mort + AZ58*(PREV_FEMALE*p_recur_MI_F + (1-PREV_FEMALE)*p_recur_MI_M)*p_MI_mort + AZ58*p_recur_Stroke*p_Stroke_mort + BA58*AC58*p_Stroke*p_Stroke_mort + BB58*AC58*p_Stroke*p_Stroke_mort + BC58*p_recur_Stroke*p_Stroke_mort + BD58*p_recur_Stroke*p_Stroke_mort + BE58*p_recur_Stroke*p_Stroke_mort
+BF58</f>
        <v>0.94569778638849933</v>
      </c>
      <c r="BG59">
        <f t="shared" si="50"/>
        <v>0.94700000000000017</v>
      </c>
      <c r="BH59">
        <f>(0.9442 - 0.0007*$B59 - dis_BMI*($C59-21.75))*AD59</f>
        <v>1.9944363143381723E-4</v>
      </c>
      <c r="BI59">
        <f>0.959*(0.9442 - 0.0007*$B59 - dis_BMI*($C59-21.75))*AE59</f>
        <v>1.9414914602074896E-5</v>
      </c>
      <c r="BJ59">
        <f>(0.943*(0.9442 - 0.0007*$B59 - dis_BMI*($C59-21.75)) - 0.19*0.5)*AF59</f>
        <v>3.0790857572301031E-6</v>
      </c>
      <c r="BK59">
        <f>(0.943*(0.9442 - 0.0007*$B59 - dis_BMI*($C59-21.75)))*AG59</f>
        <v>-7.3782778864199767E-7</v>
      </c>
      <c r="BL59">
        <f>(0.955*(0.9442 - 0.0007*$B59 - dis_BMI*($C59-21.75)) - 0.15*0.5)*AH59</f>
        <v>2.2455991468475571E-6</v>
      </c>
      <c r="BM59">
        <f>(0.955*(0.9442 - 0.0007*$B59 - dis_BMI*($C59-21.75)))*AI59</f>
        <v>2.8505055574223393E-6</v>
      </c>
      <c r="BN59">
        <f>(0.955*0.943*(0.9442 - 0.0007*$B59 - dis_BMI*($C59-21.75)) - 0.19*0.5)*AJ59</f>
        <v>7.3811299425768401E-8</v>
      </c>
      <c r="BO59">
        <f>(0.955*0.943*(0.9442 - 0.0007*$B59 - dis_BMI*($C59-21.75)) - 0.15*0.5)*AK59</f>
        <v>2.8193625502935944E-8</v>
      </c>
      <c r="BP59">
        <f>(0.955*0.943*(0.9442 - 0.0007*$B59 - dis_BMI*($C59-21.75)))*AL59</f>
        <v>-7.1255840093630997E-8</v>
      </c>
      <c r="BQ59">
        <f>(0.93*(0.9442 - 0.0007*$B59 - dis_BMI*($C59-21.75)))*AM59</f>
        <v>1.6916790890370821E-6</v>
      </c>
      <c r="BR59">
        <f>(0.93*(0.9442 - 0.0007*$B59 - dis_BMI*($C59-21.75)))*AN59</f>
        <v>4.8664203669330484E-6</v>
      </c>
      <c r="BS59">
        <f>(0.93*0.943*(0.9442 - 0.0007*$B59 - dis_BMI*($C59-21.75)))*AO59</f>
        <v>1.8747908211532212E-8</v>
      </c>
      <c r="BT59">
        <f>(0.93*0.943*(0.9442 - 0.0007*$B59 - dis_BMI*($C59-21.75))-0.19*0.5)*AP59</f>
        <v>9.9488427061214659E-8</v>
      </c>
      <c r="BU59">
        <f>(0.93*0.943*(0.9442 - 0.0007*$B59 - dis_BMI*($C59-21.75)))*AQ59</f>
        <v>-8.814362065082602E-8</v>
      </c>
      <c r="BV59">
        <f>0.962*(0.9442 - 0.0007*$B59 - dis_BMI*($C59-21.75))*AR59</f>
        <v>6.5218389915863164E-4</v>
      </c>
      <c r="BW59">
        <f>0.962*0.959*(0.9442 - 0.0007*$B59 - dis_BMI*($C59-21.75))*AS59</f>
        <v>8.0780538199735574E-5</v>
      </c>
      <c r="BX59">
        <f>0.962*(0.943*(0.9442 - 0.0007*$B59 - dis_BMI*($C59-21.75)) - 0.19*0.5)*AT59</f>
        <v>1.7287559734729631E-5</v>
      </c>
      <c r="BY59">
        <f>0.962*(0.943*(0.9442 - 0.0007*$B59 - dis_BMI*($C59-21.75)))*AU59</f>
        <v>-7.4261730933301394E-6</v>
      </c>
      <c r="BZ59">
        <f>0.962*(0.955*(0.9442 - 0.0007*$B59 - dis_BMI*($C59-21.75)) - 0.15*0.5)*AV59</f>
        <v>1.2795259913432511E-5</v>
      </c>
      <c r="CA59">
        <f>0.962*(0.955*(0.9442 - 0.0007*$B59 - dis_BMI*($C59-21.75)))*AW59</f>
        <v>1.1822293086887311E-5</v>
      </c>
      <c r="CB59">
        <f>0.962*(0.955*0.943*(0.9442 - 0.0007*$B59 - dis_BMI*($C59-21.75)) - 0.19*0.5)*AX59</f>
        <v>6.1550295336836604E-7</v>
      </c>
      <c r="CC59">
        <f>0.962*(0.955*0.943*(0.9442 - 0.0007*$B59 - dis_BMI*($C59-21.75)) - 0.15*0.5)*AY59</f>
        <v>2.1262287371357729E-7</v>
      </c>
      <c r="CD59">
        <f>0.962*(0.955*0.943*(0.9442 - 0.0007*$B59 - dis_BMI*($C59-21.75)))*AZ59</f>
        <v>-6.5791367607891482E-7</v>
      </c>
      <c r="CE59">
        <f>0.962*(0.93*(0.9442 - 0.0007*$B59 - dis_BMI*($C59-21.75)))*BA59</f>
        <v>9.5636557221984663E-6</v>
      </c>
      <c r="CF59">
        <f>0.962*(0.93*(0.9442 - 0.0007*$B59 - dis_BMI*($C59-21.75)))*BB59</f>
        <v>1.895598537800588E-5</v>
      </c>
      <c r="CG59">
        <f>0.962*(0.93*0.943*(0.9442 - 0.0007*$B59 - dis_BMI*($C59-21.75)))*BC59</f>
        <v>1.3971549687929093E-7</v>
      </c>
      <c r="CH59">
        <f>0.962*(0.93*0.943*(0.9442 - 0.0007*$B59 - dis_BMI*($C59-21.75))-0.19*0.5)*BD59</f>
        <v>7.6068115326898919E-7</v>
      </c>
      <c r="CI59">
        <f>0.962*(0.93*0.943*(0.9442 - 0.0007*$B59 - dis_BMI*($C59-21.75)))*BE59</f>
        <v>-7.5292440338678249E-7</v>
      </c>
      <c r="CJ59">
        <f t="shared" si="51"/>
        <v>0</v>
      </c>
      <c r="CK59">
        <f t="shared" si="52"/>
        <v>1.029195552462233E-3</v>
      </c>
      <c r="CL59">
        <f>CK59/(1+r_)^A59</f>
        <v>1.9661349229611465E-4</v>
      </c>
      <c r="CM59">
        <f>AD59*c_BN_2</f>
        <v>0.50607127466149071</v>
      </c>
      <c r="CN59">
        <f>AE59*(c_Other+c_BN_2)</f>
        <v>0.40149408357699529</v>
      </c>
      <c r="CO59">
        <f>AF59*(c_Stroke1+c_Stroke2+c_BN_2)</f>
        <v>0.11671200091771733</v>
      </c>
      <c r="CP59">
        <f>AG59*(c_Stroke2 + c_BN_2)</f>
        <v>-8.1451049131725309E-3</v>
      </c>
      <c r="CQ59">
        <f>AH59*(c_MI1+c_MI2 + c_BN_2)</f>
        <v>9.8342016462086179E-2</v>
      </c>
      <c r="CR59">
        <f>AI59*(c_MI2+c_BN_2)</f>
        <v>1.8842148137570739E-2</v>
      </c>
      <c r="CS59">
        <f>AJ59*(c_Stroke1+c_Stroke2+c_MI2+c_BN_2)</f>
        <v>3.3036914748969673E-3</v>
      </c>
      <c r="CT59">
        <f>AK59*(c_Stroke2+c_MI1+c_MI2+c_BN_2)</f>
        <v>1.5918086517636757E-3</v>
      </c>
      <c r="CU59">
        <f>AL59*(c_Stroke2+c_MI2+c_BN_2)</f>
        <v>-1.1223904182287442E-3</v>
      </c>
      <c r="CV59">
        <f>AM59*(c_HF1+c_BN_2)</f>
        <v>6.4166515039339261E-2</v>
      </c>
      <c r="CW59">
        <f>AN59*(c_HF2+c_BN_2)</f>
        <v>0.11217793090078239</v>
      </c>
      <c r="CX59">
        <f>AO59*(c_Stroke2+c_HF1+c_BN_2)</f>
        <v>9.22402638774146E-4</v>
      </c>
      <c r="CY59">
        <f>AP59*(c_Stroke1+c_Stroke2+c_HF2+c_BN_2)</f>
        <v>6.565706964034526E-3</v>
      </c>
      <c r="CZ59">
        <f>AQ59*(c_Stroke2+c_HF2+c_BN_2)</f>
        <v>-2.9459074384526733E-3</v>
      </c>
      <c r="DA59">
        <f>AR59*(c_DM+c_BN_2)</f>
        <v>11.101436494204577</v>
      </c>
      <c r="DB59">
        <f>AS59*(c_Other+c_DM+c_BN_2)</f>
        <v>2.9481509956792231</v>
      </c>
      <c r="DC59">
        <f>AT59*(c_Stroke1+c_Stroke2+c_DM+c_BN_2)</f>
        <v>0.98151279434418337</v>
      </c>
      <c r="DD59">
        <f>AU59*(c_Stroke2+c_DM+c_BN_2)</f>
        <v>-0.1984951330002423</v>
      </c>
      <c r="DE59">
        <f>AV59*(c_MI1+c_MI2+c_DM+c_BN_2)</f>
        <v>0.79546176032286897</v>
      </c>
      <c r="DF59">
        <f>AW59*(c_MI2+c_DM+c_BN_2)</f>
        <v>0.25930194903650133</v>
      </c>
      <c r="DG59">
        <f>AX59*(c_Stroke1+c_Stroke2+c_MI2+c_DM+c_BN_2)</f>
        <v>3.9908492290986058E-2</v>
      </c>
      <c r="DH59">
        <f>AY59*(c_Stroke2+c_MI1+c_MI2+c_DM+c_BN_2)</f>
        <v>1.6255972309656305E-2</v>
      </c>
      <c r="DI59">
        <f>AZ59*(c_Stroke2+c_MI2+c_DM+c_BN_2)</f>
        <v>-2.1281062677233106E-2</v>
      </c>
      <c r="DJ59">
        <f>BA59*(c_HF1+c_DM+c_BN_2)</f>
        <v>0.52500598955731737</v>
      </c>
      <c r="DK59">
        <f>BB59*(c_HF2+c_DM+c_BN_2)</f>
        <v>0.74741492313563773</v>
      </c>
      <c r="DL59">
        <f>BC59*(c_Stroke2+c_HF1+c_DM+c_BN_2)</f>
        <v>9.437174389152897E-3</v>
      </c>
      <c r="DM59">
        <f>BD59*(c_Stroke1+c_Stroke2+c_HF2+c_DM+c_BN_2)</f>
        <v>6.6544651113373182E-2</v>
      </c>
      <c r="DN59">
        <f>BE59*(c_Stroke2+c_HF2+c_DM+c_BN_2)</f>
        <v>-3.8507384333216724E-2</v>
      </c>
      <c r="DO59">
        <f t="shared" si="53"/>
        <v>0</v>
      </c>
      <c r="DP59">
        <f t="shared" si="54"/>
        <v>18.550123793028384</v>
      </c>
      <c r="DQ59">
        <f>DP59/(1+r_)^A59</f>
        <v>3.5437430843410063</v>
      </c>
    </row>
    <row r="60" spans="1:121" x14ac:dyDescent="0.3">
      <c r="A60">
        <v>57</v>
      </c>
      <c r="B60">
        <v>102</v>
      </c>
      <c r="C60">
        <f t="shared" si="39"/>
        <v>36.251999999999995</v>
      </c>
      <c r="D60">
        <f t="shared" si="1"/>
        <v>125</v>
      </c>
      <c r="E60">
        <f t="shared" si="41"/>
        <v>5.7</v>
      </c>
      <c r="F60">
        <v>0.36415999999999998</v>
      </c>
      <c r="G60">
        <v>0.40406999999999998</v>
      </c>
      <c r="H60">
        <f t="shared" si="42"/>
        <v>0.37214199999999997</v>
      </c>
      <c r="I60">
        <f t="shared" si="43"/>
        <v>4.7655426853004217E-2</v>
      </c>
      <c r="J60">
        <f t="shared" si="21"/>
        <v>0.53603321462489073</v>
      </c>
      <c r="K60">
        <f t="shared" si="22"/>
        <v>0.65887168940175822</v>
      </c>
      <c r="L60">
        <f t="shared" si="23"/>
        <v>0.30479116989557209</v>
      </c>
      <c r="M60">
        <f t="shared" si="24"/>
        <v>0.39898707905681552</v>
      </c>
      <c r="N60">
        <f t="shared" si="25"/>
        <v>0.90134277720496114</v>
      </c>
      <c r="O60">
        <f t="shared" si="26"/>
        <v>0.96209336278805369</v>
      </c>
      <c r="P60">
        <f t="shared" si="27"/>
        <v>0.67994694561904667</v>
      </c>
      <c r="Q60">
        <f t="shared" si="28"/>
        <v>0.80006716072563722</v>
      </c>
      <c r="R60">
        <f>IF(C60&lt;25, HT_f_low, IF(C60&lt;30, HT_f_mod, HT_f_high))</f>
        <v>0.42</v>
      </c>
      <c r="S60">
        <f>IF(C60&lt;25, HT_m_low, IF(C60&lt;30, HT_m_mod, HT_m_high))</f>
        <v>0.43099999999999999</v>
      </c>
      <c r="T60">
        <f>PREV_FEMALE*PREV_SMOKE*(1-$R60)*(1-EXP(-J60/10))+PREV_FEMALE*PREV_SMOKE*$R60*(1-EXP(-K60/10))+PREV_FEMALE*(1-PREV_SMOKE)*(1-$R60)*(1-EXP(-L60/10))+PREV_FEMALE*(1-PREV_SMOKE)*$R60*(1-EXP(-M60/10))+(1-PREV_FEMALE)*PREV_SMOKE*(1-$S60)*(1-EXP(-N60/10))+(1-PREV_FEMALE)*PREV_SMOKE*$S60*(1-EXP(-O60/10))+(1-PREV_FEMALE)*(1-PREV_SMOKE)*(1-$S60)*(1-EXP(-P60/10))+(1-PREV_FEMALE)*(1-PREV_SMOKE)*$S60*(1-EXP(-Q60/10))</f>
        <v>4.3951695323492267E-2</v>
      </c>
      <c r="U60">
        <f t="shared" si="29"/>
        <v>0.81199359116257275</v>
      </c>
      <c r="V60">
        <f t="shared" si="30"/>
        <v>0.90373131205961632</v>
      </c>
      <c r="W60">
        <f t="shared" si="31"/>
        <v>0.54669117612034857</v>
      </c>
      <c r="X60">
        <f t="shared" si="32"/>
        <v>0.66979549174878161</v>
      </c>
      <c r="Y60">
        <f t="shared" si="33"/>
        <v>0.98057519685473615</v>
      </c>
      <c r="Z60">
        <f t="shared" si="34"/>
        <v>0.99618524303559131</v>
      </c>
      <c r="AA60">
        <f t="shared" si="35"/>
        <v>0.85610039486870559</v>
      </c>
      <c r="AB60">
        <f t="shared" si="36"/>
        <v>0.935382887817368</v>
      </c>
      <c r="AC60">
        <f>PREV_FEMALE*PREV_SMOKE*(1-$R60)*(1-EXP(-U60/10))+PREV_FEMALE*PREV_SMOKE*$R60*(1-EXP(-V60/10))+PREV_FEMALE*(1-PREV_SMOKE)*(1-$R60)*(1-EXP(-W60/10))+PREV_FEMALE*(1-PREV_SMOKE)*$R60*(1-EXP(-X60/10))+(1-PREV_FEMALE)*PREV_SMOKE*(1-$S60)*(1-EXP(-Y60/10))+(1-PREV_FEMALE)*PREV_SMOKE*$S60*(1-EXP(-Z60/10))+(1-PREV_FEMALE)*(1-PREV_SMOKE)*(1-$S60)*(1-EXP(-AA60/10))+(1-PREV_FEMALE)*(1-PREV_SMOKE)*$S60*(1-EXP(-AB60/10))</f>
        <v>6.6054935975695769E-2</v>
      </c>
      <c r="AD60">
        <f t="shared" si="44"/>
        <v>1.3957422134219365E-4</v>
      </c>
      <c r="AE60">
        <f t="shared" si="45"/>
        <v>1.2827592899704956E-5</v>
      </c>
      <c r="AF60">
        <f t="shared" si="46"/>
        <v>2.6891822152291681E-6</v>
      </c>
      <c r="AG60">
        <f t="shared" si="47"/>
        <v>-7.6326056696981933E-7</v>
      </c>
      <c r="AH60">
        <f>AD59*T59*p_MI*p_MI_rec_old*(1-I59)+AE59*T59*p_MI*p_MI_rec_old*(1-I59) + AH59*(PREV_FEMALE*p_recur_MI_F + (1-PREV_FEMALE)*p_recur_MI_M)*p_MI_rec_old*(1-I59) + AI59*(PREV_FEMALE*p_recur_MI_F + (1-PREV_FEMALE)*p_recur_MI_M)*p_MI_rec_old*(1-I59)</f>
        <v>1.8806068228425382E-6</v>
      </c>
      <c r="AI60">
        <f>AH59*(1-(PREV_FEMALE*p_recur_MI_F + (1-PREV_FEMALE)*p_recur_MI_M) - T59*p_Stroke - p_toHF_old - H59*rr_MI)*(1-I59) + AI59*(1-(PREV_FEMALE*p_recur_MI_F + (1-PREV_FEMALE)*p_recur_MI_M) - T59*p_Stroke - p_toHF_old - H59*rr_MI)*(1-I59)</f>
        <v>1.8212843214742483E-6</v>
      </c>
      <c r="AJ60">
        <f t="shared" si="48"/>
        <v>6.5166039930714586E-8</v>
      </c>
      <c r="AK60">
        <f>AF59*T59*p_MI*p_MI_rec_old*(1-I59) + AG59*T59*p_MI*p_MI_rec_old*(1-I59) + AJ59*(PREV_FEMALE*p_recur_MI_F + (1-PREV_FEMALE)*p_recur_MI_M)*p_MI_rec_old*(1-I59) + AK59*(PREV_FEMALE*p_recur_MI_F + (1-PREV_FEMALE)*p_recur_MI_M)*p_MI_rec_old*(1-I59) + AL59*(PREV_FEMALE*p_recur_MI_F + (1-PREV_FEMALE)*p_recur_MI_M)*p_MI_rec_old*(1-I59)</f>
        <v>2.3746321862765568E-8</v>
      </c>
      <c r="AL60">
        <f>AJ59*(1-p_recur_Stroke-(PREV_FEMALE*p_recur_MI_F + (1-PREV_FEMALE)*p_recur_MI_M) - p_toHF_old - H59*rr_MI*rr_Stroke)*(1-I59) + AK59*(1-p_recur_Stroke-(PREV_FEMALE*p_recur_MI_F + (1-PREV_FEMALE)*p_recur_MI_M) - p_toHF_old - H59*rr_MI*rr_Stroke)*(1-I59) + AL59*(1-p_recur_Stroke-(PREV_FEMALE*p_recur_MI_F + (1-PREV_FEMALE)*p_recur_MI_M) - p_toHF_old - H59*rr_MI*rr_Stroke)*(1-I59)</f>
        <v>-5.7599563582733299E-8</v>
      </c>
      <c r="AM60">
        <f>AD59*T59*p_MI*p_MI_HF_old*(1-I59) + AE59*T59*p_MI*p_MI_HF_old*(1-I59) + AH59*p_toHF_old*(1-I59) + AH59*(PREV_FEMALE*p_recur_MI_F + (1-PREV_FEMALE)*p_recur_MI_M)*p_MI_HF_old*(1-I59) + AI59*p_toHF_old*(1-I59) + AI59*(PREV_FEMALE*p_recur_MI_F + (1-PREV_FEMALE)*p_recur_MI_M)*p_MI_HF_old*(1-I59)</f>
        <v>1.2882281817445287E-6</v>
      </c>
      <c r="AN60">
        <f t="shared" si="49"/>
        <v>2.8702137145962176E-6</v>
      </c>
      <c r="AO60">
        <f>AF59*T59*p_MI*p_MI_HF_old*(1-I59) + AG59*T59*p_MI*p_MI_HF_old*(1-I59) + AJ59*(PREV_FEMALE*p_recur_MI_F + (1-PREV_FEMALE)*p_recur_MI_M)*p_MI_HF_old*(1-I59) + AJ59*p_toHF_old*(1-I59) + AK59*(PREV_FEMALE*p_recur_MI_F + (1-PREV_FEMALE)*p_recur_MI_M)*p_MI_HF_old*(1-I59) + AK59*p_toHF_old*(1-I59) + AL59*(PREV_FEMALE*p_recur_MI_F + (1-PREV_FEMALE)*p_recur_MI_M)*p_MI_HF_old*(1-I59) + AL59*p_toHF_old*(1-I59)</f>
        <v>1.4343408121076682E-8</v>
      </c>
      <c r="AP60">
        <f>AM59*T59*p_Stroke*p_Stroke_rec*(1-I59) + AN59*T59*p_Stroke*p_Stroke_rec*(1-I59) + AO59*(p_recur_Stroke*p_Stroke_rec)*(1-I59) + AP59*(p_recur_Stroke*p_Stroke_rec)*(1-I59) + AQ59*(p_recur_Stroke*p_Stroke_rec)*(1-I59)</f>
        <v>8.0867206288201172E-8</v>
      </c>
      <c r="AQ60">
        <f>AO59*(1-p_recur_Stroke-H59*rr_Stroke*rr_HF)*(1-I59) + AP59*(1-p_recur_Stroke-H59*rr_Stroke*rr_HF)*(1-I59) + AQ59*(1-p_recur_Stroke-H59*rr_Stroke*rr_HF)*(1-I59)</f>
        <v>-6.6129722439632276E-8</v>
      </c>
      <c r="AR60">
        <f>AR59*(1-AC59-H59*rr_DM) + AD59*(1-T59-H59)*I59</f>
        <v>4.4393941327192012E-4</v>
      </c>
      <c r="AS60">
        <f>AR59*AC59*p_Other + AD59*T59*p_Other*I59 + AE59*(1-T59*p_Stroke-T59*p_MI-H59*rr_Other)*I59 + AS59*(1-AC59*p_Stroke-AC59*p_MI-H59*rr_Other*rr_DM)</f>
        <v>5.1909492576641802E-5</v>
      </c>
      <c r="AT60">
        <f>AR59*AC59*p_Stroke*p_Stroke_rec + AD59*T59*p_Stroke*p_Stroke_rec*I59 + AE59*T59*p_Stroke*p_Stroke_rec*I59 + AF59*p_recur_Stroke*p_Stroke_rec*I59 + AG59*p_recur_Stroke*p_Stroke_rec*I59 + AS59*AC59*p_Stroke*p_Stroke_rec + AT59*p_recur_Stroke*p_Stroke_rec + AU59*p_recur_Stroke*p_Stroke_rec</f>
        <v>1.4738692375896129E-5</v>
      </c>
      <c r="AU60">
        <f>AF59*(1-p_recur_Stroke-T59*p_MI-H59*rr_Stroke)*I59 + AG59*(1-p_recur_Stroke-T59*p_MI-H59*rr_Stroke)*I59 + AT59*(1-p_recur_Stroke-AC59*p_MI-H59*rr_Stroke*rr_DM) + AU59*(1-p_recur_Stroke-AC59*p_MI-H59*rr_Stroke*rr_DM)</f>
        <v>-6.4986957157952987E-6</v>
      </c>
      <c r="AV60">
        <f>AR59*AC59*p_MI*p_MI_rec_old + AD59*T59*p_MI*p_MI_rec_old*I59 + AE59*T59*p_MI*p_MI_rec_old*I59 +AH59*(PREV_FEMALE*p_recur_MI_F + (1-PREV_FEMALE)*p_recur_MI_M)*p_MI_rec_old*I59 + AI59*(PREV_FEMALE*p_recur_MI_F + (1-PREV_FEMALE)*p_recur_MI_M)*p_MI_rec_old*I59 + AS59*AC59*p_MI*p_MI_rec_old + AV59*(PREV_FEMALE*p_recur_MI_F + (1-PREV_FEMALE)*p_recur_MI_M)*p_MI_rec_old + AW59*(PREV_FEMALE*p_recur_MI_F + (1-PREV_FEMALE)*p_recur_MI_M)*p_MI_rec_old</f>
        <v>1.0422249270258914E-5</v>
      </c>
      <c r="AW60">
        <f>AH59*(1-(PREV_FEMALE*p_recur_MI_F + (1-PREV_FEMALE)*p_recur_MI_M) - T59*p_Stroke - p_toHF_old - H59*rr_MI)*I59 + AI59*(1-(PREV_FEMALE*p_recur_MI_F + (1-PREV_FEMALE)*p_recur_MI_M) - T59*p_Stroke - p_toHF_old - H59*rr_MI)*I59 + AV59*(1-(PREV_FEMALE*p_recur_MI_F + (1-PREV_FEMALE)*p_recur_MI_M) - AC59*p_Stroke - p_toHF_old - H59*rr_MI*rr_DM) + AW59*(1-(PREV_FEMALE*p_recur_MI_F + (1-PREV_FEMALE)*p_recur_MI_M) - AC59*p_Stroke - p_toHF_old - H59*rr_MI*rr_DM)</f>
        <v>6.7570278265150399E-6</v>
      </c>
      <c r="AX60">
        <f>AH59*T59*p_Stroke*p_Stroke_rec*I59 + AI59*T59*p_Stroke*p_Stroke_rec*I59 + AJ59*p_recur_Stroke*p_Stroke_rec*I59 + AK59*p_recur_Stroke*p_Stroke_rec*I59 + AL59*p_recur_Stroke*p_Stroke_rec*I59 + AV59*AC59*p_Stroke*p_Stroke_rec + AW59*AC59*p_Stroke*p_Stroke_rec + AX59*p_recur_Stroke*p_Stroke_rec + AY59*p_recur_Stroke*p_Stroke_rec + AZ59*p_recur_Stroke*p_Stroke_rec</f>
        <v>5.1952845113507448E-7</v>
      </c>
      <c r="AY60">
        <f>AF59*T59*p_MI*p_MI_rec_old*I59 + AG59*T59*p_MI*p_MI_rec_old*I59 + AJ59*(PREV_FEMALE*p_recur_MI_F+(1-PREV_FEMALE)*p_recur_MI_M)*p_MI_rec_old*I59 + AK59*(PREV_FEMALE*p_recur_MI_F+(1-PREV_FEMALE)*p_recur_MI_M)*p_MI_rec_old*I59 + AL59*(PREV_FEMALE*p_recur_MI_F+(1-PREV_FEMALE)*p_recur_MI_M)*p_MI_rec_old*I59 + AT59*AC59*p_MI*p_MI_rec_old + AU59*AC59*p_MI*p_MI_rec_old + AX59*(PREV_FEMALE*p_recur_MI_F+(1-PREV_FEMALE)*p_recur_MI_M)*p_MI_rec_old + AY59*(PREV_FEMALE*p_recur_MI_F+(1-PREV_FEMALE)*p_recur_MI_M)*p_MI_rec_old + AZ59*(PREV_FEMALE*p_recur_MI_F+(1-PREV_FEMALE)*p_recur_MI_M)*p_MI_rec_old</f>
        <v>1.7357814112352454E-7</v>
      </c>
      <c r="AZ60">
        <f>AJ59*(1-p_recur_Stroke-(PREV_FEMALE*p_recur_MI_F + (1-PREV_FEMALE)*p_recur_MI_M) - p_toHF_old - H59*rr_MI*rr_Stroke)*I59 + AK59*(1-p_recur_Stroke-(PREV_FEMALE*p_recur_MI_F + (1-PREV_FEMALE)*p_recur_MI_M) - p_toHF_old - H59*rr_MI*rr_Stroke)*I59 + AL59*(1-p_recur_Stroke-(PREV_FEMALE*p_recur_MI_F + (1-PREV_FEMALE)*p_recur_MI_M) - p_toHF_old - H59*rr_MI*rr_Stroke)*I59 + AX59*(1-p_recur_Stroke-(PREV_FEMALE*p_recur_MI_F + (1-PREV_FEMALE)*p_recur_MI_M) - p_toHF_old - H59*rr_MI*rr_Stroke*rr_DM) + AY59*(1-p_recur_Stroke-(PREV_FEMALE*p_recur_MI_F + (1-PREV_FEMALE)*p_recur_MI_M) - p_toHF_old - H59*rr_MI*rr_Stroke*rr_DM) + AZ59*(1-p_recur_Stroke-(PREV_FEMALE*p_recur_MI_F + (1-PREV_FEMALE)*p_recur_MI_M) - p_toHF_old - H59*rr_MI*rr_Stroke*rr_DM)</f>
        <v>-5.0563167773200937E-7</v>
      </c>
      <c r="BA60">
        <f>AR59*AC59*p_MI*p_MI_HF_old + AD59*T59*p_MI*p_MI_HF_old*I59 + AE59*T59*p_MI*p_MI_HF_old*I59 + AH59*p_toHF_old*I59 + AH59*(PREV_FEMALE*p_recur_MI_F + (1-PREV_FEMALE)*p_recur_MI_M)*p_MI_HF_old*I59 + AI59*p_toHF_old*I59 + AI59*(PREV_FEMALE*p_recur_MI_F + (1-PREV_FEMALE)*p_recur_MI_M)*p_MI_HF_old*I59 + AS59*AC59*p_MI*p_MI_HF_old + AV59*(PREV_FEMALE*p_recur_MI_F + (1-PREV_FEMALE)*p_recur_MI_M)*p_MI_HF_old + AV59*p_toHF_old + AW59*(PREV_FEMALE*p_recur_MI_F + (1-PREV_FEMALE)*p_recur_MI_M)*p_MI_HF_old + AW59*p_toHF_old</f>
        <v>7.0479817155671182E-6</v>
      </c>
      <c r="BB60">
        <f>AM59*(1-T59*p_Stroke - H59*rr_HF)*I59 + AN59*(1-T59*p_Stroke - H59*rr_HF)*I59 + BA59*(1-AC59*p_Stroke - H59*rr_HF*rr_DM) + BB59*(1-AC59*p_Stroke - H59*rr_HF*rr_DM)</f>
        <v>9.881780123255599E-6</v>
      </c>
      <c r="BC60">
        <f>AF59*T59*p_MI*p_MI_HF_old*I59 + AG59*T59*p_MI*p_MI_HF_old*I59 + AJ59*(PREV_FEMALE*p_recur_MI_F + (1-PREV_FEMALE)*p_recur_MI_M)*p_MI_HF_old*I59 + AJ59*p_toHF_old*I59 + AK59*(PREV_FEMALE*p_recur_MI_F + (1-PREV_FEMALE)*p_recur_MI_M)*p_MI_HF_old*I59 + AK59*p_toHF_old*I59 + AL59*(PREV_FEMALE*p_recur_MI_F + (1-PREV_FEMALE)*p_recur_MI_M)*p_MI_HF_old*I59 + AL59*p_toHF_old*I59 + AT59*AC59*p_MI*p_MI_HF_old + AU59*AC59*p_MI*p_MI_HF_old + AX59*(PREV_FEMALE*p_recur_MI_F + (1-PREV_FEMALE)*p_recur_MI_M)*p_MI_HF_old + AX59*p_toHF_old + AY59*(PREV_FEMALE*p_recur_MI_F + (1-PREV_FEMALE)*p_recur_MI_M)*p_MI_HF_old + AY59*p_toHF_old + AZ59*(PREV_FEMALE*p_recur_MI_F + (1-PREV_FEMALE)*p_recur_MI_M)*p_MI_HF_old + AZ59*p_toHF_old</f>
        <v>1.0336584068465005E-7</v>
      </c>
      <c r="BD60">
        <f>AM59*T59*p_Stroke*p_Stroke_rec*I59 + AN59*T59*p_Stroke*p_Stroke_rec*I59 + AO59*(p_recur_Stroke*p_Stroke_rec)*I59 + AP59*(p_recur_Stroke*p_Stroke_rec)*I59 + AQ59*(p_recur_Stroke*p_Stroke_rec)*I59 + BA59*AC59*p_Stroke*p_Stroke_rec + BB59*AC59*p_Stroke*p_Stroke_rec + BC59*(p_recur_Stroke*p_Stroke_rec) + BD59*(p_recur_Stroke*p_Stroke_rec) + BE59*(p_recur_Stroke*p_Stroke_rec)</f>
        <v>5.7850261304241761E-7</v>
      </c>
      <c r="BE60">
        <f>AO59*(1-p_recur_Stroke - H59*rr_Stroke*rr_HF)*I59 + AP59*(1-p_recur_Stroke-H59*rr_Stroke*rr_HF)*I59 + AQ59*(1-p_recur_Stroke-H59*rr_Stroke*rr_HF)*I59 + BC59*(1-p_recur_Stroke - H59*rr_Stroke*rr_HF*rr_DM) + BD59*(1-p_recur_Stroke-H59*rr_Stroke*rr_HF*rr_DM) + BE59*(1-p_recur_Stroke-H59*rr_Stroke*rr_HF*rr_DM)</f>
        <v>-5.3570527027043673E-7</v>
      </c>
      <c r="BF60">
        <f>AD59*H59 + AE59*H59*rr_Other + AF59*H59*rr_Stroke + AG59*H59*rr_Stroke + AH59*H59*rr_MI + AI59*H59*rr_MI + AJ59*H59*rr_Stroke*rr_MI + AK59*H59*rr_Stroke*rr_MI + AL59*H59*rr_Stroke*rr_MI + AM59*H59*rr_HF + AN59*H59*rr_HF + AO59*H59*rr_Stroke*rr_HF + AP59*H59*rr_Stroke*rr_HF + AR59*H59*rr_DM + AS59*H59*rr_DM*rr_Other + AT59*H59*rr_DM*rr_Stroke + AU59*H59*rr_DM*rr_Stroke + AV59*H59*rr_DM*rr_MI + AW59*H59*rr_DM*rr_MI + AX59*H59*rr_DM*rr_Stroke*rr_MI + AY59*H59*rr_DM*rr_Stroke*rr_MI + AZ59*H59*rr_DM*rr_Stroke*rr_MI + BA59*H59*rr_DM*rr_HF + BB59*H59*rr_DM*rr_HF + BC59*H59*rr_DM*rr_Stroke*rr_HF + BD59*H59*rr_DM*rr_Stroke*rr_HF + AQ59*H59*rr_Stroke*rr_HF + BE59*H59*rr_DM*rr_Stroke*rr_HF
+ AD59*T59*p_MI*p_MI_mort + AD59*T59*p_Stroke*p_Stroke_mort + AE59*T59*p_MI*p_MI_mort + AE59*T59*p_Stroke*p_Stroke_mort + AF59*T59*p_MI*p_MI_mort + AF59*p_recur_Stroke*p_Stroke_mort + AG59*T59*p_MI*p_MI_mort + AG59*p_recur_Stroke*p_Stroke_mort + AH59*(PREV_FEMALE*p_recur_MI_F + (1-PREV_FEMALE)*p_recur_MI_M)*p_MI_mort + AH59*T59*p_Stroke*p_Stroke_mort + AI59*(PREV_FEMALE*p_recur_MI_F + (1-PREV_FEMALE)*p_recur_MI_M)*p_MI_mort + AI59*T59*p_Stroke*p_Stroke_mort + AJ59*(PREV_FEMALE*p_recur_MI_F + (1-PREV_FEMALE)*p_recur_MI_M)*p_MI_mort + AJ59*p_recur_Stroke*p_Stroke_mort + AK59*(PREV_FEMALE*p_recur_MI_F + (1-PREV_FEMALE)*p_recur_MI_M)*p_MI_mort + AK59*p_recur_Stroke*p_Stroke_mort + AL59*(PREV_FEMALE*p_recur_MI_F + (1-PREV_FEMALE)*p_recur_MI_M)*p_MI_mort + AL59*p_recur_Stroke*p_Stroke_mort + AM59*T59*p_Stroke*p_Stroke_mort + AN59*T59*p_Stroke*p_Stroke_mort + AO59*p_recur_Stroke*p_Stroke_mort + AP59*p_recur_Stroke*p_Stroke_mort + AQ59*p_recur_Stroke*p_Stroke_mort
+ AR59*AC59*p_MI*p_MI_mort + AR59*AC59*p_Stroke*p_Stroke_mort + AS59*AC59*p_MI*p_MI_mort + AS59*AC59*p_Stroke*p_Stroke_mort + AT59*AC59*p_MI*p_MI_mort + AT59*p_recur_Stroke*p_Stroke_mort + AU59*AC59*p_MI*p_MI_mort + AU59*p_recur_Stroke*p_Stroke_mort + AV59*(PREV_FEMALE*p_recur_MI_F + (1-PREV_FEMALE)*p_recur_MI_M)*p_MI_mort + AV59*AC59*p_Stroke*p_Stroke_mort + AW59*(PREV_FEMALE*p_recur_MI_F + (1-PREV_FEMALE)*p_recur_MI_M)*p_MI_mort + AW59*AC59*p_Stroke*p_Stroke_mort + AX59*(PREV_FEMALE*p_recur_MI_F + (1-PREV_FEMALE)*p_recur_MI_M)*p_MI_mort + AX59*p_recur_Stroke*p_Stroke_mort + AY59*(PREV_FEMALE*p_recur_MI_F + (1-PREV_FEMALE)*p_recur_MI_M)*p_MI_mort + AY59*p_recur_Stroke*p_Stroke_mort + AZ59*(PREV_FEMALE*p_recur_MI_F + (1-PREV_FEMALE)*p_recur_MI_M)*p_MI_mort + AZ59*p_recur_Stroke*p_Stroke_mort + BA59*AC59*p_Stroke*p_Stroke_mort + BB59*AC59*p_Stroke*p_Stroke_mort + BC59*p_recur_Stroke*p_Stroke_mort + BD59*p_recur_Stroke*p_Stroke_mort + BE59*p_recur_Stroke*p_Stroke_mort
+BF59</f>
        <v>0.94629921995783695</v>
      </c>
      <c r="BG60">
        <f t="shared" si="50"/>
        <v>0.94700000000000017</v>
      </c>
      <c r="BH60">
        <f>(0.9442 - 0.0007*$B60 - dis_BMI*($C60-21.75))*AD60</f>
        <v>1.1514083270638179E-4</v>
      </c>
      <c r="BI60">
        <f>0.959*(0.9442 - 0.0007*$B60 - dis_BMI*($C60-21.75))*AE60</f>
        <v>1.0148174538378029E-5</v>
      </c>
      <c r="BJ60">
        <f>(0.943*(0.9442 - 0.0007*$B60 - dis_BMI*($C60-21.75)) - 0.19*0.5)*AF60</f>
        <v>1.8365006915724219E-6</v>
      </c>
      <c r="BK60">
        <f>(0.943*(0.9442 - 0.0007*$B60 - dis_BMI*($C60-21.75)))*AG60</f>
        <v>-5.9375690147149578E-7</v>
      </c>
      <c r="BL60">
        <f>(0.955*(0.9442 - 0.0007*$B60 - dis_BMI*($C60-21.75)) - 0.15*0.5)*AH60</f>
        <v>1.3405359363932793E-6</v>
      </c>
      <c r="BM60">
        <f>(0.955*(0.9442 - 0.0007*$B60 - dis_BMI*($C60-21.75)))*AI60</f>
        <v>1.4348459389000947E-6</v>
      </c>
      <c r="BN60">
        <f>(0.955*0.943*(0.9442 - 0.0007*$B60 - dis_BMI*($C60-21.75)) - 0.19*0.5)*AJ60</f>
        <v>4.2222064733481536E-8</v>
      </c>
      <c r="BO60">
        <f>(0.955*0.943*(0.9442 - 0.0007*$B60 - dis_BMI*($C60-21.75)) - 0.15*0.5)*AK60</f>
        <v>1.5860528200654982E-8</v>
      </c>
      <c r="BP60">
        <f>(0.955*0.943*(0.9442 - 0.0007*$B60 - dis_BMI*($C60-21.75)))*AL60</f>
        <v>-4.2791588593009128E-8</v>
      </c>
      <c r="BQ60">
        <f>(0.93*(0.9442 - 0.0007*$B60 - dis_BMI*($C60-21.75)))*AM60</f>
        <v>9.8832526268845893E-7</v>
      </c>
      <c r="BR60">
        <f>(0.93*(0.9442 - 0.0007*$B60 - dis_BMI*($C60-21.75)))*AN60</f>
        <v>2.202020390214439E-6</v>
      </c>
      <c r="BS60">
        <f>(0.93*0.943*(0.9442 - 0.0007*$B60 - dis_BMI*($C60-21.75)))*AO60</f>
        <v>1.0376984054842381E-8</v>
      </c>
      <c r="BT60">
        <f>(0.93*0.943*(0.9442 - 0.0007*$B60 - dis_BMI*($C60-21.75))-0.19*0.5)*AP60</f>
        <v>5.0822379621051434E-8</v>
      </c>
      <c r="BU60">
        <f>(0.93*0.943*(0.9442 - 0.0007*$B60 - dis_BMI*($C60-21.75)))*AQ60</f>
        <v>-4.7842679334965837E-8</v>
      </c>
      <c r="BV60">
        <f>0.962*(0.9442 - 0.0007*$B60 - dis_BMI*($C60-21.75))*AR60</f>
        <v>3.523083431973583E-4</v>
      </c>
      <c r="BW60">
        <f>0.962*0.959*(0.9442 - 0.0007*$B60 - dis_BMI*($C60-21.75))*AS60</f>
        <v>3.95061415166311E-5</v>
      </c>
      <c r="BX60">
        <f>0.962*(0.943*(0.9442 - 0.0007*$B60 - dis_BMI*($C60-21.75)) - 0.19*0.5)*AT60</f>
        <v>9.6828876383230003E-6</v>
      </c>
      <c r="BY60">
        <f>0.962*(0.943*(0.9442 - 0.0007*$B60 - dis_BMI*($C60-21.75)))*AU60</f>
        <v>-4.8633678537128537E-6</v>
      </c>
      <c r="BZ60">
        <f>0.962*(0.955*(0.9442 - 0.0007*$B60 - dis_BMI*($C60-21.75)) - 0.15*0.5)*AV60</f>
        <v>7.1468880860975684E-6</v>
      </c>
      <c r="CA60">
        <f>0.962*(0.955*(0.9442 - 0.0007*$B60 - dis_BMI*($C60-21.75)))*AW60</f>
        <v>5.1210415948651938E-6</v>
      </c>
      <c r="CB60">
        <f>0.962*(0.955*0.943*(0.9442 - 0.0007*$B60 - dis_BMI*($C60-21.75)) - 0.19*0.5)*AX60</f>
        <v>3.2381916239113898E-7</v>
      </c>
      <c r="CC60">
        <f>0.962*(0.955*0.943*(0.9442 - 0.0007*$B60 - dis_BMI*($C60-21.75)) - 0.15*0.5)*AY60</f>
        <v>1.1152992280341407E-7</v>
      </c>
      <c r="CD60">
        <f>0.962*(0.955*0.943*(0.9442 - 0.0007*$B60 - dis_BMI*($C60-21.75)))*AZ60</f>
        <v>-3.6136706069562813E-7</v>
      </c>
      <c r="CE60">
        <f>0.962*(0.93*(0.9442 - 0.0007*$B60 - dis_BMI*($C60-21.75)))*BA60</f>
        <v>5.201719646382249E-6</v>
      </c>
      <c r="CF60">
        <f>0.962*(0.93*(0.9442 - 0.0007*$B60 - dis_BMI*($C60-21.75)))*BB60</f>
        <v>7.2931871680135525E-6</v>
      </c>
      <c r="CG60">
        <f>0.962*(0.93*0.943*(0.9442 - 0.0007*$B60 - dis_BMI*($C60-21.75)))*BC60</f>
        <v>7.1940078398866279E-8</v>
      </c>
      <c r="CH60">
        <f>0.962*(0.93*0.943*(0.9442 - 0.0007*$B60 - dis_BMI*($C60-21.75))-0.19*0.5)*BD60</f>
        <v>3.4975421177978546E-7</v>
      </c>
      <c r="CI60">
        <f>0.962*(0.93*0.943*(0.9442 - 0.0007*$B60 - dis_BMI*($C60-21.75)))*BE60</f>
        <v>-3.7283766945325205E-7</v>
      </c>
      <c r="CJ60">
        <f t="shared" si="51"/>
        <v>0</v>
      </c>
      <c r="CK60">
        <f t="shared" si="52"/>
        <v>5.5404580589092157E-4</v>
      </c>
      <c r="CL60">
        <f>CK60/(1+r_)^A60</f>
        <v>1.0275994506792726E-4</v>
      </c>
      <c r="CM60">
        <f>AD60*c_BN_2</f>
        <v>0.29240799371189569</v>
      </c>
      <c r="CN60">
        <f>AE60*(c_Other+c_BN_2)</f>
        <v>0.21003900613976895</v>
      </c>
      <c r="CO60">
        <f>AF60*(c_Stroke1+c_Stroke2+c_BN_2)</f>
        <v>6.9679400378802978E-2</v>
      </c>
      <c r="CP60">
        <f>AG60*(c_Stroke2 + c_BN_2)</f>
        <v>-6.5602245731055968E-3</v>
      </c>
      <c r="CQ60">
        <f>AH60*(c_MI1+c_MI2 + c_BN_2)</f>
        <v>5.8761440786537951E-2</v>
      </c>
      <c r="CR60">
        <f>AI60*(c_MI2+c_BN_2)</f>
        <v>9.4925338835237811E-3</v>
      </c>
      <c r="CS60">
        <f>AJ60*(c_Stroke1+c_Stroke2+c_MI2+c_BN_2)</f>
        <v>1.8916398071087831E-3</v>
      </c>
      <c r="CT60">
        <f>AK60*(c_Stroke2+c_MI1+c_MI2+c_BN_2)</f>
        <v>8.9632866503194916E-4</v>
      </c>
      <c r="CU60">
        <f>AL60*(c_Stroke2+c_MI2+c_BN_2)</f>
        <v>-6.7460608868097241E-4</v>
      </c>
      <c r="CV60">
        <f>AM60*(c_HF1+c_BN_2)</f>
        <v>3.7519645793309395E-2</v>
      </c>
      <c r="CW60">
        <f>AN60*(c_HF2+c_BN_2)</f>
        <v>5.0802782748353051E-2</v>
      </c>
      <c r="CX60">
        <f>AO60*(c_Stroke2+c_HF1+c_BN_2)</f>
        <v>5.1098391431335681E-4</v>
      </c>
      <c r="CY60">
        <f>AP60*(c_Stroke1+c_Stroke2+c_HF2+c_BN_2)</f>
        <v>3.3572829362609599E-3</v>
      </c>
      <c r="CZ60">
        <f>AQ60*(c_Stroke2+c_HF2+c_BN_2)</f>
        <v>-1.6003392830391012E-3</v>
      </c>
      <c r="DA60">
        <f>AR60*(c_DM+c_BN_2)</f>
        <v>6.0020608674363602</v>
      </c>
      <c r="DB60">
        <f>AS60*(c_Other+c_DM+c_BN_2)</f>
        <v>1.4430319841380654</v>
      </c>
      <c r="DC60">
        <f>AT60*(c_Stroke1+c_Stroke2+c_DM+c_BN_2)</f>
        <v>0.55028381854645791</v>
      </c>
      <c r="DD60">
        <f>AU60*(c_Stroke2+c_DM+c_BN_2)</f>
        <v>-0.13010388823022187</v>
      </c>
      <c r="DE60">
        <f>AV60*(c_MI1+c_MI2+c_DM+c_BN_2)</f>
        <v>0.44472779861121808</v>
      </c>
      <c r="DF60">
        <f>AW60*(c_MI2+c_DM+c_BN_2)</f>
        <v>0.11241667194973072</v>
      </c>
      <c r="DG60">
        <f>AX60*(c_Stroke1+c_Stroke2+c_MI2+c_DM+c_BN_2)</f>
        <v>2.1016484433767166E-2</v>
      </c>
      <c r="DH60">
        <f>AY60*(c_Stroke2+c_MI1+c_MI2+c_DM+c_BN_2)</f>
        <v>8.5350107771848243E-3</v>
      </c>
      <c r="DI60">
        <f>AZ60*(c_Stroke2+c_MI2+c_DM+c_BN_2)</f>
        <v>-1.1698800127685502E-2</v>
      </c>
      <c r="DJ60">
        <f>BA60*(c_HF1+c_DM+c_BN_2)</f>
        <v>0.28579565856624667</v>
      </c>
      <c r="DK60">
        <f>BB60*(c_HF2+c_DM+c_BN_2)</f>
        <v>0.28780684608981932</v>
      </c>
      <c r="DL60">
        <f>BC60*(c_Stroke2+c_HF1+c_DM+c_BN_2)</f>
        <v>4.8633628042127845E-3</v>
      </c>
      <c r="DM60">
        <f>BD60*(c_Stroke1+c_Stroke2+c_HF2+c_DM+c_BN_2)</f>
        <v>3.062650683707863E-2</v>
      </c>
      <c r="DN60">
        <f>BE60*(c_Stroke2+c_HF2+c_DM+c_BN_2)</f>
        <v>-1.9084500253384307E-2</v>
      </c>
      <c r="DO60">
        <f t="shared" si="53"/>
        <v>0</v>
      </c>
      <c r="DP60">
        <f t="shared" si="54"/>
        <v>9.7568016903989339</v>
      </c>
      <c r="DQ60">
        <f>DP60/(1+r_)^A60</f>
        <v>1.809612842627391</v>
      </c>
    </row>
    <row r="61" spans="1:121" x14ac:dyDescent="0.3">
      <c r="A61">
        <v>58</v>
      </c>
      <c r="B61">
        <v>103</v>
      </c>
      <c r="C61">
        <f t="shared" si="39"/>
        <v>36.251999999999995</v>
      </c>
      <c r="D61">
        <f t="shared" si="1"/>
        <v>125</v>
      </c>
      <c r="E61">
        <f t="shared" si="41"/>
        <v>5.7</v>
      </c>
      <c r="F61">
        <v>0.38614999999999999</v>
      </c>
      <c r="G61">
        <v>0.42459000000000002</v>
      </c>
      <c r="H61">
        <f t="shared" si="42"/>
        <v>0.39383800000000002</v>
      </c>
      <c r="I61">
        <f t="shared" si="43"/>
        <v>4.7655426853004217E-2</v>
      </c>
      <c r="J61">
        <f t="shared" si="21"/>
        <v>0.5455203196260946</v>
      </c>
      <c r="K61">
        <f t="shared" si="22"/>
        <v>0.66860041062254649</v>
      </c>
      <c r="L61">
        <f t="shared" si="23"/>
        <v>0.31155738406293365</v>
      </c>
      <c r="M61">
        <f t="shared" si="24"/>
        <v>0.40716317211170105</v>
      </c>
      <c r="N61">
        <f t="shared" si="25"/>
        <v>0.9081432736249283</v>
      </c>
      <c r="O61">
        <f t="shared" si="26"/>
        <v>0.96573211675384496</v>
      </c>
      <c r="P61">
        <f t="shared" si="27"/>
        <v>0.69099566797562861</v>
      </c>
      <c r="Q61">
        <f t="shared" si="28"/>
        <v>0.80974959728831775</v>
      </c>
      <c r="R61">
        <f>IF(C61&lt;25, HT_f_low, IF(C61&lt;30, HT_f_mod, HT_f_high))</f>
        <v>0.42</v>
      </c>
      <c r="S61">
        <f>IF(C61&lt;25, HT_m_low, IF(C61&lt;30, HT_m_mod, HT_m_high))</f>
        <v>0.43099999999999999</v>
      </c>
      <c r="T61">
        <f>PREV_FEMALE*PREV_SMOKE*(1-$R61)*(1-EXP(-J61/10))+PREV_FEMALE*PREV_SMOKE*$R61*(1-EXP(-K61/10))+PREV_FEMALE*(1-PREV_SMOKE)*(1-$R61)*(1-EXP(-L61/10))+PREV_FEMALE*(1-PREV_SMOKE)*$R61*(1-EXP(-M61/10))+(1-PREV_FEMALE)*PREV_SMOKE*(1-$S61)*(1-EXP(-N61/10))+(1-PREV_FEMALE)*PREV_SMOKE*$S61*(1-EXP(-O61/10))+(1-PREV_FEMALE)*(1-PREV_SMOKE)*(1-$S61)*(1-EXP(-P61/10))+(1-PREV_FEMALE)*(1-PREV_SMOKE)*$S61*(1-EXP(-Q61/10))</f>
        <v>4.4721821174115245E-2</v>
      </c>
      <c r="U61">
        <f t="shared" si="29"/>
        <v>0.82025951842189149</v>
      </c>
      <c r="V61">
        <f t="shared" si="30"/>
        <v>0.90960633327723439</v>
      </c>
      <c r="W61">
        <f t="shared" si="31"/>
        <v>0.55623787697626803</v>
      </c>
      <c r="X61">
        <f t="shared" si="32"/>
        <v>0.67949342976531257</v>
      </c>
      <c r="Y61">
        <f t="shared" si="33"/>
        <v>0.98279816042721724</v>
      </c>
      <c r="Z61">
        <f t="shared" si="34"/>
        <v>0.99678717648168713</v>
      </c>
      <c r="AA61">
        <f t="shared" si="35"/>
        <v>0.86445085230312113</v>
      </c>
      <c r="AB61">
        <f t="shared" si="36"/>
        <v>0.94061696630362024</v>
      </c>
      <c r="AC61">
        <f>PREV_FEMALE*PREV_SMOKE*(1-$R61)*(1-EXP(-U61/10))+PREV_FEMALE*PREV_SMOKE*$R61*(1-EXP(-V61/10))+PREV_FEMALE*(1-PREV_SMOKE)*(1-$R61)*(1-EXP(-W61/10))+PREV_FEMALE*(1-PREV_SMOKE)*$R61*(1-EXP(-X61/10))+(1-PREV_FEMALE)*PREV_SMOKE*(1-$S61)*(1-EXP(-Y61/10))+(1-PREV_FEMALE)*PREV_SMOKE*$S61*(1-EXP(-Z61/10))+(1-PREV_FEMALE)*(1-PREV_SMOKE)*(1-$S61)*(1-EXP(-AA61/10))+(1-PREV_FEMALE)*(1-PREV_SMOKE)*$S61*(1-EXP(-AB61/10))</f>
        <v>6.6870668519476567E-2</v>
      </c>
      <c r="AD61">
        <f t="shared" si="44"/>
        <v>7.761443307165893E-5</v>
      </c>
      <c r="AE61">
        <f t="shared" si="45"/>
        <v>6.5501020333505745E-6</v>
      </c>
      <c r="AF61">
        <f t="shared" si="46"/>
        <v>1.5523081892796514E-6</v>
      </c>
      <c r="AG61">
        <f t="shared" si="47"/>
        <v>-5.4010653932147455E-7</v>
      </c>
      <c r="AH61">
        <f>AD60*T60*p_MI*p_MI_rec_old*(1-I60)+AE60*T60*p_MI*p_MI_rec_old*(1-I60) + AH60*(PREV_FEMALE*p_recur_MI_F + (1-PREV_FEMALE)*p_recur_MI_M)*p_MI_rec_old*(1-I60) + AI60*(PREV_FEMALE*p_recur_MI_F + (1-PREV_FEMALE)*p_recur_MI_M)*p_MI_rec_old*(1-I60)</f>
        <v>1.0853461176789889E-6</v>
      </c>
      <c r="AI61">
        <f>AH60*(1-(PREV_FEMALE*p_recur_MI_F + (1-PREV_FEMALE)*p_recur_MI_M) - T60*p_Stroke - p_toHF_old - H60*rr_MI)*(1-I60) + AI60*(1-(PREV_FEMALE*p_recur_MI_F + (1-PREV_FEMALE)*p_recur_MI_M) - T60*p_Stroke - p_toHF_old - H60*rr_MI)*(1-I60)</f>
        <v>8.7363673557519831E-7</v>
      </c>
      <c r="AJ61">
        <f t="shared" si="48"/>
        <v>3.6079747675889462E-8</v>
      </c>
      <c r="AK61">
        <f>AF60*T60*p_MI*p_MI_rec_old*(1-I60) + AG60*T60*p_MI*p_MI_rec_old*(1-I60) + AJ60*(PREV_FEMALE*p_recur_MI_F + (1-PREV_FEMALE)*p_recur_MI_M)*p_MI_rec_old*(1-I60) + AK60*(PREV_FEMALE*p_recur_MI_F + (1-PREV_FEMALE)*p_recur_MI_M)*p_MI_rec_old*(1-I60) + AL60*(PREV_FEMALE*p_recur_MI_F + (1-PREV_FEMALE)*p_recur_MI_M)*p_MI_rec_old*(1-I60)</f>
        <v>1.3003943222095282E-8</v>
      </c>
      <c r="AL61">
        <f>AJ60*(1-p_recur_Stroke-(PREV_FEMALE*p_recur_MI_F + (1-PREV_FEMALE)*p_recur_MI_M) - p_toHF_old - H60*rr_MI*rr_Stroke)*(1-I60) + AK60*(1-p_recur_Stroke-(PREV_FEMALE*p_recur_MI_F + (1-PREV_FEMALE)*p_recur_MI_M) - p_toHF_old - H60*rr_MI*rr_Stroke)*(1-I60) + AL60*(1-p_recur_Stroke-(PREV_FEMALE*p_recur_MI_F + (1-PREV_FEMALE)*p_recur_MI_M) - p_toHF_old - H60*rr_MI*rr_Stroke)*(1-I60)</f>
        <v>-3.3234762116066493E-8</v>
      </c>
      <c r="AM61">
        <f>AD60*T60*p_MI*p_MI_HF_old*(1-I60) + AE60*T60*p_MI*p_MI_HF_old*(1-I60) + AH60*p_toHF_old*(1-I60) + AH60*(PREV_FEMALE*p_recur_MI_F + (1-PREV_FEMALE)*p_recur_MI_M)*p_MI_HF_old*(1-I60) + AI60*p_toHF_old*(1-I60) + AI60*(PREV_FEMALE*p_recur_MI_F + (1-PREV_FEMALE)*p_recur_MI_M)*p_MI_HF_old*(1-I60)</f>
        <v>7.2816193965571951E-7</v>
      </c>
      <c r="AN61">
        <f t="shared" si="49"/>
        <v>1.2379512399579425E-6</v>
      </c>
      <c r="AO61">
        <f>AF60*T60*p_MI*p_MI_HF_old*(1-I60) + AG60*T60*p_MI*p_MI_HF_old*(1-I60) + AJ60*(PREV_FEMALE*p_recur_MI_F + (1-PREV_FEMALE)*p_recur_MI_M)*p_MI_HF_old*(1-I60) + AJ60*p_toHF_old*(1-I60) + AK60*(PREV_FEMALE*p_recur_MI_F + (1-PREV_FEMALE)*p_recur_MI_M)*p_MI_HF_old*(1-I60) + AK60*p_toHF_old*(1-I60) + AL60*(PREV_FEMALE*p_recur_MI_F + (1-PREV_FEMALE)*p_recur_MI_M)*p_MI_HF_old*(1-I60) + AL60*p_toHF_old*(1-I60)</f>
        <v>7.7308249915147121E-9</v>
      </c>
      <c r="AP61">
        <f>AM60*T60*p_Stroke*p_Stroke_rec*(1-I60) + AN60*T60*p_Stroke*p_Stroke_rec*(1-I60) + AO60*(p_recur_Stroke*p_Stroke_rec)*(1-I60) + AP60*(p_recur_Stroke*p_Stroke_rec)*(1-I60) + AQ60*(p_recur_Stroke*p_Stroke_rec)*(1-I60)</f>
        <v>3.9888746120441831E-8</v>
      </c>
      <c r="AQ61">
        <f>AO60*(1-p_recur_Stroke-H60*rr_Stroke*rr_HF)*(1-I60) + AP60*(1-p_recur_Stroke-H60*rr_Stroke*rr_HF)*(1-I60) + AQ60*(1-p_recur_Stroke-H60*rr_Stroke*rr_HF)*(1-I60)</f>
        <v>-3.4340289089658958E-8</v>
      </c>
      <c r="AR61">
        <f>AR60*(1-AC60-H60*rr_DM) + AD60*(1-T60-H60)*I60</f>
        <v>2.2850908218760311E-4</v>
      </c>
      <c r="AS61">
        <f>AR60*AC60*p_Other + AD60*T60*p_Other*I60 + AE60*(1-T60*p_Stroke-T60*p_MI-H60*rr_Other)*I60 + AS60*(1-AC60*p_Stroke-AC60*p_MI-H60*rr_Other*rr_DM)</f>
        <v>2.4613499728634209E-5</v>
      </c>
      <c r="AT61">
        <f>AR60*AC60*p_Stroke*p_Stroke_rec + AD60*T60*p_Stroke*p_Stroke_rec*I60 + AE60*T60*p_Stroke*p_Stroke_rec*I60 + AF60*p_recur_Stroke*p_Stroke_rec*I60 + AG60*p_recur_Stroke*p_Stroke_rec*I60 + AS60*AC60*p_Stroke*p_Stroke_rec + AT60*p_recur_Stroke*p_Stroke_rec + AU60*p_recur_Stroke*p_Stroke_rec</f>
        <v>7.9179647548086362E-6</v>
      </c>
      <c r="AU61">
        <f>AF60*(1-p_recur_Stroke-T60*p_MI-H60*rr_Stroke)*I60 + AG60*(1-p_recur_Stroke-T60*p_MI-H60*rr_Stroke)*I60 + AT60*(1-p_recur_Stroke-AC60*p_MI-H60*rr_Stroke*rr_DM) + AU60*(1-p_recur_Stroke-AC60*p_MI-H60*rr_Stroke*rr_DM)</f>
        <v>-3.9332568580370459E-6</v>
      </c>
      <c r="AV61">
        <f>AR60*AC60*p_MI*p_MI_rec_old + AD60*T60*p_MI*p_MI_rec_old*I60 + AE60*T60*p_MI*p_MI_rec_old*I60 +AH60*(PREV_FEMALE*p_recur_MI_F + (1-PREV_FEMALE)*p_recur_MI_M)*p_MI_rec_old*I60 + AI60*(PREV_FEMALE*p_recur_MI_F + (1-PREV_FEMALE)*p_recur_MI_M)*p_MI_rec_old*I60 + AS60*AC60*p_MI*p_MI_rec_old + AV60*(PREV_FEMALE*p_recur_MI_F + (1-PREV_FEMALE)*p_recur_MI_M)*p_MI_rec_old + AW60*(PREV_FEMALE*p_recur_MI_F + (1-PREV_FEMALE)*p_recur_MI_M)*p_MI_rec_old</f>
        <v>5.5824254120668796E-6</v>
      </c>
      <c r="AW61">
        <f>AH60*(1-(PREV_FEMALE*p_recur_MI_F + (1-PREV_FEMALE)*p_recur_MI_M) - T60*p_Stroke - p_toHF_old - H60*rr_MI)*I60 + AI60*(1-(PREV_FEMALE*p_recur_MI_F + (1-PREV_FEMALE)*p_recur_MI_M) - T60*p_Stroke - p_toHF_old - H60*rr_MI)*I60 + AV60*(1-(PREV_FEMALE*p_recur_MI_F + (1-PREV_FEMALE)*p_recur_MI_M) - AC60*p_Stroke - p_toHF_old - H60*rr_MI*rr_DM) + AW60*(1-(PREV_FEMALE*p_recur_MI_F + (1-PREV_FEMALE)*p_recur_MI_M) - AC60*p_Stroke - p_toHF_old - H60*rr_MI*rr_DM)</f>
        <v>2.6983506966226681E-6</v>
      </c>
      <c r="AX61">
        <f>AH60*T60*p_Stroke*p_Stroke_rec*I60 + AI60*T60*p_Stroke*p_Stroke_rec*I60 + AJ60*p_recur_Stroke*p_Stroke_rec*I60 + AK60*p_recur_Stroke*p_Stroke_rec*I60 + AL60*p_recur_Stroke*p_Stroke_rec*I60 + AV60*AC60*p_Stroke*p_Stroke_rec + AW60*AC60*p_Stroke*p_Stroke_rec + AX60*p_recur_Stroke*p_Stroke_rec + AY60*p_recur_Stroke*p_Stroke_rec + AZ60*p_recur_Stroke*p_Stroke_rec</f>
        <v>2.6262127700569956E-7</v>
      </c>
      <c r="AY61">
        <f>AF60*T60*p_MI*p_MI_rec_old*I60 + AG60*T60*p_MI*p_MI_rec_old*I60 + AJ60*(PREV_FEMALE*p_recur_MI_F+(1-PREV_FEMALE)*p_recur_MI_M)*p_MI_rec_old*I60 + AK60*(PREV_FEMALE*p_recur_MI_F+(1-PREV_FEMALE)*p_recur_MI_M)*p_MI_rec_old*I60 + AL60*(PREV_FEMALE*p_recur_MI_F+(1-PREV_FEMALE)*p_recur_MI_M)*p_MI_rec_old*I60 + AT60*AC60*p_MI*p_MI_rec_old + AU60*AC60*p_MI*p_MI_rec_old + AX60*(PREV_FEMALE*p_recur_MI_F+(1-PREV_FEMALE)*p_recur_MI_M)*p_MI_rec_old + AY60*(PREV_FEMALE*p_recur_MI_F+(1-PREV_FEMALE)*p_recur_MI_M)*p_MI_rec_old + AZ60*(PREV_FEMALE*p_recur_MI_F+(1-PREV_FEMALE)*p_recur_MI_M)*p_MI_rec_old</f>
        <v>8.778154107453804E-8</v>
      </c>
      <c r="AZ61">
        <f>AJ60*(1-p_recur_Stroke-(PREV_FEMALE*p_recur_MI_F + (1-PREV_FEMALE)*p_recur_MI_M) - p_toHF_old - H60*rr_MI*rr_Stroke)*I60 + AK60*(1-p_recur_Stroke-(PREV_FEMALE*p_recur_MI_F + (1-PREV_FEMALE)*p_recur_MI_M) - p_toHF_old - H60*rr_MI*rr_Stroke)*I60 + AL60*(1-p_recur_Stroke-(PREV_FEMALE*p_recur_MI_F + (1-PREV_FEMALE)*p_recur_MI_M) - p_toHF_old - H60*rr_MI*rr_Stroke)*I60 + AX60*(1-p_recur_Stroke-(PREV_FEMALE*p_recur_MI_F + (1-PREV_FEMALE)*p_recur_MI_M) - p_toHF_old - H60*rr_MI*rr_Stroke*rr_DM) + AY60*(1-p_recur_Stroke-(PREV_FEMALE*p_recur_MI_F + (1-PREV_FEMALE)*p_recur_MI_M) - p_toHF_old - H60*rr_MI*rr_Stroke*rr_DM) + AZ60*(1-p_recur_Stroke-(PREV_FEMALE*p_recur_MI_F + (1-PREV_FEMALE)*p_recur_MI_M) - p_toHF_old - H60*rr_MI*rr_Stroke*rr_DM)</f>
        <v>-2.6235625800869485E-7</v>
      </c>
      <c r="BA61">
        <f>AR60*AC60*p_MI*p_MI_HF_old + AD60*T60*p_MI*p_MI_HF_old*I60 + AE60*T60*p_MI*p_MI_HF_old*I60 + AH60*p_toHF_old*I60 + AH60*(PREV_FEMALE*p_recur_MI_F + (1-PREV_FEMALE)*p_recur_MI_M)*p_MI_HF_old*I60 + AI60*p_toHF_old*I60 + AI60*(PREV_FEMALE*p_recur_MI_F + (1-PREV_FEMALE)*p_recur_MI_M)*p_MI_HF_old*I60 + AS60*AC60*p_MI*p_MI_HF_old + AV60*(PREV_FEMALE*p_recur_MI_F + (1-PREV_FEMALE)*p_recur_MI_M)*p_MI_HF_old + AV60*p_toHF_old + AW60*(PREV_FEMALE*p_recur_MI_F + (1-PREV_FEMALE)*p_recur_MI_M)*p_MI_HF_old + AW60*p_toHF_old</f>
        <v>3.6830719643737066E-6</v>
      </c>
      <c r="BB61">
        <f>AM60*(1-T60*p_Stroke - H60*rr_HF)*I60 + AN60*(1-T60*p_Stroke - H60*rr_HF)*I60 + BA60*(1-AC60*p_Stroke - H60*rr_HF*rr_DM) + BB60*(1-AC60*p_Stroke - H60*rr_HF*rr_DM)</f>
        <v>3.5480248822392182E-6</v>
      </c>
      <c r="BC61">
        <f>AF60*T60*p_MI*p_MI_HF_old*I60 + AG60*T60*p_MI*p_MI_HF_old*I60 + AJ60*(PREV_FEMALE*p_recur_MI_F + (1-PREV_FEMALE)*p_recur_MI_M)*p_MI_HF_old*I60 + AJ60*p_toHF_old*I60 + AK60*(PREV_FEMALE*p_recur_MI_F + (1-PREV_FEMALE)*p_recur_MI_M)*p_MI_HF_old*I60 + AK60*p_toHF_old*I60 + AL60*(PREV_FEMALE*p_recur_MI_F + (1-PREV_FEMALE)*p_recur_MI_M)*p_MI_HF_old*I60 + AL60*p_toHF_old*I60 + AT60*AC60*p_MI*p_MI_HF_old + AU60*AC60*p_MI*p_MI_HF_old + AX60*(PREV_FEMALE*p_recur_MI_F + (1-PREV_FEMALE)*p_recur_MI_M)*p_MI_HF_old + AX60*p_toHF_old + AY60*(PREV_FEMALE*p_recur_MI_F + (1-PREV_FEMALE)*p_recur_MI_M)*p_MI_HF_old + AY60*p_toHF_old + AZ60*(PREV_FEMALE*p_recur_MI_F + (1-PREV_FEMALE)*p_recur_MI_M)*p_MI_HF_old + AZ60*p_toHF_old</f>
        <v>5.1199354284370548E-8</v>
      </c>
      <c r="BD61">
        <f>AM60*T60*p_Stroke*p_Stroke_rec*I60 + AN60*T60*p_Stroke*p_Stroke_rec*I60 + AO60*(p_recur_Stroke*p_Stroke_rec)*I60 + AP60*(p_recur_Stroke*p_Stroke_rec)*I60 + AQ60*(p_recur_Stroke*p_Stroke_rec)*I60 + BA60*AC60*p_Stroke*p_Stroke_rec + BB60*AC60*p_Stroke*p_Stroke_rec + BC60*(p_recur_Stroke*p_Stroke_rec) + BD60*(p_recur_Stroke*p_Stroke_rec) + BE60*(p_recur_Stroke*p_Stroke_rec)</f>
        <v>2.547635338306536E-7</v>
      </c>
      <c r="BE61">
        <f>AO60*(1-p_recur_Stroke - H60*rr_Stroke*rr_HF)*I60 + AP60*(1-p_recur_Stroke-H60*rr_Stroke*rr_HF)*I60 + AQ60*(1-p_recur_Stroke-H60*rr_Stroke*rr_HF)*I60 + BC60*(1-p_recur_Stroke - H60*rr_Stroke*rr_HF*rr_DM) + BD60*(1-p_recur_Stroke-H60*rr_Stroke*rr_HF*rr_DM) + BE60*(1-p_recur_Stroke-H60*rr_Stroke*rr_HF*rr_DM)</f>
        <v>-2.2943123844732202E-7</v>
      </c>
      <c r="BF61">
        <f>AD60*H60 + AE60*H60*rr_Other + AF60*H60*rr_Stroke + AG60*H60*rr_Stroke + AH60*H60*rr_MI + AI60*H60*rr_MI + AJ60*H60*rr_Stroke*rr_MI + AK60*H60*rr_Stroke*rr_MI + AL60*H60*rr_Stroke*rr_MI + AM60*H60*rr_HF + AN60*H60*rr_HF + AO60*H60*rr_Stroke*rr_HF + AP60*H60*rr_Stroke*rr_HF + AR60*H60*rr_DM + AS60*H60*rr_DM*rr_Other + AT60*H60*rr_DM*rr_Stroke + AU60*H60*rr_DM*rr_Stroke + AV60*H60*rr_DM*rr_MI + AW60*H60*rr_DM*rr_MI + AX60*H60*rr_DM*rr_Stroke*rr_MI + AY60*H60*rr_DM*rr_Stroke*rr_MI + AZ60*H60*rr_DM*rr_Stroke*rr_MI + BA60*H60*rr_DM*rr_HF + BB60*H60*rr_DM*rr_HF + BC60*H60*rr_DM*rr_Stroke*rr_HF + BD60*H60*rr_DM*rr_Stroke*rr_HF + AQ60*H60*rr_Stroke*rr_HF + BE60*H60*rr_DM*rr_Stroke*rr_HF
+ AD60*T60*p_MI*p_MI_mort + AD60*T60*p_Stroke*p_Stroke_mort + AE60*T60*p_MI*p_MI_mort + AE60*T60*p_Stroke*p_Stroke_mort + AF60*T60*p_MI*p_MI_mort + AF60*p_recur_Stroke*p_Stroke_mort + AG60*T60*p_MI*p_MI_mort + AG60*p_recur_Stroke*p_Stroke_mort + AH60*(PREV_FEMALE*p_recur_MI_F + (1-PREV_FEMALE)*p_recur_MI_M)*p_MI_mort + AH60*T60*p_Stroke*p_Stroke_mort + AI60*(PREV_FEMALE*p_recur_MI_F + (1-PREV_FEMALE)*p_recur_MI_M)*p_MI_mort + AI60*T60*p_Stroke*p_Stroke_mort + AJ60*(PREV_FEMALE*p_recur_MI_F + (1-PREV_FEMALE)*p_recur_MI_M)*p_MI_mort + AJ60*p_recur_Stroke*p_Stroke_mort + AK60*(PREV_FEMALE*p_recur_MI_F + (1-PREV_FEMALE)*p_recur_MI_M)*p_MI_mort + AK60*p_recur_Stroke*p_Stroke_mort + AL60*(PREV_FEMALE*p_recur_MI_F + (1-PREV_FEMALE)*p_recur_MI_M)*p_MI_mort + AL60*p_recur_Stroke*p_Stroke_mort + AM60*T60*p_Stroke*p_Stroke_mort + AN60*T60*p_Stroke*p_Stroke_mort + AO60*p_recur_Stroke*p_Stroke_mort + AP60*p_recur_Stroke*p_Stroke_mort + AQ60*p_recur_Stroke*p_Stroke_mort
+ AR60*AC60*p_MI*p_MI_mort + AR60*AC60*p_Stroke*p_Stroke_mort + AS60*AC60*p_MI*p_MI_mort + AS60*AC60*p_Stroke*p_Stroke_mort + AT60*AC60*p_MI*p_MI_mort + AT60*p_recur_Stroke*p_Stroke_mort + AU60*AC60*p_MI*p_MI_mort + AU60*p_recur_Stroke*p_Stroke_mort + AV60*(PREV_FEMALE*p_recur_MI_F + (1-PREV_FEMALE)*p_recur_MI_M)*p_MI_mort + AV60*AC60*p_Stroke*p_Stroke_mort + AW60*(PREV_FEMALE*p_recur_MI_F + (1-PREV_FEMALE)*p_recur_MI_M)*p_MI_mort + AW60*AC60*p_Stroke*p_Stroke_mort + AX60*(PREV_FEMALE*p_recur_MI_F + (1-PREV_FEMALE)*p_recur_MI_M)*p_MI_mort + AX60*p_recur_Stroke*p_Stroke_mort + AY60*(PREV_FEMALE*p_recur_MI_F + (1-PREV_FEMALE)*p_recur_MI_M)*p_MI_mort + AY60*p_recur_Stroke*p_Stroke_mort + AZ60*(PREV_FEMALE*p_recur_MI_F + (1-PREV_FEMALE)*p_recur_MI_M)*p_MI_mort + AZ60*p_recur_Stroke*p_Stroke_mort + BA60*AC60*p_Stroke*p_Stroke_mort + BB60*AC60*p_Stroke*p_Stroke_mort + BC60*p_recur_Stroke*p_Stroke_mort + BD60*p_recur_Stroke*p_Stroke_mort + BE60*p_recur_Stroke*p_Stroke_mort
+BF60</f>
        <v>0.94663808529802351</v>
      </c>
      <c r="BG61">
        <f t="shared" si="50"/>
        <v>0.94700000000000017</v>
      </c>
      <c r="BH61">
        <f>(0.9442 - 0.0007*$B61 - dis_BMI*($C61-21.75))*AD61</f>
        <v>6.3973184204056609E-5</v>
      </c>
      <c r="BI61">
        <f>0.959*(0.9442 - 0.0007*$B61 - dis_BMI*($C61-21.75))*AE61</f>
        <v>5.1775243571328437E-6</v>
      </c>
      <c r="BJ61">
        <f>(0.943*(0.9442 - 0.0007*$B61 - dis_BMI*($C61-21.75)) - 0.19*0.5)*AF61</f>
        <v>1.0590801543506934E-6</v>
      </c>
      <c r="BK61">
        <f>(0.943*(0.9442 - 0.0007*$B61 - dis_BMI*($C61-21.75)))*AG61</f>
        <v>-4.1980403306360964E-7</v>
      </c>
      <c r="BL61">
        <f>(0.955*(0.9442 - 0.0007*$B61 - dis_BMI*($C61-21.75)) - 0.15*0.5)*AH61</f>
        <v>7.7293189354704205E-7</v>
      </c>
      <c r="BM61">
        <f>(0.955*(0.9442 - 0.0007*$B61 - dis_BMI*($C61-21.75)))*AI61</f>
        <v>6.8768529419710935E-7</v>
      </c>
      <c r="BN61">
        <f>(0.955*0.943*(0.9442 - 0.0007*$B61 - dis_BMI*($C61-21.75)) - 0.19*0.5)*AJ61</f>
        <v>2.3353870725806975E-8</v>
      </c>
      <c r="BO61">
        <f>(0.955*0.943*(0.9442 - 0.0007*$B61 - dis_BMI*($C61-21.75)) - 0.15*0.5)*AK61</f>
        <v>8.6773330997727015E-9</v>
      </c>
      <c r="BP61">
        <f>(0.955*0.943*(0.9442 - 0.0007*$B61 - dis_BMI*($C61-21.75)))*AL61</f>
        <v>-2.4669657338592532E-8</v>
      </c>
      <c r="BQ61">
        <f>(0.93*(0.9442 - 0.0007*$B61 - dis_BMI*($C61-21.75)))*AM61</f>
        <v>5.5816988578995545E-7</v>
      </c>
      <c r="BR61">
        <f>(0.93*(0.9442 - 0.0007*$B61 - dis_BMI*($C61-21.75)))*AN61</f>
        <v>9.4894701932314997E-7</v>
      </c>
      <c r="BS61">
        <f>(0.93*0.943*(0.9442 - 0.0007*$B61 - dis_BMI*($C61-21.75)))*AO61</f>
        <v>5.5882517334715402E-9</v>
      </c>
      <c r="BT61">
        <f>(0.93*0.943*(0.9442 - 0.0007*$B61 - dis_BMI*($C61-21.75))-0.19*0.5)*AP61</f>
        <v>2.504427766819245E-8</v>
      </c>
      <c r="BU61">
        <f>(0.93*0.943*(0.9442 - 0.0007*$B61 - dis_BMI*($C61-21.75)))*AQ61</f>
        <v>-2.4822988522419107E-8</v>
      </c>
      <c r="BV61">
        <f>0.962*(0.9442 - 0.0007*$B61 - dis_BMI*($C61-21.75))*AR61</f>
        <v>1.8118991292552823E-4</v>
      </c>
      <c r="BW61">
        <f>0.962*0.959*(0.9442 - 0.0007*$B61 - dis_BMI*($C61-21.75))*AS61</f>
        <v>1.8716408988658555E-5</v>
      </c>
      <c r="BX61">
        <f>0.962*(0.943*(0.9442 - 0.0007*$B61 - dis_BMI*($C61-21.75)) - 0.19*0.5)*AT61</f>
        <v>5.1968420547290339E-6</v>
      </c>
      <c r="BY61">
        <f>0.962*(0.943*(0.9442 - 0.0007*$B61 - dis_BMI*($C61-21.75)))*AU61</f>
        <v>-2.9409967977347401E-6</v>
      </c>
      <c r="BZ61">
        <f>0.962*(0.955*(0.9442 - 0.0007*$B61 - dis_BMI*($C61-21.75)) - 0.15*0.5)*AV61</f>
        <v>3.8244674765372727E-6</v>
      </c>
      <c r="CA61">
        <f>0.962*(0.955*(0.9442 - 0.0007*$B61 - dis_BMI*($C61-21.75)))*AW61</f>
        <v>2.043300846269682E-6</v>
      </c>
      <c r="CB61">
        <f>0.962*(0.955*0.943*(0.9442 - 0.0007*$B61 - dis_BMI*($C61-21.75)) - 0.19*0.5)*AX61</f>
        <v>1.6353110112144298E-7</v>
      </c>
      <c r="CC61">
        <f>0.962*(0.955*0.943*(0.9442 - 0.0007*$B61 - dis_BMI*($C61-21.75)) - 0.15*0.5)*AY61</f>
        <v>5.634942354541459E-8</v>
      </c>
      <c r="CD61">
        <f>0.962*(0.955*0.943*(0.9442 - 0.0007*$B61 - dis_BMI*($C61-21.75)))*AZ61</f>
        <v>-1.8734281540841711E-7</v>
      </c>
      <c r="CE61">
        <f>0.962*(0.93*(0.9442 - 0.0007*$B61 - dis_BMI*($C61-21.75)))*BA61</f>
        <v>2.7159620894944143E-6</v>
      </c>
      <c r="CF61">
        <f>0.962*(0.93*(0.9442 - 0.0007*$B61 - dis_BMI*($C61-21.75)))*BB61</f>
        <v>2.6163759942668455E-6</v>
      </c>
      <c r="CG61">
        <f>0.962*(0.93*0.943*(0.9442 - 0.0007*$B61 - dis_BMI*($C61-21.75)))*BC61</f>
        <v>3.560325258710879E-8</v>
      </c>
      <c r="CH61">
        <f>0.962*(0.93*0.943*(0.9442 - 0.0007*$B61 - dis_BMI*($C61-21.75))-0.19*0.5)*BD61</f>
        <v>1.5387584890671462E-7</v>
      </c>
      <c r="CI61">
        <f>0.962*(0.93*0.943*(0.9442 - 0.0007*$B61 - dis_BMI*($C61-21.75)))*BE61</f>
        <v>-1.5954299518005366E-7</v>
      </c>
      <c r="CJ61">
        <f t="shared" si="51"/>
        <v>0</v>
      </c>
      <c r="CK61">
        <f t="shared" si="52"/>
        <v>2.8619563725602149E-4</v>
      </c>
      <c r="CL61">
        <f>CK61/(1+r_)^A61</f>
        <v>5.1535201235197871E-5</v>
      </c>
      <c r="CM61">
        <f>AD61*c_BN_2</f>
        <v>0.16260223728512546</v>
      </c>
      <c r="CN61">
        <f>AE61*(c_Other+c_BN_2)</f>
        <v>0.1072513706940823</v>
      </c>
      <c r="CO61">
        <f>AF61*(c_Stroke1+c_Stroke2+c_BN_2)</f>
        <v>4.0221857492425045E-2</v>
      </c>
      <c r="CP61">
        <f>AG61*(c_Stroke2 + c_BN_2)</f>
        <v>-4.6422157054680736E-3</v>
      </c>
      <c r="CQ61">
        <f>AH61*(c_MI1+c_MI2 + c_BN_2)</f>
        <v>3.3912724792997687E-2</v>
      </c>
      <c r="CR61">
        <f>AI61*(c_MI2+c_BN_2)</f>
        <v>4.5533946658179334E-3</v>
      </c>
      <c r="CS61">
        <f>AJ61*(c_Stroke1+c_Stroke2+c_MI2+c_BN_2)</f>
        <v>1.0473229155357193E-3</v>
      </c>
      <c r="CT61">
        <f>AK61*(c_Stroke2+c_MI1+c_MI2+c_BN_2)</f>
        <v>4.9084684086120854E-4</v>
      </c>
      <c r="CU61">
        <f>AL61*(c_Stroke2+c_MI2+c_BN_2)</f>
        <v>-3.8924553390337076E-4</v>
      </c>
      <c r="CV61">
        <f>AM61*(c_HF1+c_BN_2)</f>
        <v>2.1207716492472831E-2</v>
      </c>
      <c r="CW61">
        <f>AN61*(c_HF2+c_BN_2)</f>
        <v>2.1911736947255581E-2</v>
      </c>
      <c r="CX61">
        <f>AO61*(c_Stroke2+c_HF1+c_BN_2)</f>
        <v>2.754106403227116E-4</v>
      </c>
      <c r="CY61">
        <f>AP61*(c_Stroke1+c_Stroke2+c_HF2+c_BN_2)</f>
        <v>1.6560211839362631E-3</v>
      </c>
      <c r="CZ61">
        <f>AQ61*(c_Stroke2+c_HF2+c_BN_2)</f>
        <v>-8.3103499596974681E-4</v>
      </c>
      <c r="DA61">
        <f>AR61*(c_DM+c_BN_2)</f>
        <v>3.0894427911763942</v>
      </c>
      <c r="DB61">
        <f>AS61*(c_Other+c_DM+c_BN_2)</f>
        <v>0.68423067895630241</v>
      </c>
      <c r="DC61">
        <f>AT61*(c_Stroke1+c_Stroke2+c_DM+c_BN_2)</f>
        <v>0.29562513208553526</v>
      </c>
      <c r="DD61">
        <f>AU61*(c_Stroke2+c_DM+c_BN_2)</f>
        <v>-7.8743802297901663E-2</v>
      </c>
      <c r="DE61">
        <f>AV61*(c_MI1+c_MI2+c_DM+c_BN_2)</f>
        <v>0.23820767475830582</v>
      </c>
      <c r="DF61">
        <f>AW61*(c_MI2+c_DM+c_BN_2)</f>
        <v>4.4892460539711326E-2</v>
      </c>
      <c r="DG61">
        <f>AX61*(c_Stroke1+c_Stroke2+c_MI2+c_DM+c_BN_2)</f>
        <v>1.0623818518711563E-2</v>
      </c>
      <c r="DH61">
        <f>AY61*(c_Stroke2+c_MI1+c_MI2+c_DM+c_BN_2)</f>
        <v>4.31630615617611E-3</v>
      </c>
      <c r="DI61">
        <f>AZ61*(c_Stroke2+c_MI2+c_DM+c_BN_2)</f>
        <v>-6.0701367415471729E-3</v>
      </c>
      <c r="DJ61">
        <f>BA61*(c_HF1+c_DM+c_BN_2)</f>
        <v>0.1493485681553538</v>
      </c>
      <c r="DK61">
        <f>BB61*(c_HF2+c_DM+c_BN_2)</f>
        <v>0.10333622469521724</v>
      </c>
      <c r="DL61">
        <f>BC61*(c_Stroke2+c_HF1+c_DM+c_BN_2)</f>
        <v>2.4089296190796341E-3</v>
      </c>
      <c r="DM61">
        <f>BD61*(c_Stroke1+c_Stroke2+c_HF2+c_DM+c_BN_2)</f>
        <v>1.3487436244528632E-2</v>
      </c>
      <c r="DN61">
        <f>BE61*(c_Stroke2+c_HF2+c_DM+c_BN_2)</f>
        <v>-8.1734878696858478E-3</v>
      </c>
      <c r="DO61">
        <f t="shared" si="53"/>
        <v>0</v>
      </c>
      <c r="DP61">
        <f t="shared" si="54"/>
        <v>4.9322007377116739</v>
      </c>
      <c r="DQ61">
        <f>DP61/(1+r_)^A61</f>
        <v>0.88814057400525448</v>
      </c>
    </row>
    <row r="62" spans="1:121" x14ac:dyDescent="0.3">
      <c r="A62">
        <v>59</v>
      </c>
      <c r="B62">
        <v>104</v>
      </c>
      <c r="C62">
        <f t="shared" si="39"/>
        <v>36.251999999999995</v>
      </c>
      <c r="D62">
        <f t="shared" si="1"/>
        <v>125</v>
      </c>
      <c r="E62">
        <f t="shared" si="41"/>
        <v>5.7</v>
      </c>
      <c r="F62">
        <v>0.40767999999999999</v>
      </c>
      <c r="G62">
        <v>0.44438</v>
      </c>
      <c r="H62">
        <f t="shared" si="42"/>
        <v>0.41501999999999994</v>
      </c>
      <c r="I62">
        <f t="shared" si="43"/>
        <v>4.7655426853004217E-2</v>
      </c>
      <c r="J62">
        <f t="shared" si="21"/>
        <v>0.55496838264020898</v>
      </c>
      <c r="K62">
        <f t="shared" si="22"/>
        <v>0.67820859733442695</v>
      </c>
      <c r="L62">
        <f t="shared" si="23"/>
        <v>0.3183700846760672</v>
      </c>
      <c r="M62">
        <f t="shared" si="24"/>
        <v>0.41536298635285429</v>
      </c>
      <c r="N62">
        <f t="shared" si="25"/>
        <v>0.91460151791112931</v>
      </c>
      <c r="O62">
        <f t="shared" si="26"/>
        <v>0.96908630616793157</v>
      </c>
      <c r="P62">
        <f t="shared" si="27"/>
        <v>0.7018801264160488</v>
      </c>
      <c r="Q62">
        <f t="shared" si="28"/>
        <v>0.81914929564319006</v>
      </c>
      <c r="R62">
        <f>IF(C62&lt;25, HT_f_low, IF(C62&lt;30, HT_f_mod, HT_f_high))</f>
        <v>0.42</v>
      </c>
      <c r="S62">
        <f>IF(C62&lt;25, HT_m_low, IF(C62&lt;30, HT_m_mod, HT_m_high))</f>
        <v>0.43099999999999999</v>
      </c>
      <c r="T62">
        <f>PREV_FEMALE*PREV_SMOKE*(1-$R62)*(1-EXP(-J62/10))+PREV_FEMALE*PREV_SMOKE*$R62*(1-EXP(-K62/10))+PREV_FEMALE*(1-PREV_SMOKE)*(1-$R62)*(1-EXP(-L62/10))+PREV_FEMALE*(1-PREV_SMOKE)*$R62*(1-EXP(-M62/10))+(1-PREV_FEMALE)*PREV_SMOKE*(1-$S62)*(1-EXP(-N62/10))+(1-PREV_FEMALE)*PREV_SMOKE*$S62*(1-EXP(-O62/10))+(1-PREV_FEMALE)*(1-PREV_SMOKE)*(1-$S62)*(1-EXP(-P62/10))+(1-PREV_FEMALE)*(1-PREV_SMOKE)*$S62*(1-EXP(-Q62/10))</f>
        <v>4.5488903403905392E-2</v>
      </c>
      <c r="U62">
        <f t="shared" si="29"/>
        <v>0.82829215986742211</v>
      </c>
      <c r="V62">
        <f t="shared" si="30"/>
        <v>0.91521282590296682</v>
      </c>
      <c r="W62">
        <f t="shared" si="31"/>
        <v>0.56573929869932216</v>
      </c>
      <c r="X62">
        <f t="shared" si="32"/>
        <v>0.68906276222280116</v>
      </c>
      <c r="Y62">
        <f t="shared" si="33"/>
        <v>0.98480505320491263</v>
      </c>
      <c r="Z62">
        <f t="shared" si="34"/>
        <v>0.99730374421558254</v>
      </c>
      <c r="AA62">
        <f t="shared" si="35"/>
        <v>0.87247484379697982</v>
      </c>
      <c r="AB62">
        <f t="shared" si="36"/>
        <v>0.94552253826743959</v>
      </c>
      <c r="AC62">
        <f>PREV_FEMALE*PREV_SMOKE*(1-$R62)*(1-EXP(-U62/10))+PREV_FEMALE*PREV_SMOKE*$R62*(1-EXP(-V62/10))+PREV_FEMALE*(1-PREV_SMOKE)*(1-$R62)*(1-EXP(-W62/10))+PREV_FEMALE*(1-PREV_SMOKE)*$R62*(1-EXP(-X62/10))+(1-PREV_FEMALE)*PREV_SMOKE*(1-$S62)*(1-EXP(-Y62/10))+(1-PREV_FEMALE)*PREV_SMOKE*$S62*(1-EXP(-Z62/10))+(1-PREV_FEMALE)*(1-PREV_SMOKE)*(1-$S62)*(1-EXP(-AA62/10))+(1-PREV_FEMALE)*(1-PREV_SMOKE)*$S62*(1-EXP(-AB62/10))</f>
        <v>6.767252362063543E-2</v>
      </c>
      <c r="AD62">
        <f t="shared" si="44"/>
        <v>4.1499234918048159E-5</v>
      </c>
      <c r="AE62">
        <f t="shared" si="45"/>
        <v>3.2627082126013975E-6</v>
      </c>
      <c r="AF62">
        <f t="shared" si="46"/>
        <v>8.6492659699007764E-7</v>
      </c>
      <c r="AG62">
        <f t="shared" si="47"/>
        <v>-3.4948709741784659E-7</v>
      </c>
      <c r="AH62">
        <f>AD61*T61*p_MI*p_MI_rec_old*(1-I61)+AE61*T61*p_MI*p_MI_rec_old*(1-I61) + AH61*(PREV_FEMALE*p_recur_MI_F + (1-PREV_FEMALE)*p_recur_MI_M)*p_MI_rec_old*(1-I61) + AI61*(PREV_FEMALE*p_recur_MI_F + (1-PREV_FEMALE)*p_recur_MI_M)*p_MI_rec_old*(1-I61)</f>
        <v>6.0431181146004143E-7</v>
      </c>
      <c r="AI62">
        <f>AH61*(1-(PREV_FEMALE*p_recur_MI_F + (1-PREV_FEMALE)*p_recur_MI_M) - T61*p_Stroke - p_toHF_old - H61*rr_MI)*(1-I61) + AI61*(1-(PREV_FEMALE*p_recur_MI_F + (1-PREV_FEMALE)*p_recur_MI_M) - T61*p_Stroke - p_toHF_old - H61*rr_MI)*(1-I61)</f>
        <v>3.980313443080135E-7</v>
      </c>
      <c r="AJ62">
        <f t="shared" si="48"/>
        <v>1.9321019624310479E-8</v>
      </c>
      <c r="AK62">
        <f>AF61*T61*p_MI*p_MI_rec_old*(1-I61) + AG61*T61*p_MI*p_MI_rec_old*(1-I61) + AJ61*(PREV_FEMALE*p_recur_MI_F + (1-PREV_FEMALE)*p_recur_MI_M)*p_MI_rec_old*(1-I61) + AK61*(PREV_FEMALE*p_recur_MI_F + (1-PREV_FEMALE)*p_recur_MI_M)*p_MI_rec_old*(1-I61) + AL61*(PREV_FEMALE*p_recur_MI_F + (1-PREV_FEMALE)*p_recur_MI_M)*p_MI_rec_old*(1-I61)</f>
        <v>6.9129576755092973E-9</v>
      </c>
      <c r="AL62">
        <f>AJ61*(1-p_recur_Stroke-(PREV_FEMALE*p_recur_MI_F + (1-PREV_FEMALE)*p_recur_MI_M) - p_toHF_old - H61*rr_MI*rr_Stroke)*(1-I61) + AK61*(1-p_recur_Stroke-(PREV_FEMALE*p_recur_MI_F + (1-PREV_FEMALE)*p_recur_MI_M) - p_toHF_old - H61*rr_MI*rr_Stroke)*(1-I61) + AL61*(1-p_recur_Stroke-(PREV_FEMALE*p_recur_MI_F + (1-PREV_FEMALE)*p_recur_MI_M) - p_toHF_old - H61*rr_MI*rr_Stroke)*(1-I61)</f>
        <v>-1.8441206368175615E-8</v>
      </c>
      <c r="AM62">
        <f>AD61*T61*p_MI*p_MI_HF_old*(1-I61) + AE61*T61*p_MI*p_MI_HF_old*(1-I61) + AH61*p_toHF_old*(1-I61) + AH61*(PREV_FEMALE*p_recur_MI_F + (1-PREV_FEMALE)*p_recur_MI_M)*p_MI_HF_old*(1-I61) + AI61*p_toHF_old*(1-I61) + AI61*(PREV_FEMALE*p_recur_MI_F + (1-PREV_FEMALE)*p_recur_MI_M)*p_MI_HF_old*(1-I61)</f>
        <v>3.9764824168583134E-7</v>
      </c>
      <c r="AN62">
        <f t="shared" si="49"/>
        <v>5.1103662364406716E-7</v>
      </c>
      <c r="AO62">
        <f>AF61*T61*p_MI*p_MI_HF_old*(1-I61) + AG61*T61*p_MI*p_MI_HF_old*(1-I61) + AJ61*(PREV_FEMALE*p_recur_MI_F + (1-PREV_FEMALE)*p_recur_MI_M)*p_MI_HF_old*(1-I61) + AJ61*p_toHF_old*(1-I61) + AK61*(PREV_FEMALE*p_recur_MI_F + (1-PREV_FEMALE)*p_recur_MI_M)*p_MI_HF_old*(1-I61) + AK61*p_toHF_old*(1-I61) + AL61*(PREV_FEMALE*p_recur_MI_F + (1-PREV_FEMALE)*p_recur_MI_M)*p_MI_HF_old*(1-I61) + AL61*p_toHF_old*(1-I61)</f>
        <v>4.0490137853695653E-9</v>
      </c>
      <c r="AP62">
        <f>AM61*T61*p_Stroke*p_Stroke_rec*(1-I61) + AN61*T61*p_Stroke*p_Stroke_rec*(1-I61) + AO61*(p_recur_Stroke*p_Stroke_rec)*(1-I61) + AP61*(p_recur_Stroke*p_Stroke_rec)*(1-I61) + AQ61*(p_recur_Stroke*p_Stroke_rec)*(1-I61)</f>
        <v>1.9115109638098369E-8</v>
      </c>
      <c r="AQ62">
        <f>AO61*(1-p_recur_Stroke-H61*rr_Stroke*rr_HF)*(1-I61) + AP61*(1-p_recur_Stroke-H61*rr_Stroke*rr_HF)*(1-I61) + AQ61*(1-p_recur_Stroke-H61*rr_Stroke*rr_HF)*(1-I61)</f>
        <v>-1.7243912417132463E-8</v>
      </c>
      <c r="AR62">
        <f>AR61*(1-AC61-H61*rr_DM) + AD61*(1-T61-H61)*I61</f>
        <v>1.1181025946692836E-4</v>
      </c>
      <c r="AS62">
        <f>AR61*AC61*p_Other + AD61*T61*p_Other*I61 + AE61*(1-T61*p_Stroke-T61*p_MI-H61*rr_Other)*I61 + AS61*(1-AC61*p_Stroke-AC61*p_MI-H61*rr_Other*rr_DM)</f>
        <v>1.1259603431528566E-5</v>
      </c>
      <c r="AT62">
        <f>AR61*AC61*p_Stroke*p_Stroke_rec + AD61*T61*p_Stroke*p_Stroke_rec*I61 + AE61*T61*p_Stroke*p_Stroke_rec*I61 + AF61*p_recur_Stroke*p_Stroke_rec*I61 + AG61*p_recur_Stroke*p_Stroke_rec*I61 + AS61*AC61*p_Stroke*p_Stroke_rec + AT61*p_recur_Stroke*p_Stroke_rec + AU61*p_recur_Stroke*p_Stroke_rec</f>
        <v>4.0648351523016861E-6</v>
      </c>
      <c r="AU62">
        <f>AF61*(1-p_recur_Stroke-T61*p_MI-H61*rr_Stroke)*I61 + AG61*(1-p_recur_Stroke-T61*p_MI-H61*rr_Stroke)*I61 + AT61*(1-p_recur_Stroke-AC61*p_MI-H61*rr_Stroke*rr_DM) + AU61*(1-p_recur_Stroke-AC61*p_MI-H61*rr_Stroke*rr_DM)</f>
        <v>-2.2183677757544314E-6</v>
      </c>
      <c r="AV62">
        <f>AR61*AC61*p_MI*p_MI_rec_old + AD61*T61*p_MI*p_MI_rec_old*I61 + AE61*T61*p_MI*p_MI_rec_old*I61 +AH61*(PREV_FEMALE*p_recur_MI_F + (1-PREV_FEMALE)*p_recur_MI_M)*p_MI_rec_old*I61 + AI61*(PREV_FEMALE*p_recur_MI_F + (1-PREV_FEMALE)*p_recur_MI_M)*p_MI_rec_old*I61 + AS61*AC61*p_MI*p_MI_rec_old + AV61*(PREV_FEMALE*p_recur_MI_F + (1-PREV_FEMALE)*p_recur_MI_M)*p_MI_rec_old + AW61*(PREV_FEMALE*p_recur_MI_F + (1-PREV_FEMALE)*p_recur_MI_M)*p_MI_rec_old</f>
        <v>2.8582443777803295E-6</v>
      </c>
      <c r="AW62">
        <f>AH61*(1-(PREV_FEMALE*p_recur_MI_F + (1-PREV_FEMALE)*p_recur_MI_M) - T61*p_Stroke - p_toHF_old - H61*rr_MI)*I61 + AI61*(1-(PREV_FEMALE*p_recur_MI_F + (1-PREV_FEMALE)*p_recur_MI_M) - T61*p_Stroke - p_toHF_old - H61*rr_MI)*I61 + AV61*(1-(PREV_FEMALE*p_recur_MI_F + (1-PREV_FEMALE)*p_recur_MI_M) - AC61*p_Stroke - p_toHF_old - H61*rr_MI*rr_DM) + AW61*(1-(PREV_FEMALE*p_recur_MI_F + (1-PREV_FEMALE)*p_recur_MI_M) - AC61*p_Stroke - p_toHF_old - H61*rr_MI*rr_DM)</f>
        <v>9.7151202948383056E-7</v>
      </c>
      <c r="AX62">
        <f>AH61*T61*p_Stroke*p_Stroke_rec*I61 + AI61*T61*p_Stroke*p_Stroke_rec*I61 + AJ61*p_recur_Stroke*p_Stroke_rec*I61 + AK61*p_recur_Stroke*p_Stroke_rec*I61 + AL61*p_recur_Stroke*p_Stroke_rec*I61 + AV61*AC61*p_Stroke*p_Stroke_rec + AW61*AC61*p_Stroke*p_Stroke_rec + AX61*p_recur_Stroke*p_Stroke_rec + AY61*p_recur_Stroke*p_Stroke_rec + AZ61*p_recur_Stroke*p_Stroke_rec</f>
        <v>1.2785876901912295E-7</v>
      </c>
      <c r="AY62">
        <f>AF61*T61*p_MI*p_MI_rec_old*I61 + AG61*T61*p_MI*p_MI_rec_old*I61 + AJ61*(PREV_FEMALE*p_recur_MI_F+(1-PREV_FEMALE)*p_recur_MI_M)*p_MI_rec_old*I61 + AK61*(PREV_FEMALE*p_recur_MI_F+(1-PREV_FEMALE)*p_recur_MI_M)*p_MI_rec_old*I61 + AL61*(PREV_FEMALE*p_recur_MI_F+(1-PREV_FEMALE)*p_recur_MI_M)*p_MI_rec_old*I61 + AT61*AC61*p_MI*p_MI_rec_old + AU61*AC61*p_MI*p_MI_rec_old + AX61*(PREV_FEMALE*p_recur_MI_F+(1-PREV_FEMALE)*p_recur_MI_M)*p_MI_rec_old + AY61*(PREV_FEMALE*p_recur_MI_F+(1-PREV_FEMALE)*p_recur_MI_M)*p_MI_rec_old + AZ61*(PREV_FEMALE*p_recur_MI_F+(1-PREV_FEMALE)*p_recur_MI_M)*p_MI_rec_old</f>
        <v>4.2820770232061335E-8</v>
      </c>
      <c r="AZ62">
        <f>AJ61*(1-p_recur_Stroke-(PREV_FEMALE*p_recur_MI_F + (1-PREV_FEMALE)*p_recur_MI_M) - p_toHF_old - H61*rr_MI*rr_Stroke)*I61 + AK61*(1-p_recur_Stroke-(PREV_FEMALE*p_recur_MI_F + (1-PREV_FEMALE)*p_recur_MI_M) - p_toHF_old - H61*rr_MI*rr_Stroke)*I61 + AL61*(1-p_recur_Stroke-(PREV_FEMALE*p_recur_MI_F + (1-PREV_FEMALE)*p_recur_MI_M) - p_toHF_old - H61*rr_MI*rr_Stroke)*I61 + AX61*(1-p_recur_Stroke-(PREV_FEMALE*p_recur_MI_F + (1-PREV_FEMALE)*p_recur_MI_M) - p_toHF_old - H61*rr_MI*rr_Stroke*rr_DM) + AY61*(1-p_recur_Stroke-(PREV_FEMALE*p_recur_MI_F + (1-PREV_FEMALE)*p_recur_MI_M) - p_toHF_old - H61*rr_MI*rr_Stroke*rr_DM) + AZ61*(1-p_recur_Stroke-(PREV_FEMALE*p_recur_MI_F + (1-PREV_FEMALE)*p_recur_MI_M) - p_toHF_old - H61*rr_MI*rr_Stroke*rr_DM)</f>
        <v>-1.3421995737008537E-7</v>
      </c>
      <c r="BA62">
        <f>AR61*AC61*p_MI*p_MI_HF_old + AD61*T61*p_MI*p_MI_HF_old*I61 + AE61*T61*p_MI*p_MI_HF_old*I61 + AH61*p_toHF_old*I61 + AH61*(PREV_FEMALE*p_recur_MI_F + (1-PREV_FEMALE)*p_recur_MI_M)*p_MI_HF_old*I61 + AI61*p_toHF_old*I61 + AI61*(PREV_FEMALE*p_recur_MI_F + (1-PREV_FEMALE)*p_recur_MI_M)*p_MI_HF_old*I61 + AS61*AC61*p_MI*p_MI_HF_old + AV61*(PREV_FEMALE*p_recur_MI_F + (1-PREV_FEMALE)*p_recur_MI_M)*p_MI_HF_old + AV61*p_toHF_old + AW61*(PREV_FEMALE*p_recur_MI_F + (1-PREV_FEMALE)*p_recur_MI_M)*p_MI_HF_old + AW61*p_toHF_old</f>
        <v>1.8447917677795132E-6</v>
      </c>
      <c r="BB62">
        <f>AM61*(1-T61*p_Stroke - H61*rr_HF)*I61 + AN61*(1-T61*p_Stroke - H61*rr_HF)*I61 + BA61*(1-AC61*p_Stroke - H61*rr_HF*rr_DM) + BB61*(1-AC61*p_Stroke - H61*rr_HF*rr_DM)</f>
        <v>1.1848387241274174E-6</v>
      </c>
      <c r="BC62">
        <f>AF61*T61*p_MI*p_MI_HF_old*I61 + AG61*T61*p_MI*p_MI_HF_old*I61 + AJ61*(PREV_FEMALE*p_recur_MI_F + (1-PREV_FEMALE)*p_recur_MI_M)*p_MI_HF_old*I61 + AJ61*p_toHF_old*I61 + AK61*(PREV_FEMALE*p_recur_MI_F + (1-PREV_FEMALE)*p_recur_MI_M)*p_MI_HF_old*I61 + AK61*p_toHF_old*I61 + AL61*(PREV_FEMALE*p_recur_MI_F + (1-PREV_FEMALE)*p_recur_MI_M)*p_MI_HF_old*I61 + AL61*p_toHF_old*I61 + AT61*AC61*p_MI*p_MI_HF_old + AU61*AC61*p_MI*p_MI_HF_old + AX61*(PREV_FEMALE*p_recur_MI_F + (1-PREV_FEMALE)*p_recur_MI_M)*p_MI_HF_old + AX61*p_toHF_old + AY61*(PREV_FEMALE*p_recur_MI_F + (1-PREV_FEMALE)*p_recur_MI_M)*p_MI_HF_old + AY61*p_toHF_old + AZ61*(PREV_FEMALE*p_recur_MI_F + (1-PREV_FEMALE)*p_recur_MI_M)*p_MI_HF_old + AZ61*p_toHF_old</f>
        <v>2.4705323297184811E-8</v>
      </c>
      <c r="BD62">
        <f>AM61*T61*p_Stroke*p_Stroke_rec*I61 + AN61*T61*p_Stroke*p_Stroke_rec*I61 + AO61*(p_recur_Stroke*p_Stroke_rec)*I61 + AP61*(p_recur_Stroke*p_Stroke_rec)*I61 + AQ61*(p_recur_Stroke*p_Stroke_rec)*I61 + BA61*AC61*p_Stroke*p_Stroke_rec + BB61*AC61*p_Stroke*p_Stroke_rec + BC61*(p_recur_Stroke*p_Stroke_rec) + BD61*(p_recur_Stroke*p_Stroke_rec) + BE61*(p_recur_Stroke*p_Stroke_rec)</f>
        <v>1.1172443240879587E-7</v>
      </c>
      <c r="BE62">
        <f>AO61*(1-p_recur_Stroke - H61*rr_Stroke*rr_HF)*I61 + AP61*(1-p_recur_Stroke-H61*rr_Stroke*rr_HF)*I61 + AQ61*(1-p_recur_Stroke-H61*rr_Stroke*rr_HF)*I61 + BC61*(1-p_recur_Stroke - H61*rr_Stroke*rr_HF*rr_DM) + BD61*(1-p_recur_Stroke-H61*rr_Stroke*rr_HF*rr_DM) + BE61*(1-p_recur_Stroke-H61*rr_Stroke*rr_HF*rr_DM)</f>
        <v>-1.309719098926399E-7</v>
      </c>
      <c r="BF62">
        <f>AD61*H61 + AE61*H61*rr_Other + AF61*H61*rr_Stroke + AG61*H61*rr_Stroke + AH61*H61*rr_MI + AI61*H61*rr_MI + AJ61*H61*rr_Stroke*rr_MI + AK61*H61*rr_Stroke*rr_MI + AL61*H61*rr_Stroke*rr_MI + AM61*H61*rr_HF + AN61*H61*rr_HF + AO61*H61*rr_Stroke*rr_HF + AP61*H61*rr_Stroke*rr_HF + AR61*H61*rr_DM + AS61*H61*rr_DM*rr_Other + AT61*H61*rr_DM*rr_Stroke + AU61*H61*rr_DM*rr_Stroke + AV61*H61*rr_DM*rr_MI + AW61*H61*rr_DM*rr_MI + AX61*H61*rr_DM*rr_Stroke*rr_MI + AY61*H61*rr_DM*rr_Stroke*rr_MI + AZ61*H61*rr_DM*rr_Stroke*rr_MI + BA61*H61*rr_DM*rr_HF + BB61*H61*rr_DM*rr_HF + BC61*H61*rr_DM*rr_Stroke*rr_HF + BD61*H61*rr_DM*rr_Stroke*rr_HF + AQ61*H61*rr_Stroke*rr_HF + BE61*H61*rr_DM*rr_Stroke*rr_HF
+ AD61*T61*p_MI*p_MI_mort + AD61*T61*p_Stroke*p_Stroke_mort + AE61*T61*p_MI*p_MI_mort + AE61*T61*p_Stroke*p_Stroke_mort + AF61*T61*p_MI*p_MI_mort + AF61*p_recur_Stroke*p_Stroke_mort + AG61*T61*p_MI*p_MI_mort + AG61*p_recur_Stroke*p_Stroke_mort + AH61*(PREV_FEMALE*p_recur_MI_F + (1-PREV_FEMALE)*p_recur_MI_M)*p_MI_mort + AH61*T61*p_Stroke*p_Stroke_mort + AI61*(PREV_FEMALE*p_recur_MI_F + (1-PREV_FEMALE)*p_recur_MI_M)*p_MI_mort + AI61*T61*p_Stroke*p_Stroke_mort + AJ61*(PREV_FEMALE*p_recur_MI_F + (1-PREV_FEMALE)*p_recur_MI_M)*p_MI_mort + AJ61*p_recur_Stroke*p_Stroke_mort + AK61*(PREV_FEMALE*p_recur_MI_F + (1-PREV_FEMALE)*p_recur_MI_M)*p_MI_mort + AK61*p_recur_Stroke*p_Stroke_mort + AL61*(PREV_FEMALE*p_recur_MI_F + (1-PREV_FEMALE)*p_recur_MI_M)*p_MI_mort + AL61*p_recur_Stroke*p_Stroke_mort + AM61*T61*p_Stroke*p_Stroke_mort + AN61*T61*p_Stroke*p_Stroke_mort + AO61*p_recur_Stroke*p_Stroke_mort + AP61*p_recur_Stroke*p_Stroke_mort + AQ61*p_recur_Stroke*p_Stroke_mort
+ AR61*AC61*p_MI*p_MI_mort + AR61*AC61*p_Stroke*p_Stroke_mort + AS61*AC61*p_MI*p_MI_mort + AS61*AC61*p_Stroke*p_Stroke_mort + AT61*AC61*p_MI*p_MI_mort + AT61*p_recur_Stroke*p_Stroke_mort + AU61*AC61*p_MI*p_MI_mort + AU61*p_recur_Stroke*p_Stroke_mort + AV61*(PREV_FEMALE*p_recur_MI_F + (1-PREV_FEMALE)*p_recur_MI_M)*p_MI_mort + AV61*AC61*p_Stroke*p_Stroke_mort + AW61*(PREV_FEMALE*p_recur_MI_F + (1-PREV_FEMALE)*p_recur_MI_M)*p_MI_mort + AW61*AC61*p_Stroke*p_Stroke_mort + AX61*(PREV_FEMALE*p_recur_MI_F + (1-PREV_FEMALE)*p_recur_MI_M)*p_MI_mort + AX61*p_recur_Stroke*p_Stroke_mort + AY61*(PREV_FEMALE*p_recur_MI_F + (1-PREV_FEMALE)*p_recur_MI_M)*p_MI_mort + AY61*p_recur_Stroke*p_Stroke_mort + AZ61*(PREV_FEMALE*p_recur_MI_F + (1-PREV_FEMALE)*p_recur_MI_M)*p_MI_mort + AZ61*p_recur_Stroke*p_Stroke_mort + BA61*AC61*p_Stroke*p_Stroke_mort + BB61*AC61*p_Stroke*p_Stroke_mort + BC61*p_recur_Stroke*p_Stroke_mort + BD61*p_recur_Stroke*p_Stroke_mort + BE61*p_recur_Stroke*p_Stroke_mort
+BF61</f>
        <v>0.94682098024176509</v>
      </c>
      <c r="BG62">
        <f t="shared" si="50"/>
        <v>0.94700000000000017</v>
      </c>
      <c r="BH62">
        <f>(0.9442 - 0.0007*$B62 - dis_BMI*($C62-21.75))*AD62</f>
        <v>3.4176421021808101E-5</v>
      </c>
      <c r="BI62">
        <f>0.959*(0.9442 - 0.0007*$B62 - dis_BMI*($C62-21.75))*AE62</f>
        <v>2.5768155602145168E-6</v>
      </c>
      <c r="BJ62">
        <f>(0.943*(0.9442 - 0.0007*$B62 - dis_BMI*($C62-21.75)) - 0.19*0.5)*AF62</f>
        <v>5.8953520206674951E-7</v>
      </c>
      <c r="BK62">
        <f>(0.943*(0.9442 - 0.0007*$B62 - dis_BMI*($C62-21.75)))*AG62</f>
        <v>-2.71412178293198E-7</v>
      </c>
      <c r="BL62">
        <f>(0.955*(0.9442 - 0.0007*$B62 - dis_BMI*($C62-21.75)) - 0.15*0.5)*AH62</f>
        <v>4.2995815283631013E-7</v>
      </c>
      <c r="BM62">
        <f>(0.955*(0.9442 - 0.0007*$B62 - dis_BMI*($C62-21.75)))*AI62</f>
        <v>3.1304526270108243E-7</v>
      </c>
      <c r="BN62">
        <f>(0.955*0.943*(0.9442 - 0.0007*$B62 - dis_BMI*($C62-21.75)) - 0.19*0.5)*AJ62</f>
        <v>1.2494021618753714E-8</v>
      </c>
      <c r="BO62">
        <f>(0.955*0.943*(0.9442 - 0.0007*$B62 - dis_BMI*($C62-21.75)) - 0.15*0.5)*AK62</f>
        <v>4.6085533888448259E-9</v>
      </c>
      <c r="BP62">
        <f>(0.955*0.943*(0.9442 - 0.0007*$B62 - dis_BMI*($C62-21.75)))*AL62</f>
        <v>-1.3677001143886887E-8</v>
      </c>
      <c r="BQ62">
        <f>(0.93*(0.9442 - 0.0007*$B62 - dis_BMI*($C62-21.75)))*AM62</f>
        <v>3.0455694401463334E-7</v>
      </c>
      <c r="BR62">
        <f>(0.93*(0.9442 - 0.0007*$B62 - dis_BMI*($C62-21.75)))*AN62</f>
        <v>3.914005798611306E-7</v>
      </c>
      <c r="BS62">
        <f>(0.93*0.943*(0.9442 - 0.0007*$B62 - dis_BMI*($C62-21.75)))*AO62</f>
        <v>2.9243569887919627E-9</v>
      </c>
      <c r="BT62">
        <f>(0.93*0.943*(0.9442 - 0.0007*$B62 - dis_BMI*($C62-21.75))-0.19*0.5)*AP62</f>
        <v>1.1989748492813057E-8</v>
      </c>
      <c r="BU62">
        <f>(0.93*0.943*(0.9442 - 0.0007*$B62 - dis_BMI*($C62-21.75)))*AQ62</f>
        <v>-1.2454231688064055E-8</v>
      </c>
      <c r="BV62">
        <f>0.962*(0.9442 - 0.0007*$B62 - dis_BMI*($C62-21.75))*AR62</f>
        <v>8.8581538389297863E-5</v>
      </c>
      <c r="BW62">
        <f>0.962*0.959*(0.9442 - 0.0007*$B62 - dis_BMI*($C62-21.75))*AS62</f>
        <v>8.5546700762534914E-6</v>
      </c>
      <c r="BX62">
        <f>0.962*(0.943*(0.9442 - 0.0007*$B62 - dis_BMI*($C62-21.75)) - 0.19*0.5)*AT62</f>
        <v>2.6653147344678074E-6</v>
      </c>
      <c r="BY62">
        <f>0.962*(0.943*(0.9442 - 0.0007*$B62 - dis_BMI*($C62-21.75)))*AU62</f>
        <v>-1.6573216505045063E-6</v>
      </c>
      <c r="BZ62">
        <f>0.962*(0.955*(0.9442 - 0.0007*$B62 - dis_BMI*($C62-21.75)) - 0.15*0.5)*AV62</f>
        <v>1.956318381720747E-6</v>
      </c>
      <c r="CA62">
        <f>0.962*(0.955*(0.9442 - 0.0007*$B62 - dis_BMI*($C62-21.75)))*AW62</f>
        <v>7.3504362811717931E-7</v>
      </c>
      <c r="CB62">
        <f>0.962*(0.955*0.943*(0.9442 - 0.0007*$B62 - dis_BMI*($C62-21.75)) - 0.19*0.5)*AX62</f>
        <v>7.9538574341914999E-8</v>
      </c>
      <c r="CC62">
        <f>0.962*(0.955*0.943*(0.9442 - 0.0007*$B62 - dis_BMI*($C62-21.75)) - 0.15*0.5)*AY62</f>
        <v>2.7461880436411173E-8</v>
      </c>
      <c r="CD62">
        <f>0.962*(0.955*0.943*(0.9442 - 0.0007*$B62 - dis_BMI*($C62-21.75)))*AZ62</f>
        <v>-9.5762113813352198E-8</v>
      </c>
      <c r="CE62">
        <f>0.962*(0.93*(0.9442 - 0.0007*$B62 - dis_BMI*($C62-21.75)))*BA62</f>
        <v>1.3592265953637821E-6</v>
      </c>
      <c r="CF62">
        <f>0.962*(0.93*(0.9442 - 0.0007*$B62 - dis_BMI*($C62-21.75)))*BB62</f>
        <v>8.7297890915315339E-7</v>
      </c>
      <c r="CG62">
        <f>0.962*(0.93*0.943*(0.9442 - 0.0007*$B62 - dis_BMI*($C62-21.75)))*BC62</f>
        <v>1.7165116125692112E-8</v>
      </c>
      <c r="CH62">
        <f>0.962*(0.93*0.943*(0.9442 - 0.0007*$B62 - dis_BMI*($C62-21.75))-0.19*0.5)*BD62</f>
        <v>6.7414995329253585E-8</v>
      </c>
      <c r="CI62">
        <f>0.962*(0.93*0.943*(0.9442 - 0.0007*$B62 - dis_BMI*($C62-21.75)))*BE62</f>
        <v>-9.0998527542727015E-8</v>
      </c>
      <c r="CJ62">
        <f t="shared" si="51"/>
        <v>0</v>
      </c>
      <c r="CK62">
        <f t="shared" si="52"/>
        <v>1.4158879498161328E-4</v>
      </c>
      <c r="CL62">
        <f>CK62/(1+r_)^A62</f>
        <v>2.4753272794448185E-5</v>
      </c>
      <c r="CM62">
        <f>AD62*c_BN_2</f>
        <v>8.6940897153310895E-2</v>
      </c>
      <c r="CN62">
        <f>AE62*(c_Other+c_BN_2)</f>
        <v>5.3423584273135281E-2</v>
      </c>
      <c r="CO62">
        <f>AF62*(c_Stroke1+c_Stroke2+c_BN_2)</f>
        <v>2.2411113054609903E-2</v>
      </c>
      <c r="CP62">
        <f>AG62*(c_Stroke2 + c_BN_2)</f>
        <v>-3.0038416023063915E-3</v>
      </c>
      <c r="CQ62">
        <f>AH62*(c_MI1+c_MI2 + c_BN_2)</f>
        <v>1.8882326860880455E-2</v>
      </c>
      <c r="CR62">
        <f>AI62*(c_MI2+c_BN_2)</f>
        <v>2.0745393665333664E-3</v>
      </c>
      <c r="CS62">
        <f>AJ62*(c_Stroke1+c_Stroke2+c_MI2+c_BN_2)</f>
        <v>5.6085055765448455E-4</v>
      </c>
      <c r="CT62">
        <f>AK62*(c_Stroke2+c_MI1+c_MI2+c_BN_2)</f>
        <v>2.6093650041977395E-4</v>
      </c>
      <c r="CU62">
        <f>AL62*(c_Stroke2+c_MI2+c_BN_2)</f>
        <v>-2.1598340898407279E-4</v>
      </c>
      <c r="CV62">
        <f>AM62*(c_HF1+c_BN_2)</f>
        <v>1.1581505039099839E-2</v>
      </c>
      <c r="CW62">
        <f>AN62*(c_HF2+c_BN_2)</f>
        <v>9.0453482384999888E-3</v>
      </c>
      <c r="CX62">
        <f>AO62*(c_Stroke2+c_HF1+c_BN_2)</f>
        <v>1.4424611610379075E-4</v>
      </c>
      <c r="CY62">
        <f>AP62*(c_Stroke1+c_Stroke2+c_HF2+c_BN_2)</f>
        <v>7.9358289173529187E-4</v>
      </c>
      <c r="CZ62">
        <f>AQ62*(c_Stroke2+c_HF2+c_BN_2)</f>
        <v>-4.1730268049460558E-4</v>
      </c>
      <c r="DA62">
        <f>AR62*(c_DM+c_BN_2)</f>
        <v>1.5116747079928714</v>
      </c>
      <c r="DB62">
        <f>AS62*(c_Other+c_DM+c_BN_2)</f>
        <v>0.31300571579306263</v>
      </c>
      <c r="DC62">
        <f>AT62*(c_Stroke1+c_Stroke2+c_DM+c_BN_2)</f>
        <v>0.15176468524633574</v>
      </c>
      <c r="DD62">
        <f>AU62*(c_Stroke2+c_DM+c_BN_2)</f>
        <v>-4.4411722870603715E-2</v>
      </c>
      <c r="DE62">
        <f>AV62*(c_MI1+c_MI2+c_DM+c_BN_2)</f>
        <v>0.12196414584426443</v>
      </c>
      <c r="DF62">
        <f>AW62*(c_MI2+c_DM+c_BN_2)</f>
        <v>1.6163045634522488E-2</v>
      </c>
      <c r="DG62">
        <f>AX62*(c_Stroke1+c_Stroke2+c_MI2+c_DM+c_BN_2)</f>
        <v>5.1722707831305809E-3</v>
      </c>
      <c r="DH62">
        <f>AY62*(c_Stroke2+c_MI1+c_MI2+c_DM+c_BN_2)</f>
        <v>2.1055400930806881E-3</v>
      </c>
      <c r="DI62">
        <f>AZ62*(c_Stroke2+c_MI2+c_DM+c_BN_2)</f>
        <v>-3.1054471536716651E-3</v>
      </c>
      <c r="DJ62">
        <f>BA62*(c_HF1+c_DM+c_BN_2)</f>
        <v>7.4806306183459265E-2</v>
      </c>
      <c r="DK62">
        <f>BB62*(c_HF2+c_DM+c_BN_2)</f>
        <v>3.4508427840211034E-2</v>
      </c>
      <c r="DL62">
        <f>BC62*(c_Stroke2+c_HF1+c_DM+c_BN_2)</f>
        <v>1.1623854611325453E-3</v>
      </c>
      <c r="DM62">
        <f>BD62*(c_Stroke1+c_Stroke2+c_HF2+c_DM+c_BN_2)</f>
        <v>5.9148031761540624E-3</v>
      </c>
      <c r="DN62">
        <f>BE62*(c_Stroke2+c_HF2+c_DM+c_BN_2)</f>
        <v>-4.6658742899252969E-3</v>
      </c>
      <c r="DO62">
        <f t="shared" si="53"/>
        <v>0</v>
      </c>
      <c r="DP62">
        <f t="shared" si="54"/>
        <v>2.3885407920942225</v>
      </c>
      <c r="DQ62">
        <f>DP62/(1+r_)^A62</f>
        <v>0.41757684155058672</v>
      </c>
    </row>
    <row r="63" spans="1:121" x14ac:dyDescent="0.3">
      <c r="A63">
        <v>60</v>
      </c>
      <c r="B63">
        <v>105</v>
      </c>
      <c r="C63">
        <f t="shared" si="39"/>
        <v>36.251999999999995</v>
      </c>
      <c r="D63">
        <f t="shared" si="1"/>
        <v>125</v>
      </c>
      <c r="E63">
        <f t="shared" si="41"/>
        <v>5.7</v>
      </c>
      <c r="F63">
        <v>0.42858000000000002</v>
      </c>
      <c r="G63">
        <v>0.46333000000000002</v>
      </c>
      <c r="H63">
        <f t="shared" si="42"/>
        <v>0.43553000000000003</v>
      </c>
      <c r="I63">
        <f t="shared" si="43"/>
        <v>4.7655426853004217E-2</v>
      </c>
      <c r="J63">
        <f t="shared" si="21"/>
        <v>0.56437276702112482</v>
      </c>
      <c r="K63">
        <f t="shared" si="22"/>
        <v>0.68769157815491511</v>
      </c>
      <c r="L63">
        <f t="shared" si="23"/>
        <v>0.32522735501955669</v>
      </c>
      <c r="M63">
        <f t="shared" si="24"/>
        <v>0.42358336540136998</v>
      </c>
      <c r="N63">
        <f t="shared" si="25"/>
        <v>0.92072440725116578</v>
      </c>
      <c r="O63">
        <f t="shared" si="26"/>
        <v>0.97217108296908106</v>
      </c>
      <c r="P63">
        <f t="shared" si="27"/>
        <v>0.71259280346574849</v>
      </c>
      <c r="Q63">
        <f t="shared" si="28"/>
        <v>0.82826328084382528</v>
      </c>
      <c r="R63">
        <f>IF(C63&lt;25, HT_f_low, IF(C63&lt;30, HT_f_mod, HT_f_high))</f>
        <v>0.42</v>
      </c>
      <c r="S63">
        <f>IF(C63&lt;25, HT_m_low, IF(C63&lt;30, HT_m_mod, HT_m_high))</f>
        <v>0.43099999999999999</v>
      </c>
      <c r="T63">
        <f>PREV_FEMALE*PREV_SMOKE*(1-$R63)*(1-EXP(-J63/10))+PREV_FEMALE*PREV_SMOKE*$R63*(1-EXP(-K63/10))+PREV_FEMALE*(1-PREV_SMOKE)*(1-$R63)*(1-EXP(-L63/10))+PREV_FEMALE*(1-PREV_SMOKE)*$R63*(1-EXP(-M63/10))+(1-PREV_FEMALE)*PREV_SMOKE*(1-$S63)*(1-EXP(-N63/10))+(1-PREV_FEMALE)*PREV_SMOKE*$S63*(1-EXP(-O63/10))+(1-PREV_FEMALE)*(1-PREV_SMOKE)*(1-$S63)*(1-EXP(-P63/10))+(1-PREV_FEMALE)*(1-PREV_SMOKE)*$S63*(1-EXP(-Q63/10))</f>
        <v>4.625267619929644E-2</v>
      </c>
      <c r="U63">
        <f t="shared" si="29"/>
        <v>0.8360909146280957</v>
      </c>
      <c r="V63">
        <f t="shared" si="30"/>
        <v>0.92055651211328682</v>
      </c>
      <c r="W63">
        <f t="shared" si="31"/>
        <v>0.57519073477032556</v>
      </c>
      <c r="X63">
        <f t="shared" si="32"/>
        <v>0.69849892048402817</v>
      </c>
      <c r="Y63">
        <f t="shared" si="33"/>
        <v>0.98661193936584668</v>
      </c>
      <c r="Z63">
        <f t="shared" si="34"/>
        <v>0.99774538277393321</v>
      </c>
      <c r="AA63">
        <f t="shared" si="35"/>
        <v>0.88017401623677949</v>
      </c>
      <c r="AB63">
        <f t="shared" si="36"/>
        <v>0.95011123243903606</v>
      </c>
      <c r="AC63">
        <f>PREV_FEMALE*PREV_SMOKE*(1-$R63)*(1-EXP(-U63/10))+PREV_FEMALE*PREV_SMOKE*$R63*(1-EXP(-V63/10))+PREV_FEMALE*(1-PREV_SMOKE)*(1-$R63)*(1-EXP(-W63/10))+PREV_FEMALE*(1-PREV_SMOKE)*$R63*(1-EXP(-X63/10))+(1-PREV_FEMALE)*PREV_SMOKE*(1-$S63)*(1-EXP(-Y63/10))+(1-PREV_FEMALE)*PREV_SMOKE*$S63*(1-EXP(-Z63/10))+(1-PREV_FEMALE)*(1-PREV_SMOKE)*(1-$S63)*(1-EXP(-AA63/10))+(1-PREV_FEMALE)*(1-PREV_SMOKE)*$S63*(1-EXP(-AB63/10))</f>
        <v>6.8460371150691104E-2</v>
      </c>
      <c r="AD63">
        <f t="shared" si="44"/>
        <v>2.1321535766442931E-5</v>
      </c>
      <c r="AE63">
        <f t="shared" si="45"/>
        <v>1.5822407249672733E-6</v>
      </c>
      <c r="AF63">
        <f t="shared" si="46"/>
        <v>4.6451411667824689E-7</v>
      </c>
      <c r="AG63">
        <f t="shared" si="47"/>
        <v>-2.1059570382339085E-7</v>
      </c>
      <c r="AH63">
        <f>AD62*T62*p_MI*p_MI_rec_old*(1-I62)+AE62*T62*p_MI*p_MI_rec_old*(1-I62) + AH62*(PREV_FEMALE*p_recur_MI_F + (1-PREV_FEMALE)*p_recur_MI_M)*p_MI_rec_old*(1-I62) + AI62*(PREV_FEMALE*p_recur_MI_F + (1-PREV_FEMALE)*p_recur_MI_M)*p_MI_rec_old*(1-I62)</f>
        <v>3.24268446428646E-7</v>
      </c>
      <c r="AI63">
        <f>AH62*(1-(PREV_FEMALE*p_recur_MI_F + (1-PREV_FEMALE)*p_recur_MI_M) - T62*p_Stroke - p_toHF_old - H62*rr_MI)*(1-I62) + AI62*(1-(PREV_FEMALE*p_recur_MI_F + (1-PREV_FEMALE)*p_recur_MI_M) - T62*p_Stroke - p_toHF_old - H62*rr_MI)*(1-I62)</f>
        <v>1.7154300069334331E-7</v>
      </c>
      <c r="AJ63">
        <f t="shared" si="48"/>
        <v>1.0007548957370722E-8</v>
      </c>
      <c r="AK63">
        <f>AF62*T62*p_MI*p_MI_rec_old*(1-I62) + AG62*T62*p_MI*p_MI_rec_old*(1-I62) + AJ62*(PREV_FEMALE*p_recur_MI_F + (1-PREV_FEMALE)*p_recur_MI_M)*p_MI_rec_old*(1-I62) + AK62*(PREV_FEMALE*p_recur_MI_F + (1-PREV_FEMALE)*p_recur_MI_M)*p_MI_rec_old*(1-I62) + AL62*(PREV_FEMALE*p_recur_MI_F + (1-PREV_FEMALE)*p_recur_MI_M)*p_MI_rec_old*(1-I62)</f>
        <v>3.5614825054216804E-9</v>
      </c>
      <c r="AL63">
        <f>AJ62*(1-p_recur_Stroke-(PREV_FEMALE*p_recur_MI_F + (1-PREV_FEMALE)*p_recur_MI_M) - p_toHF_old - H62*rr_MI*rr_Stroke)*(1-I62) + AK62*(1-p_recur_Stroke-(PREV_FEMALE*p_recur_MI_F + (1-PREV_FEMALE)*p_recur_MI_M) - p_toHF_old - H62*rr_MI*rr_Stroke)*(1-I62) + AL62*(1-p_recur_Stroke-(PREV_FEMALE*p_recur_MI_F + (1-PREV_FEMALE)*p_recur_MI_M) - p_toHF_old - H62*rr_MI*rr_Stroke)*(1-I62)</f>
        <v>-9.8447873941658603E-9</v>
      </c>
      <c r="AM63">
        <f>AD62*T62*p_MI*p_MI_HF_old*(1-I62) + AE62*T62*p_MI*p_MI_HF_old*(1-I62) + AH62*p_toHF_old*(1-I62) + AH62*(PREV_FEMALE*p_recur_MI_F + (1-PREV_FEMALE)*p_recur_MI_M)*p_MI_HF_old*(1-I62) + AI62*p_toHF_old*(1-I62) + AI62*(PREV_FEMALE*p_recur_MI_F + (1-PREV_FEMALE)*p_recur_MI_M)*p_MI_HF_old*(1-I62)</f>
        <v>2.0965434230711649E-7</v>
      </c>
      <c r="AN63">
        <f t="shared" si="49"/>
        <v>2.0267325077321338E-7</v>
      </c>
      <c r="AO63">
        <f>AF62*T62*p_MI*p_MI_HF_old*(1-I62) + AG62*T62*p_MI*p_MI_HF_old*(1-I62) + AJ62*(PREV_FEMALE*p_recur_MI_F + (1-PREV_FEMALE)*p_recur_MI_M)*p_MI_HF_old*(1-I62) + AJ62*p_toHF_old*(1-I62) + AK62*(PREV_FEMALE*p_recur_MI_F + (1-PREV_FEMALE)*p_recur_MI_M)*p_MI_HF_old*(1-I62) + AK62*p_toHF_old*(1-I62) + AL62*(PREV_FEMALE*p_recur_MI_F + (1-PREV_FEMALE)*p_recur_MI_M)*p_MI_HF_old*(1-I62) + AL62*p_toHF_old*(1-I62)</f>
        <v>2.0576345053520879E-9</v>
      </c>
      <c r="AP63">
        <f>AM62*T62*p_Stroke*p_Stroke_rec*(1-I62) + AN62*T62*p_Stroke*p_Stroke_rec*(1-I62) + AO62*(p_recur_Stroke*p_Stroke_rec)*(1-I62) + AP62*(p_recur_Stroke*p_Stroke_rec)*(1-I62) + AQ62*(p_recur_Stroke*p_Stroke_rec)*(1-I62)</f>
        <v>8.9521283302198551E-9</v>
      </c>
      <c r="AQ63">
        <f>AO62*(1-p_recur_Stroke-H62*rr_Stroke*rr_HF)*(1-I62) + AP62*(1-p_recur_Stroke-H62*rr_Stroke*rr_HF)*(1-I62) + AQ62*(1-p_recur_Stroke-H62*rr_Stroke*rr_HF)*(1-I62)</f>
        <v>-8.368056089490474E-9</v>
      </c>
      <c r="AR63">
        <f>AR62*(1-AC62-H62*rr_DM) + AD62*(1-T62-H62)*I62</f>
        <v>5.1946691062957788E-5</v>
      </c>
      <c r="AS63">
        <f>AR62*AC62*p_Other + AD62*T62*p_Other*I62 + AE62*(1-T62*p_Stroke-T62*p_MI-H62*rr_Other)*I62 + AS62*(1-AC62*p_Stroke-AC62*p_MI-H62*rr_Other*rr_DM)</f>
        <v>4.9470407175968588E-6</v>
      </c>
      <c r="AT63">
        <f>AR62*AC62*p_Stroke*p_Stroke_rec + AD62*T62*p_Stroke*p_Stroke_rec*I62 + AE62*T62*p_Stroke*p_Stroke_rec*I62 + AF62*p_recur_Stroke*p_Stroke_rec*I62 + AG62*p_recur_Stroke*p_Stroke_rec*I62 + AS62*AC62*p_Stroke*p_Stroke_rec + AT62*p_recur_Stroke*p_Stroke_rec + AU62*p_recur_Stroke*p_Stroke_rec</f>
        <v>1.9893939756606427E-6</v>
      </c>
      <c r="AU63">
        <f>AF62*(1-p_recur_Stroke-T62*p_MI-H62*rr_Stroke)*I62 + AG62*(1-p_recur_Stroke-T62*p_MI-H62*rr_Stroke)*I62 + AT62*(1-p_recur_Stroke-AC62*p_MI-H62*rr_Stroke*rr_DM) + AU62*(1-p_recur_Stroke-AC62*p_MI-H62*rr_Stroke*rr_DM)</f>
        <v>-1.1715091100882457E-6</v>
      </c>
      <c r="AV63">
        <f>AR62*AC62*p_MI*p_MI_rec_old + AD62*T62*p_MI*p_MI_rec_old*I62 + AE62*T62*p_MI*p_MI_rec_old*I62 +AH62*(PREV_FEMALE*p_recur_MI_F + (1-PREV_FEMALE)*p_recur_MI_M)*p_MI_rec_old*I62 + AI62*(PREV_FEMALE*p_recur_MI_F + (1-PREV_FEMALE)*p_recur_MI_M)*p_MI_rec_old*I62 + AS62*AC62*p_MI*p_MI_rec_old + AV62*(PREV_FEMALE*p_recur_MI_F + (1-PREV_FEMALE)*p_recur_MI_M)*p_MI_rec_old + AW62*(PREV_FEMALE*p_recur_MI_F + (1-PREV_FEMALE)*p_recur_MI_M)*p_MI_rec_old</f>
        <v>1.3958868262462154E-6</v>
      </c>
      <c r="AW63">
        <f>AH62*(1-(PREV_FEMALE*p_recur_MI_F + (1-PREV_FEMALE)*p_recur_MI_M) - T62*p_Stroke - p_toHF_old - H62*rr_MI)*I62 + AI62*(1-(PREV_FEMALE*p_recur_MI_F + (1-PREV_FEMALE)*p_recur_MI_M) - T62*p_Stroke - p_toHF_old - H62*rr_MI)*I62 + AV62*(1-(PREV_FEMALE*p_recur_MI_F + (1-PREV_FEMALE)*p_recur_MI_M) - AC62*p_Stroke - p_toHF_old - H62*rr_MI*rr_DM) + AW62*(1-(PREV_FEMALE*p_recur_MI_F + (1-PREV_FEMALE)*p_recur_MI_M) - AC62*p_Stroke - p_toHF_old - H62*rr_MI*rr_DM)</f>
        <v>3.0057989982525813E-7</v>
      </c>
      <c r="AX63">
        <f>AH62*T62*p_Stroke*p_Stroke_rec*I62 + AI62*T62*p_Stroke*p_Stroke_rec*I62 + AJ62*p_recur_Stroke*p_Stroke_rec*I62 + AK62*p_recur_Stroke*p_Stroke_rec*I62 + AL62*p_recur_Stroke*p_Stroke_rec*I62 + AV62*AC62*p_Stroke*p_Stroke_rec + AW62*AC62*p_Stroke*p_Stroke_rec + AX62*p_recur_Stroke*p_Stroke_rec + AY62*p_recur_Stroke*p_Stroke_rec + AZ62*p_recur_Stroke*p_Stroke_rec</f>
        <v>5.9366136531885704E-8</v>
      </c>
      <c r="AY63">
        <f>AF62*T62*p_MI*p_MI_rec_old*I62 + AG62*T62*p_MI*p_MI_rec_old*I62 + AJ62*(PREV_FEMALE*p_recur_MI_F+(1-PREV_FEMALE)*p_recur_MI_M)*p_MI_rec_old*I62 + AK62*(PREV_FEMALE*p_recur_MI_F+(1-PREV_FEMALE)*p_recur_MI_M)*p_MI_rec_old*I62 + AL62*(PREV_FEMALE*p_recur_MI_F+(1-PREV_FEMALE)*p_recur_MI_M)*p_MI_rec_old*I62 + AT62*AC62*p_MI*p_MI_rec_old + AU62*AC62*p_MI*p_MI_rec_old + AX62*(PREV_FEMALE*p_recur_MI_F+(1-PREV_FEMALE)*p_recur_MI_M)*p_MI_rec_old + AY62*(PREV_FEMALE*p_recur_MI_F+(1-PREV_FEMALE)*p_recur_MI_M)*p_MI_rec_old + AZ62*(PREV_FEMALE*p_recur_MI_F+(1-PREV_FEMALE)*p_recur_MI_M)*p_MI_rec_old</f>
        <v>1.9863256616569393E-8</v>
      </c>
      <c r="AZ63">
        <f>AJ62*(1-p_recur_Stroke-(PREV_FEMALE*p_recur_MI_F + (1-PREV_FEMALE)*p_recur_MI_M) - p_toHF_old - H62*rr_MI*rr_Stroke)*I62 + AK62*(1-p_recur_Stroke-(PREV_FEMALE*p_recur_MI_F + (1-PREV_FEMALE)*p_recur_MI_M) - p_toHF_old - H62*rr_MI*rr_Stroke)*I62 + AL62*(1-p_recur_Stroke-(PREV_FEMALE*p_recur_MI_F + (1-PREV_FEMALE)*p_recur_MI_M) - p_toHF_old - H62*rr_MI*rr_Stroke)*I62 + AX62*(1-p_recur_Stroke-(PREV_FEMALE*p_recur_MI_F + (1-PREV_FEMALE)*p_recur_MI_M) - p_toHF_old - H62*rr_MI*rr_Stroke*rr_DM) + AY62*(1-p_recur_Stroke-(PREV_FEMALE*p_recur_MI_F + (1-PREV_FEMALE)*p_recur_MI_M) - p_toHF_old - H62*rr_MI*rr_Stroke*rr_DM) + AZ62*(1-p_recur_Stroke-(PREV_FEMALE*p_recur_MI_F + (1-PREV_FEMALE)*p_recur_MI_M) - p_toHF_old - H62*rr_MI*rr_Stroke*rr_DM)</f>
        <v>-6.0082389767098028E-8</v>
      </c>
      <c r="BA63">
        <f>AR62*AC62*p_MI*p_MI_HF_old + AD62*T62*p_MI*p_MI_HF_old*I62 + AE62*T62*p_MI*p_MI_HF_old*I62 + AH62*p_toHF_old*I62 + AH62*(PREV_FEMALE*p_recur_MI_F + (1-PREV_FEMALE)*p_recur_MI_M)*p_MI_HF_old*I62 + AI62*p_toHF_old*I62 + AI62*(PREV_FEMALE*p_recur_MI_F + (1-PREV_FEMALE)*p_recur_MI_M)*p_MI_HF_old*I62 + AS62*AC62*p_MI*p_MI_HF_old + AV62*(PREV_FEMALE*p_recur_MI_F + (1-PREV_FEMALE)*p_recur_MI_M)*p_MI_HF_old + AV62*p_toHF_old + AW62*(PREV_FEMALE*p_recur_MI_F + (1-PREV_FEMALE)*p_recur_MI_M)*p_MI_HF_old + AW62*p_toHF_old</f>
        <v>8.8397131150365536E-7</v>
      </c>
      <c r="BB63">
        <f>AM62*(1-T62*p_Stroke - H62*rr_HF)*I62 + AN62*(1-T62*p_Stroke - H62*rr_HF)*I62 + BA62*(1-AC62*p_Stroke - H62*rr_HF*rr_DM) + BB62*(1-AC62*p_Stroke - H62*rr_HF*rr_DM)</f>
        <v>3.6096833571009533E-7</v>
      </c>
      <c r="BC63">
        <f>AF62*T62*p_MI*p_MI_HF_old*I62 + AG62*T62*p_MI*p_MI_HF_old*I62 + AJ62*(PREV_FEMALE*p_recur_MI_F + (1-PREV_FEMALE)*p_recur_MI_M)*p_MI_HF_old*I62 + AJ62*p_toHF_old*I62 + AK62*(PREV_FEMALE*p_recur_MI_F + (1-PREV_FEMALE)*p_recur_MI_M)*p_MI_HF_old*I62 + AK62*p_toHF_old*I62 + AL62*(PREV_FEMALE*p_recur_MI_F + (1-PREV_FEMALE)*p_recur_MI_M)*p_MI_HF_old*I62 + AL62*p_toHF_old*I62 + AT62*AC62*p_MI*p_MI_HF_old + AU62*AC62*p_MI*p_MI_HF_old + AX62*(PREV_FEMALE*p_recur_MI_F + (1-PREV_FEMALE)*p_recur_MI_M)*p_MI_HF_old + AX62*p_toHF_old + AY62*(PREV_FEMALE*p_recur_MI_F + (1-PREV_FEMALE)*p_recur_MI_M)*p_MI_HF_old + AY62*p_toHF_old + AZ62*(PREV_FEMALE*p_recur_MI_F + (1-PREV_FEMALE)*p_recur_MI_M)*p_MI_HF_old + AZ62*p_toHF_old</f>
        <v>1.111112746919743E-8</v>
      </c>
      <c r="BD63">
        <f>AM62*T62*p_Stroke*p_Stroke_rec*I62 + AN62*T62*p_Stroke*p_Stroke_rec*I62 + AO62*(p_recur_Stroke*p_Stroke_rec)*I62 + AP62*(p_recur_Stroke*p_Stroke_rec)*I62 + AQ62*(p_recur_Stroke*p_Stroke_rec)*I62 + BA62*AC62*p_Stroke*p_Stroke_rec + BB62*AC62*p_Stroke*p_Stroke_rec + BC62*(p_recur_Stroke*p_Stroke_rec) + BD62*(p_recur_Stroke*p_Stroke_rec) + BE62*(p_recur_Stroke*p_Stroke_rec)</f>
        <v>4.4433323661894579E-8</v>
      </c>
      <c r="BE63">
        <f>AO62*(1-p_recur_Stroke - H62*rr_Stroke*rr_HF)*I62 + AP62*(1-p_recur_Stroke-H62*rr_Stroke*rr_HF)*I62 + AQ62*(1-p_recur_Stroke-H62*rr_Stroke*rr_HF)*I62 + BC62*(1-p_recur_Stroke - H62*rr_Stroke*rr_HF*rr_DM) + BD62*(1-p_recur_Stroke-H62*rr_Stroke*rr_HF*rr_DM) + BE62*(1-p_recur_Stroke-H62*rr_Stroke*rr_HF*rr_DM)</f>
        <v>-1.0454807463881258E-8</v>
      </c>
      <c r="BF63">
        <f>AD62*H62 + AE62*H62*rr_Other + AF62*H62*rr_Stroke + AG62*H62*rr_Stroke + AH62*H62*rr_MI + AI62*H62*rr_MI + AJ62*H62*rr_Stroke*rr_MI + AK62*H62*rr_Stroke*rr_MI + AL62*H62*rr_Stroke*rr_MI + AM62*H62*rr_HF + AN62*H62*rr_HF + AO62*H62*rr_Stroke*rr_HF + AP62*H62*rr_Stroke*rr_HF + AR62*H62*rr_DM + AS62*H62*rr_DM*rr_Other + AT62*H62*rr_DM*rr_Stroke + AU62*H62*rr_DM*rr_Stroke + AV62*H62*rr_DM*rr_MI + AW62*H62*rr_DM*rr_MI + AX62*H62*rr_DM*rr_Stroke*rr_MI + AY62*H62*rr_DM*rr_Stroke*rr_MI + AZ62*H62*rr_DM*rr_Stroke*rr_MI + BA62*H62*rr_DM*rr_HF + BB62*H62*rr_DM*rr_HF + BC62*H62*rr_DM*rr_Stroke*rr_HF + BD62*H62*rr_DM*rr_Stroke*rr_HF + AQ62*H62*rr_Stroke*rr_HF + BE62*H62*rr_DM*rr_Stroke*rr_HF
+ AD62*T62*p_MI*p_MI_mort + AD62*T62*p_Stroke*p_Stroke_mort + AE62*T62*p_MI*p_MI_mort + AE62*T62*p_Stroke*p_Stroke_mort + AF62*T62*p_MI*p_MI_mort + AF62*p_recur_Stroke*p_Stroke_mort + AG62*T62*p_MI*p_MI_mort + AG62*p_recur_Stroke*p_Stroke_mort + AH62*(PREV_FEMALE*p_recur_MI_F + (1-PREV_FEMALE)*p_recur_MI_M)*p_MI_mort + AH62*T62*p_Stroke*p_Stroke_mort + AI62*(PREV_FEMALE*p_recur_MI_F + (1-PREV_FEMALE)*p_recur_MI_M)*p_MI_mort + AI62*T62*p_Stroke*p_Stroke_mort + AJ62*(PREV_FEMALE*p_recur_MI_F + (1-PREV_FEMALE)*p_recur_MI_M)*p_MI_mort + AJ62*p_recur_Stroke*p_Stroke_mort + AK62*(PREV_FEMALE*p_recur_MI_F + (1-PREV_FEMALE)*p_recur_MI_M)*p_MI_mort + AK62*p_recur_Stroke*p_Stroke_mort + AL62*(PREV_FEMALE*p_recur_MI_F + (1-PREV_FEMALE)*p_recur_MI_M)*p_MI_mort + AL62*p_recur_Stroke*p_Stroke_mort + AM62*T62*p_Stroke*p_Stroke_mort + AN62*T62*p_Stroke*p_Stroke_mort + AO62*p_recur_Stroke*p_Stroke_mort + AP62*p_recur_Stroke*p_Stroke_mort + AQ62*p_recur_Stroke*p_Stroke_mort
+ AR62*AC62*p_MI*p_MI_mort + AR62*AC62*p_Stroke*p_Stroke_mort + AS62*AC62*p_MI*p_MI_mort + AS62*AC62*p_Stroke*p_Stroke_mort + AT62*AC62*p_MI*p_MI_mort + AT62*p_recur_Stroke*p_Stroke_mort + AU62*AC62*p_MI*p_MI_mort + AU62*p_recur_Stroke*p_Stroke_mort + AV62*(PREV_FEMALE*p_recur_MI_F + (1-PREV_FEMALE)*p_recur_MI_M)*p_MI_mort + AV62*AC62*p_Stroke*p_Stroke_mort + AW62*(PREV_FEMALE*p_recur_MI_F + (1-PREV_FEMALE)*p_recur_MI_M)*p_MI_mort + AW62*AC62*p_Stroke*p_Stroke_mort + AX62*(PREV_FEMALE*p_recur_MI_F + (1-PREV_FEMALE)*p_recur_MI_M)*p_MI_mort + AX62*p_recur_Stroke*p_Stroke_mort + AY62*(PREV_FEMALE*p_recur_MI_F + (1-PREV_FEMALE)*p_recur_MI_M)*p_MI_mort + AY62*p_recur_Stroke*p_Stroke_mort + AZ62*(PREV_FEMALE*p_recur_MI_F + (1-PREV_FEMALE)*p_recur_MI_M)*p_MI_mort + AZ62*p_recur_Stroke*p_Stroke_mort + BA62*AC62*p_Stroke*p_Stroke_mort + BB62*AC62*p_Stroke*p_Stroke_mort + BC62*p_recur_Stroke*p_Stroke_mort + BD62*p_recur_Stroke*p_Stroke_mort + BE62*p_recur_Stroke*p_Stroke_mort
+BF62</f>
        <v>0.94691521054043848</v>
      </c>
      <c r="BG63">
        <f t="shared" si="50"/>
        <v>0.94700000000000017</v>
      </c>
      <c r="BH63">
        <f>(0.9442 - 0.0007*$B63 - dis_BMI*($C63-21.75))*AD63</f>
        <v>1.7544284983281507E-5</v>
      </c>
      <c r="BI63">
        <f>0.959*(0.9442 - 0.0007*$B63 - dis_BMI*($C63-21.75))*AE63</f>
        <v>1.2485569479027639E-6</v>
      </c>
      <c r="BJ63">
        <f>(0.943*(0.9442 - 0.0007*$B63 - dis_BMI*($C63-21.75)) - 0.19*0.5)*AF63</f>
        <v>3.1630685864950697E-7</v>
      </c>
      <c r="BK63">
        <f>(0.943*(0.9442 - 0.0007*$B63 - dis_BMI*($C63-21.75)))*AG63</f>
        <v>-1.6340990971674432E-7</v>
      </c>
      <c r="BL63">
        <f>(0.955*(0.9442 - 0.0007*$B63 - dis_BMI*($C63-21.75)) - 0.15*0.5)*AH63</f>
        <v>2.3049502069617357E-7</v>
      </c>
      <c r="BM63">
        <f>(0.955*(0.9442 - 0.0007*$B63 - dis_BMI*($C63-21.75)))*AI63</f>
        <v>1.3480113976956087E-7</v>
      </c>
      <c r="BN63">
        <f>(0.955*0.943*(0.9442 - 0.0007*$B63 - dis_BMI*($C63-21.75)) - 0.19*0.5)*AJ63</f>
        <v>6.4651164725937322E-9</v>
      </c>
      <c r="BO63">
        <f>(0.955*0.943*(0.9442 - 0.0007*$B63 - dis_BMI*($C63-21.75)) - 0.15*0.5)*AK63</f>
        <v>2.3720327049560966E-9</v>
      </c>
      <c r="BP63">
        <f>(0.955*0.943*(0.9442 - 0.0007*$B63 - dis_BMI*($C63-21.75)))*AL63</f>
        <v>-7.2952234043807256E-9</v>
      </c>
      <c r="BQ63">
        <f>(0.93*(0.9442 - 0.0007*$B63 - dis_BMI*($C63-21.75)))*AM63</f>
        <v>1.6043680341933898E-7</v>
      </c>
      <c r="BR63">
        <f>(0.93*(0.9442 - 0.0007*$B63 - dis_BMI*($C63-21.75)))*AN63</f>
        <v>1.5509456248241369E-7</v>
      </c>
      <c r="BS63">
        <f>(0.93*0.943*(0.9442 - 0.0007*$B63 - dis_BMI*($C63-21.75)))*AO63</f>
        <v>1.4848413916335355E-9</v>
      </c>
      <c r="BT63">
        <f>(0.93*0.943*(0.9442 - 0.0007*$B63 - dis_BMI*($C63-21.75))-0.19*0.5)*AP63</f>
        <v>5.609631294472063E-9</v>
      </c>
      <c r="BU63">
        <f>(0.93*0.943*(0.9442 - 0.0007*$B63 - dis_BMI*($C63-21.75)))*AQ63</f>
        <v>-6.0386021020095593E-9</v>
      </c>
      <c r="BV63">
        <f>0.962*(0.9442 - 0.0007*$B63 - dis_BMI*($C63-21.75))*AR63</f>
        <v>4.1119720201060035E-5</v>
      </c>
      <c r="BW63">
        <f>0.962*0.959*(0.9442 - 0.0007*$B63 - dis_BMI*($C63-21.75))*AS63</f>
        <v>3.7554013163040181E-6</v>
      </c>
      <c r="BX63">
        <f>0.962*(0.943*(0.9442 - 0.0007*$B63 - dis_BMI*($C63-21.75)) - 0.19*0.5)*AT63</f>
        <v>1.3031834703800639E-6</v>
      </c>
      <c r="BY63">
        <f>0.962*(0.943*(0.9442 - 0.0007*$B63 - dis_BMI*($C63-21.75)))*AU63</f>
        <v>-8.744794839008394E-7</v>
      </c>
      <c r="BZ63">
        <f>0.962*(0.955*(0.9442 - 0.0007*$B63 - dis_BMI*($C63-21.75)) - 0.15*0.5)*AV63</f>
        <v>9.5451363746194948E-7</v>
      </c>
      <c r="CA63">
        <f>0.962*(0.955*(0.9442 - 0.0007*$B63 - dis_BMI*($C63-21.75)))*AW63</f>
        <v>2.272247158634652E-7</v>
      </c>
      <c r="CB63">
        <f>0.962*(0.955*0.943*(0.9442 - 0.0007*$B63 - dis_BMI*($C63-21.75)) - 0.19*0.5)*AX63</f>
        <v>3.689457301338052E-8</v>
      </c>
      <c r="CC63">
        <f>0.962*(0.955*0.943*(0.9442 - 0.0007*$B63 - dis_BMI*($C63-21.75)) - 0.15*0.5)*AY63</f>
        <v>1.2726687571319948E-8</v>
      </c>
      <c r="CD63">
        <f>0.962*(0.955*0.943*(0.9442 - 0.0007*$B63 - dis_BMI*($C63-21.75)))*AZ63</f>
        <v>-4.2830636133511244E-8</v>
      </c>
      <c r="CE63">
        <f>0.962*(0.93*(0.9442 - 0.0007*$B63 - dis_BMI*($C63-21.75)))*BA63</f>
        <v>6.5074880793059708E-7</v>
      </c>
      <c r="CF63">
        <f>0.962*(0.93*(0.9442 - 0.0007*$B63 - dis_BMI*($C63-21.75)))*BB63</f>
        <v>2.657322823796921E-7</v>
      </c>
      <c r="CG63">
        <f>0.962*(0.93*0.943*(0.9442 - 0.0007*$B63 - dis_BMI*($C63-21.75)))*BC63</f>
        <v>7.7133854324889725E-9</v>
      </c>
      <c r="CH63">
        <f>0.962*(0.93*0.943*(0.9442 - 0.0007*$B63 - dis_BMI*($C63-21.75))-0.19*0.5)*BD63</f>
        <v>2.6785014769096429E-8</v>
      </c>
      <c r="CI63">
        <f>0.962*(0.93*0.943*(0.9442 - 0.0007*$B63 - dis_BMI*($C63-21.75)))*BE63</f>
        <v>-7.2577656781399103E-9</v>
      </c>
      <c r="CJ63">
        <f t="shared" si="51"/>
        <v>0</v>
      </c>
      <c r="CK63">
        <f t="shared" si="52"/>
        <v>6.7065240409295413E-5</v>
      </c>
      <c r="CL63">
        <f>CK63/(1+r_)^A63</f>
        <v>1.1383190487363633E-5</v>
      </c>
      <c r="CM63">
        <f>AD63*c_BN_2</f>
        <v>4.4668617430697943E-2</v>
      </c>
      <c r="CN63">
        <f>AE63*(c_Other+c_BN_2)</f>
        <v>2.5907609630614132E-2</v>
      </c>
      <c r="CO63">
        <f>AF63*(c_Stroke1+c_Stroke2+c_BN_2)</f>
        <v>1.2036025277250055E-2</v>
      </c>
      <c r="CP63">
        <f>AG63*(c_Stroke2 + c_BN_2)</f>
        <v>-1.8100700743620443E-3</v>
      </c>
      <c r="CQ63">
        <f>AH63*(c_MI1+c_MI2 + c_BN_2)</f>
        <v>1.0132091877109473E-2</v>
      </c>
      <c r="CR63">
        <f>AI63*(c_MI2+c_BN_2)</f>
        <v>8.9408211961370537E-4</v>
      </c>
      <c r="CS63">
        <f>AJ63*(c_Stroke1+c_Stroke2+c_MI2+c_BN_2)</f>
        <v>2.9049913113455731E-4</v>
      </c>
      <c r="CT63">
        <f>AK63*(c_Stroke2+c_MI1+c_MI2+c_BN_2)</f>
        <v>1.3443171864964675E-4</v>
      </c>
      <c r="CU63">
        <f>AL63*(c_Stroke2+c_MI2+c_BN_2)</f>
        <v>-1.1530214996047056E-4</v>
      </c>
      <c r="CV63">
        <f>AM63*(c_HF1+c_BN_2)</f>
        <v>6.1061827196947681E-3</v>
      </c>
      <c r="CW63">
        <f>AN63*(c_HF2+c_BN_2)</f>
        <v>3.5873165386858768E-3</v>
      </c>
      <c r="CX63">
        <f>AO63*(c_Stroke2+c_HF1+c_BN_2)</f>
        <v>7.3303229253168138E-5</v>
      </c>
      <c r="CY63">
        <f>AP63*(c_Stroke1+c_Stroke2+c_HF2+c_BN_2)</f>
        <v>3.7165655975740752E-4</v>
      </c>
      <c r="CZ63">
        <f>AQ63*(c_Stroke2+c_HF2+c_BN_2)</f>
        <v>-2.0250695736566946E-4</v>
      </c>
      <c r="DA63">
        <f>AR63*(c_DM+c_BN_2)</f>
        <v>0.70231926317118931</v>
      </c>
      <c r="DB63">
        <f>AS63*(c_Other+c_DM+c_BN_2)</f>
        <v>0.13752278490847508</v>
      </c>
      <c r="DC63">
        <f>AT63*(c_Stroke1+c_Stroke2+c_DM+c_BN_2)</f>
        <v>7.4276013475265759E-2</v>
      </c>
      <c r="DD63">
        <f>AU63*(c_Stroke2+c_DM+c_BN_2)</f>
        <v>-2.345361238396668E-2</v>
      </c>
      <c r="DE63">
        <f>AV63*(c_MI1+c_MI2+c_DM+c_BN_2)</f>
        <v>5.9563886762752261E-2</v>
      </c>
      <c r="DF63">
        <f>AW63*(c_MI2+c_DM+c_BN_2)</f>
        <v>5.0007477933928192E-3</v>
      </c>
      <c r="DG63">
        <f>AX63*(c_Stroke1+c_Stroke2+c_MI2+c_DM+c_BN_2)</f>
        <v>2.4015383211243723E-3</v>
      </c>
      <c r="DH63">
        <f>AY63*(c_Stroke2+c_MI1+c_MI2+c_DM+c_BN_2)</f>
        <v>9.7669619109333364E-4</v>
      </c>
      <c r="DI63">
        <f>AZ63*(c_Stroke2+c_MI2+c_DM+c_BN_2)</f>
        <v>-1.390126252041347E-3</v>
      </c>
      <c r="DJ63">
        <f>BA63*(c_HF1+c_DM+c_BN_2)</f>
        <v>3.5845036681473222E-2</v>
      </c>
      <c r="DK63">
        <f>BB63*(c_HF2+c_DM+c_BN_2)</f>
        <v>1.0513202777556527E-2</v>
      </c>
      <c r="DL63">
        <f>BC63*(c_Stroke2+c_HF1+c_DM+c_BN_2)</f>
        <v>5.2277854742573907E-4</v>
      </c>
      <c r="DM63">
        <f>BD63*(c_Stroke1+c_Stroke2+c_HF2+c_DM+c_BN_2)</f>
        <v>2.352344587984361E-3</v>
      </c>
      <c r="DN63">
        <f>BE63*(c_Stroke2+c_HF2+c_DM+c_BN_2)</f>
        <v>-3.7245251590076981E-4</v>
      </c>
      <c r="DO63">
        <f t="shared" si="53"/>
        <v>0</v>
      </c>
      <c r="DP63">
        <f t="shared" si="54"/>
        <v>1.1081520391165967</v>
      </c>
      <c r="DQ63">
        <f>DP63/(1+r_)^A63</f>
        <v>0.18809006980725412</v>
      </c>
    </row>
    <row r="64" spans="1:121" x14ac:dyDescent="0.3">
      <c r="A64">
        <v>61</v>
      </c>
      <c r="B64">
        <v>106</v>
      </c>
      <c r="C64">
        <f t="shared" si="39"/>
        <v>36.251999999999995</v>
      </c>
      <c r="D64">
        <f t="shared" si="1"/>
        <v>125</v>
      </c>
      <c r="E64">
        <f t="shared" si="41"/>
        <v>5.7</v>
      </c>
      <c r="F64">
        <v>0.44868999999999998</v>
      </c>
      <c r="G64">
        <v>0.48133999999999999</v>
      </c>
      <c r="H64">
        <f t="shared" si="42"/>
        <v>0.45521999999999996</v>
      </c>
      <c r="I64">
        <f t="shared" si="43"/>
        <v>4.7655426853004217E-2</v>
      </c>
      <c r="J64">
        <f t="shared" si="21"/>
        <v>0.57372890788969855</v>
      </c>
      <c r="K64">
        <f t="shared" si="22"/>
        <v>0.69704490098916438</v>
      </c>
      <c r="L64">
        <f t="shared" si="23"/>
        <v>0.33212724986294462</v>
      </c>
      <c r="M64">
        <f t="shared" si="24"/>
        <v>0.43182114074854039</v>
      </c>
      <c r="N64">
        <f t="shared" si="25"/>
        <v>0.92651950975686637</v>
      </c>
      <c r="O64">
        <f t="shared" si="26"/>
        <v>0.97500151668384882</v>
      </c>
      <c r="P64">
        <f t="shared" si="27"/>
        <v>0.72312657351046283</v>
      </c>
      <c r="Q64">
        <f t="shared" si="28"/>
        <v>0.83708929594187831</v>
      </c>
      <c r="R64">
        <f>IF(C64&lt;25, HT_f_low, IF(C64&lt;30, HT_f_mod, HT_f_high))</f>
        <v>0.42</v>
      </c>
      <c r="S64">
        <f>IF(C64&lt;25, HT_m_low, IF(C64&lt;30, HT_m_mod, HT_m_high))</f>
        <v>0.43099999999999999</v>
      </c>
      <c r="T64">
        <f>PREV_FEMALE*PREV_SMOKE*(1-$R64)*(1-EXP(-J64/10))+PREV_FEMALE*PREV_SMOKE*$R64*(1-EXP(-K64/10))+PREV_FEMALE*(1-PREV_SMOKE)*(1-$R64)*(1-EXP(-L64/10))+PREV_FEMALE*(1-PREV_SMOKE)*$R64*(1-EXP(-M64/10))+(1-PREV_FEMALE)*PREV_SMOKE*(1-$S64)*(1-EXP(-N64/10))+(1-PREV_FEMALE)*PREV_SMOKE*$S64*(1-EXP(-O64/10))+(1-PREV_FEMALE)*(1-PREV_SMOKE)*(1-$S64)*(1-EXP(-P64/10))+(1-PREV_FEMALE)*(1-PREV_SMOKE)*$S64*(1-EXP(-Q64/10))</f>
        <v>4.7012883551855386E-2</v>
      </c>
      <c r="U64">
        <f t="shared" si="29"/>
        <v>0.84365560675602791</v>
      </c>
      <c r="V64">
        <f t="shared" si="30"/>
        <v>0.92564345228203704</v>
      </c>
      <c r="W64">
        <f t="shared" si="31"/>
        <v>0.58458756055029537</v>
      </c>
      <c r="X64">
        <f t="shared" si="32"/>
        <v>0.70779757108987229</v>
      </c>
      <c r="Y64">
        <f t="shared" si="33"/>
        <v>0.98823427988786761</v>
      </c>
      <c r="Z64">
        <f t="shared" si="34"/>
        <v>0.99812152537604526</v>
      </c>
      <c r="AA64">
        <f t="shared" si="35"/>
        <v>0.88755079638613443</v>
      </c>
      <c r="AB64">
        <f t="shared" si="36"/>
        <v>0.95439506047414568</v>
      </c>
      <c r="AC64">
        <f>PREV_FEMALE*PREV_SMOKE*(1-$R64)*(1-EXP(-U64/10))+PREV_FEMALE*PREV_SMOKE*$R64*(1-EXP(-V64/10))+PREV_FEMALE*(1-PREV_SMOKE)*(1-$R64)*(1-EXP(-W64/10))+PREV_FEMALE*(1-PREV_SMOKE)*$R64*(1-EXP(-X64/10))+(1-PREV_FEMALE)*PREV_SMOKE*(1-$S64)*(1-EXP(-Y64/10))+(1-PREV_FEMALE)*PREV_SMOKE*$S64*(1-EXP(-Z64/10))+(1-PREV_FEMALE)*(1-PREV_SMOKE)*(1-$S64)*(1-EXP(-AA64/10))+(1-PREV_FEMALE)*(1-PREV_SMOKE)*$S64*(1-EXP(-AB64/10))</f>
        <v>6.923410209485821E-2</v>
      </c>
      <c r="AD64">
        <f t="shared" si="44"/>
        <v>1.0522635376300945E-5</v>
      </c>
      <c r="AE64">
        <f t="shared" si="45"/>
        <v>7.4510592601041668E-7</v>
      </c>
      <c r="AF64">
        <f t="shared" si="46"/>
        <v>2.4017498868337268E-7</v>
      </c>
      <c r="AG64">
        <f t="shared" si="47"/>
        <v>-1.1930916273032979E-7</v>
      </c>
      <c r="AH64">
        <f>AD63*T63*p_MI*p_MI_rec_old*(1-I63)+AE63*T63*p_MI*p_MI_rec_old*(1-I63) + AH63*(PREV_FEMALE*p_recur_MI_F + (1-PREV_FEMALE)*p_recur_MI_M)*p_MI_rec_old*(1-I63) + AI63*(PREV_FEMALE*p_recur_MI_F + (1-PREV_FEMALE)*p_recur_MI_M)*p_MI_rec_old*(1-I63)</f>
        <v>1.6752595617932631E-7</v>
      </c>
      <c r="AI64">
        <f>AH63*(1-(PREV_FEMALE*p_recur_MI_F + (1-PREV_FEMALE)*p_recur_MI_M) - T63*p_Stroke - p_toHF_old - H63*rr_MI)*(1-I63) + AI63*(1-(PREV_FEMALE*p_recur_MI_F + (1-PREV_FEMALE)*p_recur_MI_M) - T63*p_Stroke - p_toHF_old - H63*rr_MI)*(1-I63)</f>
        <v>6.9469730617614099E-8</v>
      </c>
      <c r="AJ64">
        <f t="shared" si="48"/>
        <v>5.0128523606861619E-9</v>
      </c>
      <c r="AK64">
        <f>AF63*T63*p_MI*p_MI_rec_old*(1-I63) + AG63*T63*p_MI*p_MI_rec_old*(1-I63) + AJ63*(PREV_FEMALE*p_recur_MI_F + (1-PREV_FEMALE)*p_recur_MI_M)*p_MI_rec_old*(1-I63) + AK63*(PREV_FEMALE*p_recur_MI_F + (1-PREV_FEMALE)*p_recur_MI_M)*p_MI_rec_old*(1-I63) + AL63*(PREV_FEMALE*p_recur_MI_F + (1-PREV_FEMALE)*p_recur_MI_M)*p_MI_rec_old*(1-I63)</f>
        <v>1.775691944362064E-9</v>
      </c>
      <c r="AL64">
        <f>AJ63*(1-p_recur_Stroke-(PREV_FEMALE*p_recur_MI_F + (1-PREV_FEMALE)*p_recur_MI_M) - p_toHF_old - H63*rr_MI*rr_Stroke)*(1-I63) + AK63*(1-p_recur_Stroke-(PREV_FEMALE*p_recur_MI_F + (1-PREV_FEMALE)*p_recur_MI_M) - p_toHF_old - H63*rr_MI*rr_Stroke)*(1-I63) + AL63*(1-p_recur_Stroke-(PREV_FEMALE*p_recur_MI_F + (1-PREV_FEMALE)*p_recur_MI_M) - p_toHF_old - H63*rr_MI*rr_Stroke)*(1-I63)</f>
        <v>-5.0646722775337141E-9</v>
      </c>
      <c r="AM64">
        <f>AD63*T63*p_MI*p_MI_HF_old*(1-I63) + AE63*T63*p_MI*p_MI_HF_old*(1-I63) + AH63*p_toHF_old*(1-I63) + AH63*(PREV_FEMALE*p_recur_MI_F + (1-PREV_FEMALE)*p_recur_MI_M)*p_MI_HF_old*(1-I63) + AI63*p_toHF_old*(1-I63) + AI63*(PREV_FEMALE*p_recur_MI_F + (1-PREV_FEMALE)*p_recur_MI_M)*p_MI_HF_old*(1-I63)</f>
        <v>1.0663502963358221E-7</v>
      </c>
      <c r="AN64">
        <f t="shared" si="49"/>
        <v>7.7238685578080442E-8</v>
      </c>
      <c r="AO64">
        <f>AF63*T63*p_MI*p_MI_HF_old*(1-I63) + AG63*T63*p_MI*p_MI_HF_old*(1-I63) + AJ63*(PREV_FEMALE*p_recur_MI_F + (1-PREV_FEMALE)*p_recur_MI_M)*p_MI_HF_old*(1-I63) + AJ63*p_toHF_old*(1-I63) + AK63*(PREV_FEMALE*p_recur_MI_F + (1-PREV_FEMALE)*p_recur_MI_M)*p_MI_HF_old*(1-I63) + AK63*p_toHF_old*(1-I63) + AL63*(PREV_FEMALE*p_recur_MI_F + (1-PREV_FEMALE)*p_recur_MI_M)*p_MI_HF_old*(1-I63) + AL63*p_toHF_old*(1-I63)</f>
        <v>1.0136267360685856E-9</v>
      </c>
      <c r="AP64">
        <f>AM63*T63*p_Stroke*p_Stroke_rec*(1-I63) + AN63*T63*p_Stroke*p_Stroke_rec*(1-I63) + AO63*(p_recur_Stroke*p_Stroke_rec)*(1-I63) + AP63*(p_recur_Stroke*p_Stroke_rec)*(1-I63) + AQ63*(p_recur_Stroke*p_Stroke_rec)*(1-I63)</f>
        <v>4.1209110672600912E-9</v>
      </c>
      <c r="AQ64">
        <f>AO63*(1-p_recur_Stroke-H63*rr_Stroke*rr_HF)*(1-I63) + AP63*(1-p_recur_Stroke-H63*rr_Stroke*rr_HF)*(1-I63) + AQ63*(1-p_recur_Stroke-H63*rr_Stroke*rr_HF)*(1-I63)</f>
        <v>-4.027921079380597E-9</v>
      </c>
      <c r="AR64">
        <f>AR63*(1-AC63-H63*rr_DM) + AD63*(1-T63-H63)*I63</f>
        <v>2.2898961428195994E-5</v>
      </c>
      <c r="AS64">
        <f>AR63*AC63*p_Other + AD63*T63*p_Other*I63 + AE63*(1-T63*p_Stroke-T63*p_MI-H63*rr_Other)*I63 + AS63*(1-AC63*p_Stroke-AC63*p_MI-H63*rr_Other*rr_DM)</f>
        <v>2.080113506255415E-6</v>
      </c>
      <c r="AT64">
        <f>AR63*AC63*p_Stroke*p_Stroke_rec + AD63*T63*p_Stroke*p_Stroke_rec*I63 + AE63*T63*p_Stroke*p_Stroke_rec*I63 + AF63*p_recur_Stroke*p_Stroke_rec*I63 + AG63*p_recur_Stroke*p_Stroke_rec*I63 + AS63*AC63*p_Stroke*p_Stroke_rec + AT63*p_recur_Stroke*p_Stroke_rec + AU63*p_recur_Stroke*p_Stroke_rec</f>
        <v>9.2648767622263289E-7</v>
      </c>
      <c r="AU64">
        <f>AF63*(1-p_recur_Stroke-T63*p_MI-H63*rr_Stroke)*I63 + AG63*(1-p_recur_Stroke-T63*p_MI-H63*rr_Stroke)*I63 + AT63*(1-p_recur_Stroke-AC63*p_MI-H63*rr_Stroke*rr_DM) + AU63*(1-p_recur_Stroke-AC63*p_MI-H63*rr_Stroke*rr_DM)</f>
        <v>-5.8074007331245161E-7</v>
      </c>
      <c r="AV64">
        <f>AR63*AC63*p_MI*p_MI_rec_old + AD63*T63*p_MI*p_MI_rec_old*I63 + AE63*T63*p_MI*p_MI_rec_old*I63 +AH63*(PREV_FEMALE*p_recur_MI_F + (1-PREV_FEMALE)*p_recur_MI_M)*p_MI_rec_old*I63 + AI63*(PREV_FEMALE*p_recur_MI_F + (1-PREV_FEMALE)*p_recur_MI_M)*p_MI_rec_old*I63 + AS63*AC63*p_MI*p_MI_rec_old + AV63*(PREV_FEMALE*p_recur_MI_F + (1-PREV_FEMALE)*p_recur_MI_M)*p_MI_rec_old + AW63*(PREV_FEMALE*p_recur_MI_F + (1-PREV_FEMALE)*p_recur_MI_M)*p_MI_rec_old</f>
        <v>6.4903867560146111E-7</v>
      </c>
      <c r="AW64">
        <f>AH63*(1-(PREV_FEMALE*p_recur_MI_F + (1-PREV_FEMALE)*p_recur_MI_M) - T63*p_Stroke - p_toHF_old - H63*rr_MI)*I63 + AI63*(1-(PREV_FEMALE*p_recur_MI_F + (1-PREV_FEMALE)*p_recur_MI_M) - T63*p_Stroke - p_toHF_old - H63*rr_MI)*I63 + AV63*(1-(PREV_FEMALE*p_recur_MI_F + (1-PREV_FEMALE)*p_recur_MI_M) - AC63*p_Stroke - p_toHF_old - H63*rr_MI*rr_DM) + AW63*(1-(PREV_FEMALE*p_recur_MI_F + (1-PREV_FEMALE)*p_recur_MI_M) - AC63*p_Stroke - p_toHF_old - H63*rr_MI*rr_DM)</f>
        <v>6.9292573551639945E-8</v>
      </c>
      <c r="AX64">
        <f>AH63*T63*p_Stroke*p_Stroke_rec*I63 + AI63*T63*p_Stroke*p_Stroke_rec*I63 + AJ63*p_recur_Stroke*p_Stroke_rec*I63 + AK63*p_recur_Stroke*p_Stroke_rec*I63 + AL63*p_recur_Stroke*p_Stroke_rec*I63 + AV63*AC63*p_Stroke*p_Stroke_rec + AW63*AC63*p_Stroke*p_Stroke_rec + AX63*p_recur_Stroke*p_Stroke_rec + AY63*p_recur_Stroke*p_Stroke_rec + AZ63*p_recur_Stroke*p_Stroke_rec</f>
        <v>2.6940053801212758E-8</v>
      </c>
      <c r="AY64">
        <f>AF63*T63*p_MI*p_MI_rec_old*I63 + AG63*T63*p_MI*p_MI_rec_old*I63 + AJ63*(PREV_FEMALE*p_recur_MI_F+(1-PREV_FEMALE)*p_recur_MI_M)*p_MI_rec_old*I63 + AK63*(PREV_FEMALE*p_recur_MI_F+(1-PREV_FEMALE)*p_recur_MI_M)*p_MI_rec_old*I63 + AL63*(PREV_FEMALE*p_recur_MI_F+(1-PREV_FEMALE)*p_recur_MI_M)*p_MI_rec_old*I63 + AT63*AC63*p_MI*p_MI_rec_old + AU63*AC63*p_MI*p_MI_rec_old + AX63*(PREV_FEMALE*p_recur_MI_F+(1-PREV_FEMALE)*p_recur_MI_M)*p_MI_rec_old + AY63*(PREV_FEMALE*p_recur_MI_F+(1-PREV_FEMALE)*p_recur_MI_M)*p_MI_rec_old + AZ63*(PREV_FEMALE*p_recur_MI_F+(1-PREV_FEMALE)*p_recur_MI_M)*p_MI_rec_old</f>
        <v>9.0455019201366255E-9</v>
      </c>
      <c r="AZ64">
        <f>AJ63*(1-p_recur_Stroke-(PREV_FEMALE*p_recur_MI_F + (1-PREV_FEMALE)*p_recur_MI_M) - p_toHF_old - H63*rr_MI*rr_Stroke)*I63 + AK63*(1-p_recur_Stroke-(PREV_FEMALE*p_recur_MI_F + (1-PREV_FEMALE)*p_recur_MI_M) - p_toHF_old - H63*rr_MI*rr_Stroke)*I63 + AL63*(1-p_recur_Stroke-(PREV_FEMALE*p_recur_MI_F + (1-PREV_FEMALE)*p_recur_MI_M) - p_toHF_old - H63*rr_MI*rr_Stroke)*I63 + AX63*(1-p_recur_Stroke-(PREV_FEMALE*p_recur_MI_F + (1-PREV_FEMALE)*p_recur_MI_M) - p_toHF_old - H63*rr_MI*rr_Stroke*rr_DM) + AY63*(1-p_recur_Stroke-(PREV_FEMALE*p_recur_MI_F + (1-PREV_FEMALE)*p_recur_MI_M) - p_toHF_old - H63*rr_MI*rr_Stroke*rr_DM) + AZ63*(1-p_recur_Stroke-(PREV_FEMALE*p_recur_MI_F + (1-PREV_FEMALE)*p_recur_MI_M) - p_toHF_old - H63*rr_MI*rr_Stroke*rr_DM)</f>
        <v>-3.3780807965654371E-8</v>
      </c>
      <c r="BA64">
        <f>AR63*AC63*p_MI*p_MI_HF_old + AD63*T63*p_MI*p_MI_HF_old*I63 + AE63*T63*p_MI*p_MI_HF_old*I63 + AH63*p_toHF_old*I63 + AH63*(PREV_FEMALE*p_recur_MI_F + (1-PREV_FEMALE)*p_recur_MI_M)*p_MI_HF_old*I63 + AI63*p_toHF_old*I63 + AI63*(PREV_FEMALE*p_recur_MI_F + (1-PREV_FEMALE)*p_recur_MI_M)*p_MI_HF_old*I63 + AS63*AC63*p_MI*p_MI_HF_old + AV63*(PREV_FEMALE*p_recur_MI_F + (1-PREV_FEMALE)*p_recur_MI_M)*p_MI_HF_old + AV63*p_toHF_old + AW63*(PREV_FEMALE*p_recur_MI_F + (1-PREV_FEMALE)*p_recur_MI_M)*p_MI_HF_old + AW63*p_toHF_old</f>
        <v>4.0439035507657427E-7</v>
      </c>
      <c r="BB64">
        <f>AM63*(1-T63*p_Stroke - H63*rr_HF)*I63 + AN63*(1-T63*p_Stroke - H63*rr_HF)*I63 + BA63*(1-AC63*p_Stroke - H63*rr_HF*rr_DM) + BB63*(1-AC63*p_Stroke - H63*rr_HF*rr_DM)</f>
        <v>9.435947693213862E-8</v>
      </c>
      <c r="BC64">
        <f>AF63*T63*p_MI*p_MI_HF_old*I63 + AG63*T63*p_MI*p_MI_HF_old*I63 + AJ63*(PREV_FEMALE*p_recur_MI_F + (1-PREV_FEMALE)*p_recur_MI_M)*p_MI_HF_old*I63 + AJ63*p_toHF_old*I63 + AK63*(PREV_FEMALE*p_recur_MI_F + (1-PREV_FEMALE)*p_recur_MI_M)*p_MI_HF_old*I63 + AK63*p_toHF_old*I63 + AL63*(PREV_FEMALE*p_recur_MI_F + (1-PREV_FEMALE)*p_recur_MI_M)*p_MI_HF_old*I63 + AL63*p_toHF_old*I63 + AT63*AC63*p_MI*p_MI_HF_old + AU63*AC63*p_MI*p_MI_HF_old + AX63*(PREV_FEMALE*p_recur_MI_F + (1-PREV_FEMALE)*p_recur_MI_M)*p_MI_HF_old + AX63*p_toHF_old + AY63*(PREV_FEMALE*p_recur_MI_F + (1-PREV_FEMALE)*p_recur_MI_M)*p_MI_HF_old + AY63*p_toHF_old + AZ63*(PREV_FEMALE*p_recur_MI_F + (1-PREV_FEMALE)*p_recur_MI_M)*p_MI_HF_old + AZ63*p_toHF_old</f>
        <v>5.2640484520860062E-9</v>
      </c>
      <c r="BD64">
        <f>AM63*T63*p_Stroke*p_Stroke_rec*I63 + AN63*T63*p_Stroke*p_Stroke_rec*I63 + AO63*(p_recur_Stroke*p_Stroke_rec)*I63 + AP63*(p_recur_Stroke*p_Stroke_rec)*I63 + AQ63*(p_recur_Stroke*p_Stroke_rec)*I63 + BA63*AC63*p_Stroke*p_Stroke_rec + BB63*AC63*p_Stroke*p_Stroke_rec + BC63*(p_recur_Stroke*p_Stroke_rec) + BD63*(p_recur_Stroke*p_Stroke_rec) + BE63*(p_recur_Stroke*p_Stroke_rec)</f>
        <v>2.3218570315743313E-8</v>
      </c>
      <c r="BE64">
        <f>AO63*(1-p_recur_Stroke - H63*rr_Stroke*rr_HF)*I63 + AP63*(1-p_recur_Stroke-H63*rr_Stroke*rr_HF)*I63 + AQ63*(1-p_recur_Stroke-H63*rr_Stroke*rr_HF)*I63 + BC63*(1-p_recur_Stroke - H63*rr_Stroke*rr_HF*rr_DM) + BD63*(1-p_recur_Stroke-H63*rr_Stroke*rr_HF*rr_DM) + BE63*(1-p_recur_Stroke-H63*rr_Stroke*rr_HF*rr_DM)</f>
        <v>-8.9172272404901078E-8</v>
      </c>
      <c r="BF64">
        <f>AD63*H63 + AE63*H63*rr_Other + AF63*H63*rr_Stroke + AG63*H63*rr_Stroke + AH63*H63*rr_MI + AI63*H63*rr_MI + AJ63*H63*rr_Stroke*rr_MI + AK63*H63*rr_Stroke*rr_MI + AL63*H63*rr_Stroke*rr_MI + AM63*H63*rr_HF + AN63*H63*rr_HF + AO63*H63*rr_Stroke*rr_HF + AP63*H63*rr_Stroke*rr_HF + AR63*H63*rr_DM + AS63*H63*rr_DM*rr_Other + AT63*H63*rr_DM*rr_Stroke + AU63*H63*rr_DM*rr_Stroke + AV63*H63*rr_DM*rr_MI + AW63*H63*rr_DM*rr_MI + AX63*H63*rr_DM*rr_Stroke*rr_MI + AY63*H63*rr_DM*rr_Stroke*rr_MI + AZ63*H63*rr_DM*rr_Stroke*rr_MI + BA63*H63*rr_DM*rr_HF + BB63*H63*rr_DM*rr_HF + BC63*H63*rr_DM*rr_Stroke*rr_HF + BD63*H63*rr_DM*rr_Stroke*rr_HF + AQ63*H63*rr_Stroke*rr_HF + BE63*H63*rr_DM*rr_Stroke*rr_HF
+ AD63*T63*p_MI*p_MI_mort + AD63*T63*p_Stroke*p_Stroke_mort + AE63*T63*p_MI*p_MI_mort + AE63*T63*p_Stroke*p_Stroke_mort + AF63*T63*p_MI*p_MI_mort + AF63*p_recur_Stroke*p_Stroke_mort + AG63*T63*p_MI*p_MI_mort + AG63*p_recur_Stroke*p_Stroke_mort + AH63*(PREV_FEMALE*p_recur_MI_F + (1-PREV_FEMALE)*p_recur_MI_M)*p_MI_mort + AH63*T63*p_Stroke*p_Stroke_mort + AI63*(PREV_FEMALE*p_recur_MI_F + (1-PREV_FEMALE)*p_recur_MI_M)*p_MI_mort + AI63*T63*p_Stroke*p_Stroke_mort + AJ63*(PREV_FEMALE*p_recur_MI_F + (1-PREV_FEMALE)*p_recur_MI_M)*p_MI_mort + AJ63*p_recur_Stroke*p_Stroke_mort + AK63*(PREV_FEMALE*p_recur_MI_F + (1-PREV_FEMALE)*p_recur_MI_M)*p_MI_mort + AK63*p_recur_Stroke*p_Stroke_mort + AL63*(PREV_FEMALE*p_recur_MI_F + (1-PREV_FEMALE)*p_recur_MI_M)*p_MI_mort + AL63*p_recur_Stroke*p_Stroke_mort + AM63*T63*p_Stroke*p_Stroke_mort + AN63*T63*p_Stroke*p_Stroke_mort + AO63*p_recur_Stroke*p_Stroke_mort + AP63*p_recur_Stroke*p_Stroke_mort + AQ63*p_recur_Stroke*p_Stroke_mort
+ AR63*AC63*p_MI*p_MI_mort + AR63*AC63*p_Stroke*p_Stroke_mort + AS63*AC63*p_MI*p_MI_mort + AS63*AC63*p_Stroke*p_Stroke_mort + AT63*AC63*p_MI*p_MI_mort + AT63*p_recur_Stroke*p_Stroke_mort + AU63*AC63*p_MI*p_MI_mort + AU63*p_recur_Stroke*p_Stroke_mort + AV63*(PREV_FEMALE*p_recur_MI_F + (1-PREV_FEMALE)*p_recur_MI_M)*p_MI_mort + AV63*AC63*p_Stroke*p_Stroke_mort + AW63*(PREV_FEMALE*p_recur_MI_F + (1-PREV_FEMALE)*p_recur_MI_M)*p_MI_mort + AW63*AC63*p_Stroke*p_Stroke_mort + AX63*(PREV_FEMALE*p_recur_MI_F + (1-PREV_FEMALE)*p_recur_MI_M)*p_MI_mort + AX63*p_recur_Stroke*p_Stroke_mort + AY63*(PREV_FEMALE*p_recur_MI_F + (1-PREV_FEMALE)*p_recur_MI_M)*p_MI_mort + AY63*p_recur_Stroke*p_Stroke_mort + AZ63*(PREV_FEMALE*p_recur_MI_F + (1-PREV_FEMALE)*p_recur_MI_M)*p_MI_mort + AZ63*p_recur_Stroke*p_Stroke_mort + BA63*AC63*p_Stroke*p_Stroke_mort + BB63*AC63*p_Stroke*p_Stroke_mort + BC63*p_recur_Stroke*p_Stroke_mort + BD63*p_recur_Stroke*p_Stroke_mort + BE63*p_recur_Stroke*p_Stroke_mort
+BF63</f>
        <v>0.94696170427426851</v>
      </c>
      <c r="BG64">
        <f t="shared" si="50"/>
        <v>0.94700000000000017</v>
      </c>
      <c r="BH64">
        <f>(0.9442 - 0.0007*$B64 - dis_BMI*($C64-21.75))*AD64</f>
        <v>8.6511152252323375E-6</v>
      </c>
      <c r="BI64">
        <f>0.959*(0.9442 - 0.0007*$B64 - dis_BMI*($C64-21.75))*AE64</f>
        <v>5.8746797867616796E-7</v>
      </c>
      <c r="BJ64">
        <f>(0.943*(0.9442 - 0.0007*$B64 - dis_BMI*($C64-21.75)) - 0.19*0.5)*AF64</f>
        <v>1.6338653580409588E-7</v>
      </c>
      <c r="BK64">
        <f>(0.943*(0.9442 - 0.0007*$B64 - dis_BMI*($C64-21.75)))*AG64</f>
        <v>-9.2498153978465407E-8</v>
      </c>
      <c r="BL64">
        <f>(0.955*(0.9442 - 0.0007*$B64 - dis_BMI*($C64-21.75)) - 0.15*0.5)*AH64</f>
        <v>1.1896804632400437E-7</v>
      </c>
      <c r="BM64">
        <f>(0.955*(0.9442 - 0.0007*$B64 - dis_BMI*($C64-21.75)))*AI64</f>
        <v>5.4543946903332135E-8</v>
      </c>
      <c r="BN64">
        <f>(0.955*0.943*(0.9442 - 0.0007*$B64 - dis_BMI*($C64-21.75)) - 0.19*0.5)*AJ64</f>
        <v>3.2352626860642916E-9</v>
      </c>
      <c r="BO64">
        <f>(0.955*0.943*(0.9442 - 0.0007*$B64 - dis_BMI*($C64-21.75)) - 0.15*0.5)*AK64</f>
        <v>1.1815340038922965E-9</v>
      </c>
      <c r="BP64">
        <f>(0.955*0.943*(0.9442 - 0.0007*$B64 - dis_BMI*($C64-21.75)))*AL64</f>
        <v>-3.7498507936142476E-9</v>
      </c>
      <c r="BQ64">
        <f>(0.93*(0.9442 - 0.0007*$B64 - dis_BMI*($C64-21.75)))*AM64</f>
        <v>8.1532435814510252E-8</v>
      </c>
      <c r="BR64">
        <f>(0.93*(0.9442 - 0.0007*$B64 - dis_BMI*($C64-21.75)))*AN64</f>
        <v>5.9056186282605445E-8</v>
      </c>
      <c r="BS64">
        <f>(0.93*0.943*(0.9442 - 0.0007*$B64 - dis_BMI*($C64-21.75)))*AO64</f>
        <v>7.3083657432897183E-10</v>
      </c>
      <c r="BT64">
        <f>(0.93*0.943*(0.9442 - 0.0007*$B64 - dis_BMI*($C64-21.75))-0.19*0.5)*AP64</f>
        <v>2.5797378849267871E-9</v>
      </c>
      <c r="BU64">
        <f>(0.93*0.943*(0.9442 - 0.0007*$B64 - dis_BMI*($C64-21.75)))*AQ64</f>
        <v>-2.9041775819168858E-9</v>
      </c>
      <c r="BV64">
        <f>0.962*(0.9442 - 0.0007*$B64 - dis_BMI*($C64-21.75))*AR64</f>
        <v>1.8110833264854165E-5</v>
      </c>
      <c r="BW64">
        <f>0.962*0.959*(0.9442 - 0.0007*$B64 - dis_BMI*($C64-21.75))*AS64</f>
        <v>1.5777140309535391E-6</v>
      </c>
      <c r="BX64">
        <f>0.962*(0.943*(0.9442 - 0.0007*$B64 - dis_BMI*($C64-21.75)) - 0.19*0.5)*AT64</f>
        <v>6.0632182988720424E-7</v>
      </c>
      <c r="BY64">
        <f>0.962*(0.943*(0.9442 - 0.0007*$B64 - dis_BMI*($C64-21.75)))*AU64</f>
        <v>-4.3312787484779144E-7</v>
      </c>
      <c r="BZ64">
        <f>0.962*(0.955*(0.9442 - 0.0007*$B64 - dis_BMI*($C64-21.75)) - 0.15*0.5)*AV64</f>
        <v>4.4339814627269555E-7</v>
      </c>
      <c r="CA64">
        <f>0.962*(0.955*(0.9442 - 0.0007*$B64 - dis_BMI*($C64-21.75)))*AW64</f>
        <v>5.2337468176037009E-8</v>
      </c>
      <c r="CB64">
        <f>0.962*(0.955*0.943*(0.9442 - 0.0007*$B64 - dis_BMI*($C64-21.75)) - 0.19*0.5)*AX64</f>
        <v>1.6726233900264589E-8</v>
      </c>
      <c r="CC64">
        <f>0.962*(0.955*0.943*(0.9442 - 0.0007*$B64 - dis_BMI*($C64-21.75)) - 0.15*0.5)*AY64</f>
        <v>5.7901037089929737E-9</v>
      </c>
      <c r="CD64">
        <f>0.962*(0.955*0.943*(0.9442 - 0.0007*$B64 - dis_BMI*($C64-21.75)))*AZ64</f>
        <v>-2.4060671506082192E-8</v>
      </c>
      <c r="CE64">
        <f>0.962*(0.93*(0.9442 - 0.0007*$B64 - dis_BMI*($C64-21.75)))*BA64</f>
        <v>2.9744480226473358E-7</v>
      </c>
      <c r="CF64">
        <f>0.962*(0.93*(0.9442 - 0.0007*$B64 - dis_BMI*($C64-21.75)))*BB64</f>
        <v>6.9405057775349317E-8</v>
      </c>
      <c r="CG64">
        <f>0.962*(0.93*0.943*(0.9442 - 0.0007*$B64 - dis_BMI*($C64-21.75)))*BC64</f>
        <v>3.6512129750457972E-9</v>
      </c>
      <c r="CH64">
        <f>0.962*(0.93*0.943*(0.9442 - 0.0007*$B64 - dis_BMI*($C64-21.75))-0.19*0.5)*BD64</f>
        <v>1.3982759435653474E-8</v>
      </c>
      <c r="CI64">
        <f>0.962*(0.93*0.943*(0.9442 - 0.0007*$B64 - dis_BMI*($C64-21.75)))*BE64</f>
        <v>-6.1851056460179706E-8</v>
      </c>
      <c r="CJ64">
        <f t="shared" si="51"/>
        <v>0</v>
      </c>
      <c r="CK64">
        <f t="shared" si="52"/>
        <v>3.0303210851221883E-5</v>
      </c>
      <c r="CL64">
        <f>CK64/(1+r_)^A64</f>
        <v>4.993648170094107E-6</v>
      </c>
      <c r="CM64">
        <f>AD64*c_BN_2</f>
        <v>2.204492111335048E-2</v>
      </c>
      <c r="CN64">
        <f>AE64*(c_Other+c_BN_2)</f>
        <v>1.2200364432494563E-2</v>
      </c>
      <c r="CO64">
        <f>AF64*(c_Stroke1+c_Stroke2+c_BN_2)</f>
        <v>6.2231741317748694E-3</v>
      </c>
      <c r="CP64">
        <f>AG64*(c_Stroke2 + c_BN_2)</f>
        <v>-1.0254622536671845E-3</v>
      </c>
      <c r="CQ64">
        <f>AH64*(c_MI1+c_MI2 + c_BN_2)</f>
        <v>5.2345160267792297E-3</v>
      </c>
      <c r="CR64">
        <f>AI64*(c_MI2+c_BN_2)</f>
        <v>3.620762359790047E-4</v>
      </c>
      <c r="CS64">
        <f>AJ64*(c_Stroke1+c_Stroke2+c_MI2+c_BN_2)</f>
        <v>1.455130783259979E-4</v>
      </c>
      <c r="CT64">
        <f>AK64*(c_Stroke2+c_MI1+c_MI2+c_BN_2)</f>
        <v>6.7025268131890473E-5</v>
      </c>
      <c r="CU64">
        <f>AL64*(c_Stroke2+c_MI2+c_BN_2)</f>
        <v>-5.931744171447486E-5</v>
      </c>
      <c r="CV64">
        <f>AM64*(c_HF1+c_BN_2)</f>
        <v>3.1057452380780816E-3</v>
      </c>
      <c r="CW64">
        <f>AN64*(c_HF2+c_BN_2)</f>
        <v>1.3671247347320239E-3</v>
      </c>
      <c r="CX64">
        <f>AO64*(c_Stroke2+c_HF1+c_BN_2)</f>
        <v>3.6110452472443361E-5</v>
      </c>
      <c r="CY64">
        <f>AP64*(c_Stroke1+c_Stroke2+c_HF2+c_BN_2)</f>
        <v>1.7108374386836994E-4</v>
      </c>
      <c r="CZ64">
        <f>AQ64*(c_Stroke2+c_HF2+c_BN_2)</f>
        <v>-9.7475690121010452E-5</v>
      </c>
      <c r="DA64">
        <f>AR64*(c_DM+c_BN_2)</f>
        <v>0.30959395850920984</v>
      </c>
      <c r="DB64">
        <f>AS64*(c_Other+c_DM+c_BN_2)</f>
        <v>5.782507536039428E-2</v>
      </c>
      <c r="DC64">
        <f>AT64*(c_Stroke1+c_Stroke2+c_DM+c_BN_2)</f>
        <v>3.4591343879448219E-2</v>
      </c>
      <c r="DD64">
        <f>AU64*(c_Stroke2+c_DM+c_BN_2)</f>
        <v>-1.1626416267715281E-2</v>
      </c>
      <c r="DE64">
        <f>AV64*(c_MI1+c_MI2+c_DM+c_BN_2)</f>
        <v>2.7695129326589948E-2</v>
      </c>
      <c r="DF64">
        <f>AW64*(c_MI2+c_DM+c_BN_2)</f>
        <v>1.1528205461786337E-3</v>
      </c>
      <c r="DG64">
        <f>AX64*(c_Stroke1+c_Stroke2+c_MI2+c_DM+c_BN_2)</f>
        <v>1.0898059964204597E-3</v>
      </c>
      <c r="DH64">
        <f>AY64*(c_Stroke2+c_MI1+c_MI2+c_DM+c_BN_2)</f>
        <v>4.4477637491503801E-4</v>
      </c>
      <c r="DI64">
        <f>AZ64*(c_Stroke2+c_MI2+c_DM+c_BN_2)</f>
        <v>-7.8158655390134517E-4</v>
      </c>
      <c r="DJ64">
        <f>BA64*(c_HF1+c_DM+c_BN_2)</f>
        <v>1.6398028898355087E-2</v>
      </c>
      <c r="DK64">
        <f>BB64*(c_HF2+c_DM+c_BN_2)</f>
        <v>2.7482197656485373E-3</v>
      </c>
      <c r="DL64">
        <f>BC64*(c_Stroke2+c_HF1+c_DM+c_BN_2)</f>
        <v>2.4767347967064658E-4</v>
      </c>
      <c r="DM64">
        <f>BD64*(c_Stroke1+c_Stroke2+c_HF2+c_DM+c_BN_2)</f>
        <v>1.2292143310857668E-3</v>
      </c>
      <c r="DN64">
        <f>BE64*(c_Stroke2+c_HF2+c_DM+c_BN_2)</f>
        <v>-3.176762204424601E-3</v>
      </c>
      <c r="DO64">
        <f t="shared" si="53"/>
        <v>0</v>
      </c>
      <c r="DP64">
        <f t="shared" si="54"/>
        <v>0.48720668051235949</v>
      </c>
      <c r="DQ64">
        <f>DP64/(1+r_)^A64</f>
        <v>8.0286500349518827E-2</v>
      </c>
    </row>
    <row r="65" spans="1:152" x14ac:dyDescent="0.3">
      <c r="A65">
        <v>62</v>
      </c>
      <c r="B65">
        <v>107</v>
      </c>
      <c r="C65">
        <f t="shared" si="39"/>
        <v>36.251999999999995</v>
      </c>
      <c r="D65">
        <f t="shared" si="1"/>
        <v>125</v>
      </c>
      <c r="E65">
        <f t="shared" si="41"/>
        <v>5.7</v>
      </c>
      <c r="F65">
        <v>0.46788999999999997</v>
      </c>
      <c r="G65">
        <v>0.49833</v>
      </c>
      <c r="H65">
        <f t="shared" si="42"/>
        <v>0.47397799999999995</v>
      </c>
      <c r="I65">
        <f t="shared" si="43"/>
        <v>4.7655426853004217E-2</v>
      </c>
      <c r="J65">
        <f t="shared" si="21"/>
        <v>0.58303231790803722</v>
      </c>
      <c r="K65">
        <f t="shared" si="22"/>
        <v>0.70626433814095357</v>
      </c>
      <c r="L65">
        <f t="shared" si="23"/>
        <v>0.33906779684665722</v>
      </c>
      <c r="M65">
        <f t="shared" si="24"/>
        <v>0.44007313484945287</v>
      </c>
      <c r="N65">
        <f t="shared" si="25"/>
        <v>0.93199500278375369</v>
      </c>
      <c r="O65">
        <f t="shared" si="26"/>
        <v>0.97759251460905716</v>
      </c>
      <c r="P65">
        <f t="shared" si="27"/>
        <v>0.73347471717071566</v>
      </c>
      <c r="Q65">
        <f t="shared" si="28"/>
        <v>0.84562579321376075</v>
      </c>
      <c r="R65">
        <f>IF(C65&lt;25, HT_f_low, IF(C65&lt;30, HT_f_mod, HT_f_high))</f>
        <v>0.42</v>
      </c>
      <c r="S65">
        <f>IF(C65&lt;25, HT_m_low, IF(C65&lt;30, HT_m_mod, HT_m_high))</f>
        <v>0.43099999999999999</v>
      </c>
      <c r="T65">
        <f>PREV_FEMALE*PREV_SMOKE*(1-$R65)*(1-EXP(-J65/10))+PREV_FEMALE*PREV_SMOKE*$R65*(1-EXP(-K65/10))+PREV_FEMALE*(1-PREV_SMOKE)*(1-$R65)*(1-EXP(-L65/10))+PREV_FEMALE*(1-PREV_SMOKE)*$R65*(1-EXP(-M65/10))+(1-PREV_FEMALE)*PREV_SMOKE*(1-$S65)*(1-EXP(-N65/10))+(1-PREV_FEMALE)*PREV_SMOKE*$S65*(1-EXP(-O65/10))+(1-PREV_FEMALE)*(1-PREV_SMOKE)*(1-$S65)*(1-EXP(-P65/10))+(1-PREV_FEMALE)*(1-PREV_SMOKE)*$S65*(1-EXP(-Q65/10))</f>
        <v>4.7769279312312098E-2</v>
      </c>
      <c r="U65">
        <f t="shared" si="29"/>
        <v>0.85098647415373374</v>
      </c>
      <c r="V65">
        <f t="shared" si="30"/>
        <v>0.93048001010668491</v>
      </c>
      <c r="W65">
        <f t="shared" si="31"/>
        <v>0.59392523918743412</v>
      </c>
      <c r="X65">
        <f t="shared" si="32"/>
        <v>0.7169546204638042</v>
      </c>
      <c r="Y65">
        <f t="shared" si="33"/>
        <v>0.98968688507033376</v>
      </c>
      <c r="Z65">
        <f t="shared" si="34"/>
        <v>0.99844065620491029</v>
      </c>
      <c r="AA65">
        <f t="shared" si="35"/>
        <v>0.8946083567362022</v>
      </c>
      <c r="AB65">
        <f t="shared" si="36"/>
        <v>0.95838633638908166</v>
      </c>
      <c r="AC65">
        <f>PREV_FEMALE*PREV_SMOKE*(1-$R65)*(1-EXP(-U65/10))+PREV_FEMALE*PREV_SMOKE*$R65*(1-EXP(-V65/10))+PREV_FEMALE*(1-PREV_SMOKE)*(1-$R65)*(1-EXP(-W65/10))+PREV_FEMALE*(1-PREV_SMOKE)*$R65*(1-EXP(-X65/10))+(1-PREV_FEMALE)*PREV_SMOKE*(1-$S65)*(1-EXP(-Y65/10))+(1-PREV_FEMALE)*PREV_SMOKE*$S65*(1-EXP(-Z65/10))+(1-PREV_FEMALE)*(1-PREV_SMOKE)*(1-$S65)*(1-EXP(-AA65/10))+(1-PREV_FEMALE)*(1-PREV_SMOKE)*$S65*(1-EXP(-AB65/10))</f>
        <v>6.9993627771450628E-2</v>
      </c>
      <c r="AD65">
        <f t="shared" si="44"/>
        <v>4.9882112317638244E-6</v>
      </c>
      <c r="AE65">
        <f t="shared" si="45"/>
        <v>3.3996013356397321E-7</v>
      </c>
      <c r="AF65">
        <f t="shared" si="46"/>
        <v>1.1945662312754174E-7</v>
      </c>
      <c r="AG65">
        <f t="shared" si="47"/>
        <v>-6.3904666121245614E-8</v>
      </c>
      <c r="AH65">
        <f>AD64*T64*p_MI*p_MI_rec_old*(1-I64)+AE64*T64*p_MI*p_MI_rec_old*(1-I64) + AH64*(PREV_FEMALE*p_recur_MI_F + (1-PREV_FEMALE)*p_recur_MI_M)*p_MI_rec_old*(1-I64) + AI64*(PREV_FEMALE*p_recur_MI_F + (1-PREV_FEMALE)*p_recur_MI_M)*p_MI_rec_old*(1-I64)</f>
        <v>8.326762794076135E-8</v>
      </c>
      <c r="AI65">
        <f>AH64*(1-(PREV_FEMALE*p_recur_MI_F + (1-PREV_FEMALE)*p_recur_MI_M) - T64*p_Stroke - p_toHF_old - H64*rr_MI)*(1-I64) + AI64*(1-(PREV_FEMALE*p_recur_MI_F + (1-PREV_FEMALE)*p_recur_MI_M) - T64*p_Stroke - p_toHF_old - H64*rr_MI)*(1-I64)</f>
        <v>2.6145141148990437E-8</v>
      </c>
      <c r="AJ65">
        <f t="shared" si="48"/>
        <v>2.4265083217728144E-9</v>
      </c>
      <c r="AK65">
        <f>AF64*T64*p_MI*p_MI_rec_old*(1-I64) + AG64*T64*p_MI*p_MI_rec_old*(1-I64) + AJ64*(PREV_FEMALE*p_recur_MI_F + (1-PREV_FEMALE)*p_recur_MI_M)*p_MI_rec_old*(1-I64) + AK64*(PREV_FEMALE*p_recur_MI_F + (1-PREV_FEMALE)*p_recur_MI_M)*p_MI_rec_old*(1-I64) + AL64*(PREV_FEMALE*p_recur_MI_F + (1-PREV_FEMALE)*p_recur_MI_M)*p_MI_rec_old*(1-I64)</f>
        <v>8.5553670699597289E-10</v>
      </c>
      <c r="AL65">
        <f>AJ64*(1-p_recur_Stroke-(PREV_FEMALE*p_recur_MI_F + (1-PREV_FEMALE)*p_recur_MI_M) - p_toHF_old - H64*rr_MI*rr_Stroke)*(1-I64) + AK64*(1-p_recur_Stroke-(PREV_FEMALE*p_recur_MI_F + (1-PREV_FEMALE)*p_recur_MI_M) - p_toHF_old - H64*rr_MI*rr_Stroke)*(1-I64) + AL64*(1-p_recur_Stroke-(PREV_FEMALE*p_recur_MI_F + (1-PREV_FEMALE)*p_recur_MI_M) - p_toHF_old - H64*rr_MI*rr_Stroke)*(1-I64)</f>
        <v>-2.504189633318192E-9</v>
      </c>
      <c r="AM65">
        <f>AD64*T64*p_MI*p_MI_HF_old*(1-I64) + AE64*T64*p_MI*p_MI_HF_old*(1-I64) + AH64*p_toHF_old*(1-I64) + AH64*(PREV_FEMALE*p_recur_MI_F + (1-PREV_FEMALE)*p_recur_MI_M)*p_MI_HF_old*(1-I64) + AI64*p_toHF_old*(1-I64) + AI64*(PREV_FEMALE*p_recur_MI_F + (1-PREV_FEMALE)*p_recur_MI_M)*p_MI_HF_old*(1-I64)</f>
        <v>5.2282695488480179E-8</v>
      </c>
      <c r="AN65">
        <f t="shared" si="49"/>
        <v>2.8138019318489897E-8</v>
      </c>
      <c r="AO65">
        <f>AF64*T64*p_MI*p_MI_HF_old*(1-I64) + AG64*T64*p_MI*p_MI_HF_old*(1-I64) + AJ64*(PREV_FEMALE*p_recur_MI_F + (1-PREV_FEMALE)*p_recur_MI_M)*p_MI_HF_old*(1-I64) + AJ64*p_toHF_old*(1-I64) + AK64*(PREV_FEMALE*p_recur_MI_F + (1-PREV_FEMALE)*p_recur_MI_M)*p_MI_HF_old*(1-I64) + AK64*p_toHF_old*(1-I64) + AL64*(PREV_FEMALE*p_recur_MI_F + (1-PREV_FEMALE)*p_recur_MI_M)*p_MI_HF_old*(1-I64) + AL64*p_toHF_old*(1-I64)</f>
        <v>4.82999941031791E-10</v>
      </c>
      <c r="AP65">
        <f>AM64*T64*p_Stroke*p_Stroke_rec*(1-I64) + AN64*T64*p_Stroke*p_Stroke_rec*(1-I64) + AO64*(p_recur_Stroke*p_Stroke_rec)*(1-I64) + AP64*(p_recur_Stroke*p_Stroke_rec)*(1-I64) + AQ64*(p_recur_Stroke*p_Stroke_rec)*(1-I64)</f>
        <v>1.8583410386192963E-9</v>
      </c>
      <c r="AQ65">
        <f>AO64*(1-p_recur_Stroke-H64*rr_Stroke*rr_HF)*(1-I64) + AP64*(1-p_recur_Stroke-H64*rr_Stroke*rr_HF)*(1-I64) + AQ64*(1-p_recur_Stroke-H64*rr_Stroke*rr_HF)*(1-I64)</f>
        <v>-1.805514544287277E-9</v>
      </c>
      <c r="AR65">
        <f>AR64*(1-AC64-H64*rr_DM) + AD64*(1-T64-H64)*I64</f>
        <v>9.5755080271978996E-6</v>
      </c>
      <c r="AS65">
        <f>AR64*AC64*p_Other + AD64*T64*p_Other*I64 + AE64*(1-T64*p_Stroke-T64*p_MI-H64*rr_Other)*I64 + AS64*(1-AC64*p_Stroke-AC64*p_MI-H64*rr_Other*rr_DM)</f>
        <v>8.3528570544224617E-7</v>
      </c>
      <c r="AT65">
        <f>AR64*AC64*p_Stroke*p_Stroke_rec + AD64*T64*p_Stroke*p_Stroke_rec*I64 + AE64*T64*p_Stroke*p_Stroke_rec*I64 + AF64*p_recur_Stroke*p_Stroke_rec*I64 + AG64*p_recur_Stroke*p_Stroke_rec*I64 + AS64*AC64*p_Stroke*p_Stroke_rec + AT64*p_recur_Stroke*p_Stroke_rec + AU64*p_recur_Stroke*p_Stroke_rec</f>
        <v>4.1009000709016699E-7</v>
      </c>
      <c r="AU65">
        <f>AF64*(1-p_recur_Stroke-T64*p_MI-H64*rr_Stroke)*I64 + AG64*(1-p_recur_Stroke-T64*p_MI-H64*rr_Stroke)*I64 + AT64*(1-p_recur_Stroke-AC64*p_MI-H64*rr_Stroke*rr_DM) + AU64*(1-p_recur_Stroke-AC64*p_MI-H64*rr_Stroke*rr_DM)</f>
        <v>-2.7073587145914793E-7</v>
      </c>
      <c r="AV65">
        <f>AR64*AC64*p_MI*p_MI_rec_old + AD64*T64*p_MI*p_MI_rec_old*I64 + AE64*T64*p_MI*p_MI_rec_old*I64 +AH64*(PREV_FEMALE*p_recur_MI_F + (1-PREV_FEMALE)*p_recur_MI_M)*p_MI_rec_old*I64 + AI64*(PREV_FEMALE*p_recur_MI_F + (1-PREV_FEMALE)*p_recur_MI_M)*p_MI_rec_old*I64 + AS64*AC64*p_MI*p_MI_rec_old + AV64*(PREV_FEMALE*p_recur_MI_F + (1-PREV_FEMALE)*p_recur_MI_M)*p_MI_rec_old + AW64*(PREV_FEMALE*p_recur_MI_F + (1-PREV_FEMALE)*p_recur_MI_M)*p_MI_rec_old</f>
        <v>2.8693728708797687E-7</v>
      </c>
      <c r="AW65">
        <f>AH64*(1-(PREV_FEMALE*p_recur_MI_F + (1-PREV_FEMALE)*p_recur_MI_M) - T64*p_Stroke - p_toHF_old - H64*rr_MI)*I64 + AI64*(1-(PREV_FEMALE*p_recur_MI_F + (1-PREV_FEMALE)*p_recur_MI_M) - T64*p_Stroke - p_toHF_old - H64*rr_MI)*I64 + AV64*(1-(PREV_FEMALE*p_recur_MI_F + (1-PREV_FEMALE)*p_recur_MI_M) - AC64*p_Stroke - p_toHF_old - H64*rr_MI*rr_DM) + AW64*(1-(PREV_FEMALE*p_recur_MI_F + (1-PREV_FEMALE)*p_recur_MI_M) - AC64*p_Stroke - p_toHF_old - H64*rr_MI*rr_DM)</f>
        <v>3.3493840064552152E-9</v>
      </c>
      <c r="AX65">
        <f>AH64*T64*p_Stroke*p_Stroke_rec*I64 + AI64*T64*p_Stroke*p_Stroke_rec*I64 + AJ64*p_recur_Stroke*p_Stroke_rec*I64 + AK64*p_recur_Stroke*p_Stroke_rec*I64 + AL64*p_recur_Stroke*p_Stroke_rec*I64 + AV64*AC64*p_Stroke*p_Stroke_rec + AW64*AC64*p_Stroke*p_Stroke_rec + AX64*p_recur_Stroke*p_Stroke_rec + AY64*p_recur_Stroke*p_Stroke_rec + AZ64*p_recur_Stroke*p_Stroke_rec</f>
        <v>1.0888333723930037E-8</v>
      </c>
      <c r="AY65">
        <f>AF64*T64*p_MI*p_MI_rec_old*I64 + AG64*T64*p_MI*p_MI_rec_old*I64 + AJ64*(PREV_FEMALE*p_recur_MI_F+(1-PREV_FEMALE)*p_recur_MI_M)*p_MI_rec_old*I64 + AK64*(PREV_FEMALE*p_recur_MI_F+(1-PREV_FEMALE)*p_recur_MI_M)*p_MI_rec_old*I64 + AL64*(PREV_FEMALE*p_recur_MI_F+(1-PREV_FEMALE)*p_recur_MI_M)*p_MI_rec_old*I64 + AT64*AC64*p_MI*p_MI_rec_old + AU64*AC64*p_MI*p_MI_rec_old + AX64*(PREV_FEMALE*p_recur_MI_F+(1-PREV_FEMALE)*p_recur_MI_M)*p_MI_rec_old + AY64*(PREV_FEMALE*p_recur_MI_F+(1-PREV_FEMALE)*p_recur_MI_M)*p_MI_rec_old + AZ64*(PREV_FEMALE*p_recur_MI_F+(1-PREV_FEMALE)*p_recur_MI_M)*p_MI_rec_old</f>
        <v>3.5829281327844524E-9</v>
      </c>
      <c r="AZ65">
        <f>AJ64*(1-p_recur_Stroke-(PREV_FEMALE*p_recur_MI_F + (1-PREV_FEMALE)*p_recur_MI_M) - p_toHF_old - H64*rr_MI*rr_Stroke)*I64 + AK64*(1-p_recur_Stroke-(PREV_FEMALE*p_recur_MI_F + (1-PREV_FEMALE)*p_recur_MI_M) - p_toHF_old - H64*rr_MI*rr_Stroke)*I64 + AL64*(1-p_recur_Stroke-(PREV_FEMALE*p_recur_MI_F + (1-PREV_FEMALE)*p_recur_MI_M) - p_toHF_old - H64*rr_MI*rr_Stroke)*I64 + AX64*(1-p_recur_Stroke-(PREV_FEMALE*p_recur_MI_F + (1-PREV_FEMALE)*p_recur_MI_M) - p_toHF_old - H64*rr_MI*rr_Stroke*rr_DM) + AY64*(1-p_recur_Stroke-(PREV_FEMALE*p_recur_MI_F + (1-PREV_FEMALE)*p_recur_MI_M) - p_toHF_old - H64*rr_MI*rr_Stroke*rr_DM) + AZ64*(1-p_recur_Stroke-(PREV_FEMALE*p_recur_MI_F + (1-PREV_FEMALE)*p_recur_MI_M) - p_toHF_old - H64*rr_MI*rr_Stroke*rr_DM)</f>
        <v>-4.2328249629799976E-9</v>
      </c>
      <c r="BA65">
        <f>AR64*AC64*p_MI*p_MI_HF_old + AD64*T64*p_MI*p_MI_HF_old*I64 + AE64*T64*p_MI*p_MI_HF_old*I64 + AH64*p_toHF_old*I64 + AH64*(PREV_FEMALE*p_recur_MI_F + (1-PREV_FEMALE)*p_recur_MI_M)*p_MI_HF_old*I64 + AI64*p_toHF_old*I64 + AI64*(PREV_FEMALE*p_recur_MI_F + (1-PREV_FEMALE)*p_recur_MI_M)*p_MI_HF_old*I64 + AS64*AC64*p_MI*p_MI_HF_old + AV64*(PREV_FEMALE*p_recur_MI_F + (1-PREV_FEMALE)*p_recur_MI_M)*p_MI_HF_old + AV64*p_toHF_old + AW64*(PREV_FEMALE*p_recur_MI_F + (1-PREV_FEMALE)*p_recur_MI_M)*p_MI_HF_old + AW64*p_toHF_old</f>
        <v>1.7631357783491858E-7</v>
      </c>
      <c r="BB65">
        <f>AM64*(1-T64*p_Stroke - H64*rr_HF)*I64 + AN64*(1-T64*p_Stroke - H64*rr_HF)*I64 + BA64*(1-AC64*p_Stroke - H64*rr_HF*rr_DM) + BB64*(1-AC64*p_Stroke - H64*rr_HF*rr_DM)</f>
        <v>1.7019246701880187E-8</v>
      </c>
      <c r="BC65">
        <f>AF64*T64*p_MI*p_MI_HF_old*I64 + AG64*T64*p_MI*p_MI_HF_old*I64 + AJ64*(PREV_FEMALE*p_recur_MI_F + (1-PREV_FEMALE)*p_recur_MI_M)*p_MI_HF_old*I64 + AJ64*p_toHF_old*I64 + AK64*(PREV_FEMALE*p_recur_MI_F + (1-PREV_FEMALE)*p_recur_MI_M)*p_MI_HF_old*I64 + AK64*p_toHF_old*I64 + AL64*(PREV_FEMALE*p_recur_MI_F + (1-PREV_FEMALE)*p_recur_MI_M)*p_MI_HF_old*I64 + AL64*p_toHF_old*I64 + AT64*AC64*p_MI*p_MI_HF_old + AU64*AC64*p_MI*p_MI_HF_old + AX64*(PREV_FEMALE*p_recur_MI_F + (1-PREV_FEMALE)*p_recur_MI_M)*p_MI_HF_old + AX64*p_toHF_old + AY64*(PREV_FEMALE*p_recur_MI_F + (1-PREV_FEMALE)*p_recur_MI_M)*p_MI_HF_old + AY64*p_toHF_old + AZ64*(PREV_FEMALE*p_recur_MI_F + (1-PREV_FEMALE)*p_recur_MI_M)*p_MI_HF_old + AZ64*p_toHF_old</f>
        <v>1.6556892996942268E-9</v>
      </c>
      <c r="BD65">
        <f>AM64*T64*p_Stroke*p_Stroke_rec*I64 + AN64*T64*p_Stroke*p_Stroke_rec*I64 + AO64*(p_recur_Stroke*p_Stroke_rec)*I64 + AP64*(p_recur_Stroke*p_Stroke_rec)*I64 + AQ64*(p_recur_Stroke*p_Stroke_rec)*I64 + BA64*AC64*p_Stroke*p_Stroke_rec + BB64*AC64*p_Stroke*p_Stroke_rec + BC64*(p_recur_Stroke*p_Stroke_rec) + BD64*(p_recur_Stroke*p_Stroke_rec) + BE64*(p_recur_Stroke*p_Stroke_rec)</f>
        <v>6.9950694835405664E-10</v>
      </c>
      <c r="BE65">
        <f>AO64*(1-p_recur_Stroke - H64*rr_Stroke*rr_HF)*I64 + AP64*(1-p_recur_Stroke-H64*rr_Stroke*rr_HF)*I64 + AQ64*(1-p_recur_Stroke-H64*rr_Stroke*rr_HF)*I64 + BC64*(1-p_recur_Stroke - H64*rr_Stroke*rr_HF*rr_DM) + BD64*(1-p_recur_Stroke-H64*rr_Stroke*rr_HF*rr_DM) + BE64*(1-p_recur_Stroke-H64*rr_Stroke*rr_HF*rr_DM)</f>
        <v>1.2749066428350284E-7</v>
      </c>
      <c r="BF65">
        <f>AD64*H64 + AE64*H64*rr_Other + AF64*H64*rr_Stroke + AG64*H64*rr_Stroke + AH64*H64*rr_MI + AI64*H64*rr_MI + AJ64*H64*rr_Stroke*rr_MI + AK64*H64*rr_Stroke*rr_MI + AL64*H64*rr_Stroke*rr_MI + AM64*H64*rr_HF + AN64*H64*rr_HF + AO64*H64*rr_Stroke*rr_HF + AP64*H64*rr_Stroke*rr_HF + AR64*H64*rr_DM + AS64*H64*rr_DM*rr_Other + AT64*H64*rr_DM*rr_Stroke + AU64*H64*rr_DM*rr_Stroke + AV64*H64*rr_DM*rr_MI + AW64*H64*rr_DM*rr_MI + AX64*H64*rr_DM*rr_Stroke*rr_MI + AY64*H64*rr_DM*rr_Stroke*rr_MI + AZ64*H64*rr_DM*rr_Stroke*rr_MI + BA64*H64*rr_DM*rr_HF + BB64*H64*rr_DM*rr_HF + BC64*H64*rr_DM*rr_Stroke*rr_HF + BD64*H64*rr_DM*rr_Stroke*rr_HF + AQ64*H64*rr_Stroke*rr_HF + BE64*H64*rr_DM*rr_Stroke*rr_HF
+ AD64*T64*p_MI*p_MI_mort + AD64*T64*p_Stroke*p_Stroke_mort + AE64*T64*p_MI*p_MI_mort + AE64*T64*p_Stroke*p_Stroke_mort + AF64*T64*p_MI*p_MI_mort + AF64*p_recur_Stroke*p_Stroke_mort + AG64*T64*p_MI*p_MI_mort + AG64*p_recur_Stroke*p_Stroke_mort + AH64*(PREV_FEMALE*p_recur_MI_F + (1-PREV_FEMALE)*p_recur_MI_M)*p_MI_mort + AH64*T64*p_Stroke*p_Stroke_mort + AI64*(PREV_FEMALE*p_recur_MI_F + (1-PREV_FEMALE)*p_recur_MI_M)*p_MI_mort + AI64*T64*p_Stroke*p_Stroke_mort + AJ64*(PREV_FEMALE*p_recur_MI_F + (1-PREV_FEMALE)*p_recur_MI_M)*p_MI_mort + AJ64*p_recur_Stroke*p_Stroke_mort + AK64*(PREV_FEMALE*p_recur_MI_F + (1-PREV_FEMALE)*p_recur_MI_M)*p_MI_mort + AK64*p_recur_Stroke*p_Stroke_mort + AL64*(PREV_FEMALE*p_recur_MI_F + (1-PREV_FEMALE)*p_recur_MI_M)*p_MI_mort + AL64*p_recur_Stroke*p_Stroke_mort + AM64*T64*p_Stroke*p_Stroke_mort + AN64*T64*p_Stroke*p_Stroke_mort + AO64*p_recur_Stroke*p_Stroke_mort + AP64*p_recur_Stroke*p_Stroke_mort + AQ64*p_recur_Stroke*p_Stroke_mort
+ AR64*AC64*p_MI*p_MI_mort + AR64*AC64*p_Stroke*p_Stroke_mort + AS64*AC64*p_MI*p_MI_mort + AS64*AC64*p_Stroke*p_Stroke_mort + AT64*AC64*p_MI*p_MI_mort + AT64*p_recur_Stroke*p_Stroke_mort + AU64*AC64*p_MI*p_MI_mort + AU64*p_recur_Stroke*p_Stroke_mort + AV64*(PREV_FEMALE*p_recur_MI_F + (1-PREV_FEMALE)*p_recur_MI_M)*p_MI_mort + AV64*AC64*p_Stroke*p_Stroke_mort + AW64*(PREV_FEMALE*p_recur_MI_F + (1-PREV_FEMALE)*p_recur_MI_M)*p_MI_mort + AW64*AC64*p_Stroke*p_Stroke_mort + AX64*(PREV_FEMALE*p_recur_MI_F + (1-PREV_FEMALE)*p_recur_MI_M)*p_MI_mort + AX64*p_recur_Stroke*p_Stroke_mort + AY64*(PREV_FEMALE*p_recur_MI_F + (1-PREV_FEMALE)*p_recur_MI_M)*p_MI_mort + AY64*p_recur_Stroke*p_Stroke_mort + AZ64*(PREV_FEMALE*p_recur_MI_F + (1-PREV_FEMALE)*p_recur_MI_M)*p_MI_mort + AZ64*p_recur_Stroke*p_Stroke_mort + BA64*AC64*p_Stroke*p_Stroke_mort + BB64*AC64*p_Stroke*p_Stroke_mort + BC64*p_recur_Stroke*p_Stroke_mort + BD64*p_recur_Stroke*p_Stroke_mort + BE64*p_recur_Stroke*p_Stroke_mort
+BF64</f>
        <v>0.94698325127785077</v>
      </c>
      <c r="BG65">
        <f t="shared" si="50"/>
        <v>0.94700000000000017</v>
      </c>
      <c r="BH65">
        <f>(0.9442 - 0.0007*$B65 - dis_BMI*($C65-21.75))*AD65</f>
        <v>4.0975331941382638E-6</v>
      </c>
      <c r="BI65">
        <f>0.959*(0.9442 - 0.0007*$B65 - dis_BMI*($C65-21.75))*AE65</f>
        <v>2.6780842965209528E-7</v>
      </c>
      <c r="BJ65">
        <f>(0.943*(0.9442 - 0.0007*$B65 - dis_BMI*($C65-21.75)) - 0.19*0.5)*AF65</f>
        <v>8.1185244741988891E-8</v>
      </c>
      <c r="BK65">
        <f>(0.943*(0.9442 - 0.0007*$B65 - dis_BMI*($C65-21.75)))*AG65</f>
        <v>-4.9501904440274264E-8</v>
      </c>
      <c r="BL65">
        <f>(0.955*(0.9442 - 0.0007*$B65 - dis_BMI*($C65-21.75)) - 0.15*0.5)*AH65</f>
        <v>5.9076587356785177E-8</v>
      </c>
      <c r="BM65">
        <f>(0.955*(0.9442 - 0.0007*$B65 - dis_BMI*($C65-21.75)))*AI65</f>
        <v>2.0510299725155814E-8</v>
      </c>
      <c r="BN65">
        <f>(0.955*0.943*(0.9442 - 0.0007*$B65 - dis_BMI*($C65-21.75)) - 0.19*0.5)*AJ65</f>
        <v>1.5645232109743724E-9</v>
      </c>
      <c r="BO65">
        <f>(0.955*0.943*(0.9442 - 0.0007*$B65 - dis_BMI*($C65-21.75)) - 0.15*0.5)*AK65</f>
        <v>5.6872929811742238E-10</v>
      </c>
      <c r="BP65">
        <f>(0.955*0.943*(0.9442 - 0.0007*$B65 - dis_BMI*($C65-21.75)))*AL65</f>
        <v>-1.8525072752502343E-9</v>
      </c>
      <c r="BQ65">
        <f>(0.93*(0.9442 - 0.0007*$B65 - dis_BMI*($C65-21.75)))*AM65</f>
        <v>3.9940965883196297E-8</v>
      </c>
      <c r="BR65">
        <f>(0.93*(0.9442 - 0.0007*$B65 - dis_BMI*($C65-21.75)))*AN65</f>
        <v>2.1495824940168805E-8</v>
      </c>
      <c r="BS65">
        <f>(0.93*0.943*(0.9442 - 0.0007*$B65 - dis_BMI*($C65-21.75)))*AO65</f>
        <v>3.4795202119721901E-10</v>
      </c>
      <c r="BT65">
        <f>(0.93*0.943*(0.9442 - 0.0007*$B65 - dis_BMI*($C65-21.75))-0.19*0.5)*AP65</f>
        <v>1.162202113556197E-9</v>
      </c>
      <c r="BU65">
        <f>(0.93*0.943*(0.9442 - 0.0007*$B65 - dis_BMI*($C65-21.75)))*AQ65</f>
        <v>-1.3006884299896501E-9</v>
      </c>
      <c r="BV65">
        <f>0.962*(0.9442 - 0.0007*$B65 - dis_BMI*($C65-21.75))*AR65</f>
        <v>7.5668398315063634E-6</v>
      </c>
      <c r="BW65">
        <f>0.962*0.959*(0.9442 - 0.0007*$B65 - dis_BMI*($C65-21.75))*AS65</f>
        <v>6.3300388140244294E-7</v>
      </c>
      <c r="BX65">
        <f>0.962*(0.943*(0.9442 - 0.0007*$B65 - dis_BMI*($C65-21.75)) - 0.19*0.5)*AT65</f>
        <v>2.6811501082842988E-7</v>
      </c>
      <c r="BY65">
        <f>0.962*(0.943*(0.9442 - 0.0007*$B65 - dis_BMI*($C65-21.75)))*AU65</f>
        <v>-2.0174845207763151E-7</v>
      </c>
      <c r="BZ65">
        <f>0.962*(0.955*(0.9442 - 0.0007*$B65 - dis_BMI*($C65-21.75)) - 0.15*0.5)*AV65</f>
        <v>1.9583993963804729E-7</v>
      </c>
      <c r="CA65">
        <f>0.962*(0.955*(0.9442 - 0.0007*$B65 - dis_BMI*($C65-21.75)))*AW65</f>
        <v>2.5276738203665811E-9</v>
      </c>
      <c r="CB65">
        <f>0.962*(0.955*0.943*(0.9442 - 0.0007*$B65 - dis_BMI*($C65-21.75)) - 0.19*0.5)*AX65</f>
        <v>6.7536215561105327E-9</v>
      </c>
      <c r="CC65">
        <f>0.962*(0.955*0.943*(0.9442 - 0.0007*$B65 - dis_BMI*($C65-21.75)) - 0.15*0.5)*AY65</f>
        <v>2.2912903332512138E-9</v>
      </c>
      <c r="CD65">
        <f>0.962*(0.955*0.943*(0.9442 - 0.0007*$B65 - dis_BMI*($C65-21.75)))*AZ65</f>
        <v>-3.0122990906691741E-9</v>
      </c>
      <c r="CE65">
        <f>0.962*(0.93*(0.9442 - 0.0007*$B65 - dis_BMI*($C65-21.75)))*BA65</f>
        <v>1.2957506148193118E-7</v>
      </c>
      <c r="CF65">
        <f>0.962*(0.93*(0.9442 - 0.0007*$B65 - dis_BMI*($C65-21.75)))*BB65</f>
        <v>1.2507658030949049E-8</v>
      </c>
      <c r="CG65">
        <f>0.962*(0.93*0.943*(0.9442 - 0.0007*$B65 - dis_BMI*($C65-21.75)))*BC65</f>
        <v>1.1474299985705674E-9</v>
      </c>
      <c r="CH65">
        <f>0.962*(0.93*0.943*(0.9442 - 0.0007*$B65 - dis_BMI*($C65-21.75))-0.19*0.5)*BD65</f>
        <v>4.2084613982375885E-10</v>
      </c>
      <c r="CI65">
        <f>0.962*(0.93*0.943*(0.9442 - 0.0007*$B65 - dis_BMI*($C65-21.75)))*BE65</f>
        <v>8.8353903575747343E-8</v>
      </c>
      <c r="CJ65">
        <f t="shared" si="51"/>
        <v>0</v>
      </c>
      <c r="CK65">
        <f t="shared" si="52"/>
        <v>1.3241154250079722E-5</v>
      </c>
      <c r="CL65">
        <f>CK65/(1+r_)^A65</f>
        <v>2.118448511876759E-6</v>
      </c>
      <c r="CM65">
        <f>AD65*c_BN_2</f>
        <v>1.0450302530545212E-2</v>
      </c>
      <c r="CN65">
        <f>AE65*(c_Other+c_BN_2)</f>
        <v>5.5665072269764975E-3</v>
      </c>
      <c r="CO65">
        <f>AF65*(c_Stroke1+c_Stroke2+c_BN_2)</f>
        <v>3.0952405618577339E-3</v>
      </c>
      <c r="CP65">
        <f>AG65*(c_Stroke2 + c_BN_2)</f>
        <v>-5.4926060531210609E-4</v>
      </c>
      <c r="CQ65">
        <f>AH65*(c_MI1+c_MI2 + c_BN_2)</f>
        <v>2.6017803026370293E-3</v>
      </c>
      <c r="CR65">
        <f>AI65*(c_MI2+c_BN_2)</f>
        <v>1.3626847566853816E-4</v>
      </c>
      <c r="CS65">
        <f>AJ65*(c_Stroke1+c_Stroke2+c_MI2+c_BN_2)</f>
        <v>7.0436683564421254E-5</v>
      </c>
      <c r="CT65">
        <f>AK65*(c_Stroke2+c_MI1+c_MI2+c_BN_2)</f>
        <v>3.2293088542269989E-5</v>
      </c>
      <c r="CU65">
        <f>AL65*(c_Stroke2+c_MI2+c_BN_2)</f>
        <v>-2.9329068985422667E-5</v>
      </c>
      <c r="CV65">
        <f>AM65*(c_HF1+c_BN_2)</f>
        <v>1.5227335061019853E-3</v>
      </c>
      <c r="CW65">
        <f>AN65*(c_HF2+c_BN_2)</f>
        <v>4.9804294193727121E-4</v>
      </c>
      <c r="CX65">
        <f>AO65*(c_Stroke2+c_HF1+c_BN_2)</f>
        <v>1.7206872899257556E-5</v>
      </c>
      <c r="CY65">
        <f>AP65*(c_Stroke1+c_Stroke2+c_HF2+c_BN_2)</f>
        <v>7.7150886559318707E-5</v>
      </c>
      <c r="CZ65">
        <f>AQ65*(c_Stroke2+c_HF2+c_BN_2)</f>
        <v>-4.3693451971752101E-5</v>
      </c>
      <c r="DA65">
        <f>AR65*(c_DM+c_BN_2)</f>
        <v>0.1294608685277156</v>
      </c>
      <c r="DB65">
        <f>AS65*(c_Other+c_DM+c_BN_2)</f>
        <v>2.3220107325589E-2</v>
      </c>
      <c r="DC65">
        <f>AT65*(c_Stroke1+c_Stroke2+c_DM+c_BN_2)</f>
        <v>1.5311120504718475E-2</v>
      </c>
      <c r="DD65">
        <f>AU65*(c_Stroke2+c_DM+c_BN_2)</f>
        <v>-5.4201321466121411E-3</v>
      </c>
      <c r="DE65">
        <f>AV65*(c_MI1+c_MI2+c_DM+c_BN_2)</f>
        <v>1.2243900977331062E-2</v>
      </c>
      <c r="DF65">
        <f>AW65*(c_MI2+c_DM+c_BN_2)</f>
        <v>5.5723701715395414E-5</v>
      </c>
      <c r="DG65">
        <f>AX65*(c_Stroke1+c_Stroke2+c_MI2+c_DM+c_BN_2)</f>
        <v>4.4046576413414183E-4</v>
      </c>
      <c r="DH65">
        <f>AY65*(c_Stroke2+c_MI1+c_MI2+c_DM+c_BN_2)</f>
        <v>1.761761592171443E-4</v>
      </c>
      <c r="DI65">
        <f>AZ65*(c_Stroke2+c_MI2+c_DM+c_BN_2)</f>
        <v>-9.7934871168468203E-5</v>
      </c>
      <c r="DJ65">
        <f>BA65*(c_HF1+c_DM+c_BN_2)</f>
        <v>7.1495155812059483E-3</v>
      </c>
      <c r="DK65">
        <f>BB65*(c_HF2+c_DM+c_BN_2)</f>
        <v>4.9568556019226047E-4</v>
      </c>
      <c r="DL65">
        <f>BC65*(c_Stroke2+c_HF1+c_DM+c_BN_2)</f>
        <v>7.7900181550613366E-5</v>
      </c>
      <c r="DM65">
        <f>BD65*(c_Stroke1+c_Stroke2+c_HF2+c_DM+c_BN_2)</f>
        <v>3.7032597352812113E-5</v>
      </c>
      <c r="DN65">
        <f>BE65*(c_Stroke2+c_HF2+c_DM+c_BN_2)</f>
        <v>4.541854915099789E-3</v>
      </c>
      <c r="DO65">
        <f t="shared" si="53"/>
        <v>0</v>
      </c>
      <c r="DP65">
        <f t="shared" si="54"/>
        <v>0.21113796472906182</v>
      </c>
      <c r="DQ65">
        <f>DP65/(1+r_)^A65</f>
        <v>3.3779903075917696E-2</v>
      </c>
    </row>
    <row r="66" spans="1:152" x14ac:dyDescent="0.3">
      <c r="A66">
        <v>63</v>
      </c>
      <c r="B66">
        <v>108</v>
      </c>
      <c r="C66">
        <f t="shared" si="39"/>
        <v>36.251999999999995</v>
      </c>
      <c r="D66">
        <f t="shared" si="1"/>
        <v>125</v>
      </c>
      <c r="E66">
        <f t="shared" si="41"/>
        <v>5.7</v>
      </c>
      <c r="F66">
        <v>0.48608000000000001</v>
      </c>
      <c r="G66">
        <v>0.51426000000000005</v>
      </c>
      <c r="H66">
        <f t="shared" si="42"/>
        <v>0.49171600000000004</v>
      </c>
      <c r="I66">
        <f t="shared" si="43"/>
        <v>4.7655426853004217E-2</v>
      </c>
      <c r="J66">
        <f t="shared" si="21"/>
        <v>0.59227859289646601</v>
      </c>
      <c r="K66">
        <f t="shared" si="22"/>
        <v>0.71534589085341271</v>
      </c>
      <c r="L66">
        <f t="shared" si="23"/>
        <v>0.3460469978982601</v>
      </c>
      <c r="M66">
        <f t="shared" si="24"/>
        <v>0.44833616423181355</v>
      </c>
      <c r="N66">
        <f t="shared" si="25"/>
        <v>0.93715961012759086</v>
      </c>
      <c r="O66">
        <f t="shared" si="26"/>
        <v>0.97995874852182041</v>
      </c>
      <c r="P66">
        <f t="shared" si="27"/>
        <v>0.74363093422646198</v>
      </c>
      <c r="Q66">
        <f t="shared" si="28"/>
        <v>0.8538719224497241</v>
      </c>
      <c r="R66">
        <f>IF(C66&lt;25, HT_f_low, IF(C66&lt;30, HT_f_mod, HT_f_high))</f>
        <v>0.42</v>
      </c>
      <c r="S66">
        <f>IF(C66&lt;25, HT_m_low, IF(C66&lt;30, HT_m_mod, HT_m_high))</f>
        <v>0.43099999999999999</v>
      </c>
      <c r="T66">
        <f>PREV_FEMALE*PREV_SMOKE*(1-$R66)*(1-EXP(-J66/10))+PREV_FEMALE*PREV_SMOKE*$R66*(1-EXP(-K66/10))+PREV_FEMALE*(1-PREV_SMOKE)*(1-$R66)*(1-EXP(-L66/10))+PREV_FEMALE*(1-PREV_SMOKE)*$R66*(1-EXP(-M66/10))+(1-PREV_FEMALE)*PREV_SMOKE*(1-$S66)*(1-EXP(-N66/10))+(1-PREV_FEMALE)*PREV_SMOKE*$S66*(1-EXP(-O66/10))+(1-PREV_FEMALE)*(1-PREV_SMOKE)*(1-$S66)*(1-EXP(-P66/10))+(1-PREV_FEMALE)*(1-PREV_SMOKE)*$S66*(1-EXP(-Q66/10))</f>
        <v>4.8521627215763308E-2</v>
      </c>
      <c r="U66">
        <f t="shared" si="29"/>
        <v>0.85808415641580671</v>
      </c>
      <c r="V66">
        <f t="shared" si="30"/>
        <v>0.93507281787297147</v>
      </c>
      <c r="W66">
        <f t="shared" si="31"/>
        <v>0.60319932734168602</v>
      </c>
      <c r="X66">
        <f t="shared" si="32"/>
        <v>0.72596621899776004</v>
      </c>
      <c r="Y66">
        <f t="shared" si="33"/>
        <v>0.99098387678243716</v>
      </c>
      <c r="Z66">
        <f t="shared" si="34"/>
        <v>0.99871036834144389</v>
      </c>
      <c r="AA66">
        <f t="shared" si="35"/>
        <v>0.90135057855421585</v>
      </c>
      <c r="AB66">
        <f t="shared" si="36"/>
        <v>0.96209759812297713</v>
      </c>
      <c r="AC66">
        <f>PREV_FEMALE*PREV_SMOKE*(1-$R66)*(1-EXP(-U66/10))+PREV_FEMALE*PREV_SMOKE*$R66*(1-EXP(-V66/10))+PREV_FEMALE*(1-PREV_SMOKE)*(1-$R66)*(1-EXP(-W66/10))+PREV_FEMALE*(1-PREV_SMOKE)*$R66*(1-EXP(-X66/10))+(1-PREV_FEMALE)*PREV_SMOKE*(1-$S66)*(1-EXP(-Y66/10))+(1-PREV_FEMALE)*PREV_SMOKE*$S66*(1-EXP(-Z66/10))+(1-PREV_FEMALE)*(1-PREV_SMOKE)*(1-$S66)*(1-EXP(-AA66/10))+(1-PREV_FEMALE)*(1-PREV_SMOKE)*$S66*(1-EXP(-AB66/10))</f>
        <v>7.0738879032929483E-2</v>
      </c>
      <c r="AD66">
        <f t="shared" si="44"/>
        <v>2.2719375870121658E-6</v>
      </c>
      <c r="AE66">
        <f t="shared" si="45"/>
        <v>1.5004588299467062E-7</v>
      </c>
      <c r="AF66">
        <f t="shared" si="46"/>
        <v>5.7131134753189843E-8</v>
      </c>
      <c r="AG66">
        <f t="shared" si="47"/>
        <v>-3.2486621793221923E-8</v>
      </c>
      <c r="AH66">
        <f>AD65*T65*p_MI*p_MI_rec_old*(1-I65)+AE65*T65*p_MI*p_MI_rec_old*(1-I65) + AH65*(PREV_FEMALE*p_recur_MI_F + (1-PREV_FEMALE)*p_recur_MI_M)*p_MI_rec_old*(1-I65) + AI65*(PREV_FEMALE*p_recur_MI_F + (1-PREV_FEMALE)*p_recur_MI_M)*p_MI_rec_old*(1-I65)</f>
        <v>3.9803095399509783E-8</v>
      </c>
      <c r="AI66">
        <f>AH65*(1-(PREV_FEMALE*p_recur_MI_F + (1-PREV_FEMALE)*p_recur_MI_M) - T65*p_Stroke - p_toHF_old - H65*rr_MI)*(1-I65) + AI65*(1-(PREV_FEMALE*p_recur_MI_F + (1-PREV_FEMALE)*p_recur_MI_M) - T65*p_Stroke - p_toHF_old - H65*rr_MI)*(1-I65)</f>
        <v>8.9639838979301674E-9</v>
      </c>
      <c r="AJ66">
        <f t="shared" si="48"/>
        <v>1.1350207025315373E-9</v>
      </c>
      <c r="AK66">
        <f>AF65*T65*p_MI*p_MI_rec_old*(1-I65) + AG65*T65*p_MI*p_MI_rec_old*(1-I65) + AJ65*(PREV_FEMALE*p_recur_MI_F + (1-PREV_FEMALE)*p_recur_MI_M)*p_MI_rec_old*(1-I65) + AK65*(PREV_FEMALE*p_recur_MI_F + (1-PREV_FEMALE)*p_recur_MI_M)*p_MI_rec_old*(1-I65) + AL65*(PREV_FEMALE*p_recur_MI_F + (1-PREV_FEMALE)*p_recur_MI_M)*p_MI_rec_old*(1-I65)</f>
        <v>3.9829345683465409E-10</v>
      </c>
      <c r="AL66">
        <f>AJ65*(1-p_recur_Stroke-(PREV_FEMALE*p_recur_MI_F + (1-PREV_FEMALE)*p_recur_MI_M) - p_toHF_old - H65*rr_MI*rr_Stroke)*(1-I65) + AK65*(1-p_recur_Stroke-(PREV_FEMALE*p_recur_MI_F + (1-PREV_FEMALE)*p_recur_MI_M) - p_toHF_old - H65*rr_MI*rr_Stroke)*(1-I65) + AL65*(1-p_recur_Stroke-(PREV_FEMALE*p_recur_MI_F + (1-PREV_FEMALE)*p_recur_MI_M) - p_toHF_old - H65*rr_MI*rr_Stroke)*(1-I65)</f>
        <v>-1.1986744178608206E-9</v>
      </c>
      <c r="AM66">
        <f>AD65*T65*p_MI*p_MI_HF_old*(1-I65) + AE65*T65*p_MI*p_MI_HF_old*(1-I65) + AH65*p_toHF_old*(1-I65) + AH65*(PREV_FEMALE*p_recur_MI_F + (1-PREV_FEMALE)*p_recur_MI_M)*p_MI_HF_old*(1-I65) + AI65*p_toHF_old*(1-I65) + AI65*(PREV_FEMALE*p_recur_MI_F + (1-PREV_FEMALE)*p_recur_MI_M)*p_MI_HF_old*(1-I65)</f>
        <v>2.4696674094632613E-8</v>
      </c>
      <c r="AN66">
        <f t="shared" si="49"/>
        <v>9.678692655804097E-9</v>
      </c>
      <c r="AO66">
        <f>AF65*T65*p_MI*p_MI_HF_old*(1-I65) + AG65*T65*p_MI*p_MI_HF_old*(1-I65) + AJ65*(PREV_FEMALE*p_recur_MI_F + (1-PREV_FEMALE)*p_recur_MI_M)*p_MI_HF_old*(1-I65) + AJ65*p_toHF_old*(1-I65) + AK65*(PREV_FEMALE*p_recur_MI_F + (1-PREV_FEMALE)*p_recur_MI_M)*p_MI_HF_old*(1-I65) + AK65*p_toHF_old*(1-I65) + AL65*(PREV_FEMALE*p_recur_MI_F + (1-PREV_FEMALE)*p_recur_MI_M)*p_MI_HF_old*(1-I65) + AL65*p_toHF_old*(1-I65)</f>
        <v>2.2297862455006228E-10</v>
      </c>
      <c r="AP66">
        <f>AM65*T65*p_Stroke*p_Stroke_rec*(1-I65) + AN65*T65*p_Stroke*p_Stroke_rec*(1-I65) + AO65*(p_recur_Stroke*p_Stroke_rec)*(1-I65) + AP65*(p_recur_Stroke*p_Stroke_rec)*(1-I65) + AQ65*(p_recur_Stroke*p_Stroke_rec)*(1-I65)</f>
        <v>8.3048844258838625E-10</v>
      </c>
      <c r="AQ66">
        <f>AO65*(1-p_recur_Stroke-H65*rr_Stroke*rr_HF)*(1-I65) + AP65*(1-p_recur_Stroke-H65*rr_Stroke*rr_HF)*(1-I65) + AQ65*(1-p_recur_Stroke-H65*rr_Stroke*rr_HF)*(1-I65)</f>
        <v>-9.2876253064657514E-10</v>
      </c>
      <c r="AR66">
        <f>AR65*(1-AC65-H65*rr_DM) + AD65*(1-T65-H65)*I65</f>
        <v>3.7996043232909526E-6</v>
      </c>
      <c r="AS66">
        <f>AR65*AC65*p_Other + AD65*T65*p_Other*I65 + AE65*(1-T65*p_Stroke-T65*p_MI-H65*rr_Other)*I65 + AS65*(1-AC65*p_Stroke-AC65*p_MI-H65*rr_Other*rr_DM)</f>
        <v>3.2005151277307669E-7</v>
      </c>
      <c r="AT66">
        <f>AR65*AC65*p_Stroke*p_Stroke_rec + AD65*T65*p_Stroke*p_Stroke_rec*I65 + AE65*T65*p_Stroke*p_Stroke_rec*I65 + AF65*p_recur_Stroke*p_Stroke_rec*I65 + AG65*p_recur_Stroke*p_Stroke_rec*I65 + AS65*AC65*p_Stroke*p_Stroke_rec + AT65*p_recur_Stroke*p_Stroke_rec + AU65*p_recur_Stroke*p_Stroke_rec</f>
        <v>1.7243418405338714E-7</v>
      </c>
      <c r="AU66">
        <f>AF65*(1-p_recur_Stroke-T65*p_MI-H65*rr_Stroke)*I65 + AG65*(1-p_recur_Stroke-T65*p_MI-H65*rr_Stroke)*I65 + AT65*(1-p_recur_Stroke-AC65*p_MI-H65*rr_Stroke*rr_DM) + AU65*(1-p_recur_Stroke-AC65*p_MI-H65*rr_Stroke*rr_DM)</f>
        <v>-1.1888968788647898E-7</v>
      </c>
      <c r="AV66">
        <f>AR65*AC65*p_MI*p_MI_rec_old + AD65*T65*p_MI*p_MI_rec_old*I65 + AE65*T65*p_MI*p_MI_rec_old*I65 +AH65*(PREV_FEMALE*p_recur_MI_F + (1-PREV_FEMALE)*p_recur_MI_M)*p_MI_rec_old*I65 + AI65*(PREV_FEMALE*p_recur_MI_F + (1-PREV_FEMALE)*p_recur_MI_M)*p_MI_rec_old*I65 + AS65*AC65*p_MI*p_MI_rec_old + AV65*(PREV_FEMALE*p_recur_MI_F + (1-PREV_FEMALE)*p_recur_MI_M)*p_MI_rec_old + AW65*(PREV_FEMALE*p_recur_MI_F + (1-PREV_FEMALE)*p_recur_MI_M)*p_MI_rec_old</f>
        <v>1.2053961116287963E-7</v>
      </c>
      <c r="AW66">
        <f>AH65*(1-(PREV_FEMALE*p_recur_MI_F + (1-PREV_FEMALE)*p_recur_MI_M) - T65*p_Stroke - p_toHF_old - H65*rr_MI)*I65 + AI65*(1-(PREV_FEMALE*p_recur_MI_F + (1-PREV_FEMALE)*p_recur_MI_M) - T65*p_Stroke - p_toHF_old - H65*rr_MI)*I65 + AV65*(1-(PREV_FEMALE*p_recur_MI_F + (1-PREV_FEMALE)*p_recur_MI_M) - AC65*p_Stroke - p_toHF_old - H65*rr_MI*rr_DM) + AW65*(1-(PREV_FEMALE*p_recur_MI_F + (1-PREV_FEMALE)*p_recur_MI_M) - AC65*p_Stroke - p_toHF_old - H65*rr_MI*rr_DM)</f>
        <v>-8.6712499950636399E-9</v>
      </c>
      <c r="AX66">
        <f>AH65*T65*p_Stroke*p_Stroke_rec*I65 + AI65*T65*p_Stroke*p_Stroke_rec*I65 + AJ65*p_recur_Stroke*p_Stroke_rec*I65 + AK65*p_recur_Stroke*p_Stroke_rec*I65 + AL65*p_recur_Stroke*p_Stroke_rec*I65 + AV65*AC65*p_Stroke*p_Stroke_rec + AW65*AC65*p_Stroke*p_Stroke_rec + AX65*p_recur_Stroke*p_Stroke_rec + AY65*p_recur_Stroke*p_Stroke_rec + AZ65*p_recur_Stroke*p_Stroke_rec</f>
        <v>5.486454753745026E-9</v>
      </c>
      <c r="AY66">
        <f>AF65*T65*p_MI*p_MI_rec_old*I65 + AG65*T65*p_MI*p_MI_rec_old*I65 + AJ65*(PREV_FEMALE*p_recur_MI_F+(1-PREV_FEMALE)*p_recur_MI_M)*p_MI_rec_old*I65 + AK65*(PREV_FEMALE*p_recur_MI_F+(1-PREV_FEMALE)*p_recur_MI_M)*p_MI_rec_old*I65 + AL65*(PREV_FEMALE*p_recur_MI_F+(1-PREV_FEMALE)*p_recur_MI_M)*p_MI_rec_old*I65 + AT65*AC65*p_MI*p_MI_rec_old + AU65*AC65*p_MI*p_MI_rec_old + AX65*(PREV_FEMALE*p_recur_MI_F+(1-PREV_FEMALE)*p_recur_MI_M)*p_MI_rec_old + AY65*(PREV_FEMALE*p_recur_MI_F+(1-PREV_FEMALE)*p_recur_MI_M)*p_MI_rec_old + AZ65*(PREV_FEMALE*p_recur_MI_F+(1-PREV_FEMALE)*p_recur_MI_M)*p_MI_rec_old</f>
        <v>1.9136819284223983E-9</v>
      </c>
      <c r="AZ66">
        <f>AJ65*(1-p_recur_Stroke-(PREV_FEMALE*p_recur_MI_F + (1-PREV_FEMALE)*p_recur_MI_M) - p_toHF_old - H65*rr_MI*rr_Stroke)*I65 + AK65*(1-p_recur_Stroke-(PREV_FEMALE*p_recur_MI_F + (1-PREV_FEMALE)*p_recur_MI_M) - p_toHF_old - H65*rr_MI*rr_Stroke)*I65 + AL65*(1-p_recur_Stroke-(PREV_FEMALE*p_recur_MI_F + (1-PREV_FEMALE)*p_recur_MI_M) - p_toHF_old - H65*rr_MI*rr_Stroke)*I65 + AX65*(1-p_recur_Stroke-(PREV_FEMALE*p_recur_MI_F + (1-PREV_FEMALE)*p_recur_MI_M) - p_toHF_old - H65*rr_MI*rr_Stroke*rr_DM) + AY65*(1-p_recur_Stroke-(PREV_FEMALE*p_recur_MI_F + (1-PREV_FEMALE)*p_recur_MI_M) - p_toHF_old - H65*rr_MI*rr_Stroke*rr_DM) + AZ65*(1-p_recur_Stroke-(PREV_FEMALE*p_recur_MI_F + (1-PREV_FEMALE)*p_recur_MI_M) - p_toHF_old - H65*rr_MI*rr_Stroke*rr_DM)</f>
        <v>-2.0226758124393573E-8</v>
      </c>
      <c r="BA66">
        <f>AR65*AC65*p_MI*p_MI_HF_old + AD65*T65*p_MI*p_MI_HF_old*I65 + AE65*T65*p_MI*p_MI_HF_old*I65 + AH65*p_toHF_old*I65 + AH65*(PREV_FEMALE*p_recur_MI_F + (1-PREV_FEMALE)*p_recur_MI_M)*p_MI_HF_old*I65 + AI65*p_toHF_old*I65 + AI65*(PREV_FEMALE*p_recur_MI_F + (1-PREV_FEMALE)*p_recur_MI_M)*p_MI_HF_old*I65 + AS65*AC65*p_MI*p_MI_HF_old + AV65*(PREV_FEMALE*p_recur_MI_F + (1-PREV_FEMALE)*p_recur_MI_M)*p_MI_HF_old + AV65*p_toHF_old + AW65*(PREV_FEMALE*p_recur_MI_F + (1-PREV_FEMALE)*p_recur_MI_M)*p_MI_HF_old + AW65*p_toHF_old</f>
        <v>7.3187019400348053E-8</v>
      </c>
      <c r="BB66">
        <f>AM65*(1-T65*p_Stroke - H65*rr_HF)*I65 + AN65*(1-T65*p_Stroke - H65*rr_HF)*I65 + BA65*(1-AC65*p_Stroke - H65*rr_HF*rr_DM) + BB65*(1-AC65*p_Stroke - H65*rr_HF*rr_DM)</f>
        <v>-1.0883407744597082E-9</v>
      </c>
      <c r="BC66">
        <f>AF65*T65*p_MI*p_MI_HF_old*I65 + AG65*T65*p_MI*p_MI_HF_old*I65 + AJ65*(PREV_FEMALE*p_recur_MI_F + (1-PREV_FEMALE)*p_recur_MI_M)*p_MI_HF_old*I65 + AJ65*p_toHF_old*I65 + AK65*(PREV_FEMALE*p_recur_MI_F + (1-PREV_FEMALE)*p_recur_MI_M)*p_MI_HF_old*I65 + AK65*p_toHF_old*I65 + AL65*(PREV_FEMALE*p_recur_MI_F + (1-PREV_FEMALE)*p_recur_MI_M)*p_MI_HF_old*I65 + AL65*p_toHF_old*I65 + AT65*AC65*p_MI*p_MI_HF_old + AU65*AC65*p_MI*p_MI_HF_old + AX65*(PREV_FEMALE*p_recur_MI_F + (1-PREV_FEMALE)*p_recur_MI_M)*p_MI_HF_old + AX65*p_toHF_old + AY65*(PREV_FEMALE*p_recur_MI_F + (1-PREV_FEMALE)*p_recur_MI_M)*p_MI_HF_old + AY65*p_toHF_old + AZ65*(PREV_FEMALE*p_recur_MI_F + (1-PREV_FEMALE)*p_recur_MI_M)*p_MI_HF_old + AZ65*p_toHF_old</f>
        <v>1.6086459292118769E-9</v>
      </c>
      <c r="BD66">
        <f>AM65*T65*p_Stroke*p_Stroke_rec*I65 + AN65*T65*p_Stroke*p_Stroke_rec*I65 + AO65*(p_recur_Stroke*p_Stroke_rec)*I65 + AP65*(p_recur_Stroke*p_Stroke_rec)*I65 + AQ65*(p_recur_Stroke*p_Stroke_rec)*I65 + BA65*AC65*p_Stroke*p_Stroke_rec + BB65*AC65*p_Stroke*p_Stroke_rec + BC65*(p_recur_Stroke*p_Stroke_rec) + BD65*(p_recur_Stroke*p_Stroke_rec) + BE65*(p_recur_Stroke*p_Stroke_rec)</f>
        <v>1.7239925849506389E-8</v>
      </c>
      <c r="BE66">
        <f>AO65*(1-p_recur_Stroke - H65*rr_Stroke*rr_HF)*I65 + AP65*(1-p_recur_Stroke-H65*rr_Stroke*rr_HF)*I65 + AQ65*(1-p_recur_Stroke-H65*rr_Stroke*rr_HF)*I65 + BC65*(1-p_recur_Stroke - H65*rr_Stroke*rr_HF*rr_DM) + BD65*(1-p_recur_Stroke-H65*rr_Stroke*rr_HF*rr_DM) + BE65*(1-p_recur_Stroke-H65*rr_Stroke*rr_HF*rr_DM)</f>
        <v>-2.8896293356349848E-7</v>
      </c>
      <c r="BF66">
        <f>AD65*H65 + AE65*H65*rr_Other + AF65*H65*rr_Stroke + AG65*H65*rr_Stroke + AH65*H65*rr_MI + AI65*H65*rr_MI + AJ65*H65*rr_Stroke*rr_MI + AK65*H65*rr_Stroke*rr_MI + AL65*H65*rr_Stroke*rr_MI + AM65*H65*rr_HF + AN65*H65*rr_HF + AO65*H65*rr_Stroke*rr_HF + AP65*H65*rr_Stroke*rr_HF + AR65*H65*rr_DM + AS65*H65*rr_DM*rr_Other + AT65*H65*rr_DM*rr_Stroke + AU65*H65*rr_DM*rr_Stroke + AV65*H65*rr_DM*rr_MI + AW65*H65*rr_DM*rr_MI + AX65*H65*rr_DM*rr_Stroke*rr_MI + AY65*H65*rr_DM*rr_Stroke*rr_MI + AZ65*H65*rr_DM*rr_Stroke*rr_MI + BA65*H65*rr_DM*rr_HF + BB65*H65*rr_DM*rr_HF + BC65*H65*rr_DM*rr_Stroke*rr_HF + BD65*H65*rr_DM*rr_Stroke*rr_HF + AQ65*H65*rr_Stroke*rr_HF + BE65*H65*rr_DM*rr_Stroke*rr_HF
+ AD65*T65*p_MI*p_MI_mort + AD65*T65*p_Stroke*p_Stroke_mort + AE65*T65*p_MI*p_MI_mort + AE65*T65*p_Stroke*p_Stroke_mort + AF65*T65*p_MI*p_MI_mort + AF65*p_recur_Stroke*p_Stroke_mort + AG65*T65*p_MI*p_MI_mort + AG65*p_recur_Stroke*p_Stroke_mort + AH65*(PREV_FEMALE*p_recur_MI_F + (1-PREV_FEMALE)*p_recur_MI_M)*p_MI_mort + AH65*T65*p_Stroke*p_Stroke_mort + AI65*(PREV_FEMALE*p_recur_MI_F + (1-PREV_FEMALE)*p_recur_MI_M)*p_MI_mort + AI65*T65*p_Stroke*p_Stroke_mort + AJ65*(PREV_FEMALE*p_recur_MI_F + (1-PREV_FEMALE)*p_recur_MI_M)*p_MI_mort + AJ65*p_recur_Stroke*p_Stroke_mort + AK65*(PREV_FEMALE*p_recur_MI_F + (1-PREV_FEMALE)*p_recur_MI_M)*p_MI_mort + AK65*p_recur_Stroke*p_Stroke_mort + AL65*(PREV_FEMALE*p_recur_MI_F + (1-PREV_FEMALE)*p_recur_MI_M)*p_MI_mort + AL65*p_recur_Stroke*p_Stroke_mort + AM65*T65*p_Stroke*p_Stroke_mort + AN65*T65*p_Stroke*p_Stroke_mort + AO65*p_recur_Stroke*p_Stroke_mort + AP65*p_recur_Stroke*p_Stroke_mort + AQ65*p_recur_Stroke*p_Stroke_mort
+ AR65*AC65*p_MI*p_MI_mort + AR65*AC65*p_Stroke*p_Stroke_mort + AS65*AC65*p_MI*p_MI_mort + AS65*AC65*p_Stroke*p_Stroke_mort + AT65*AC65*p_MI*p_MI_mort + AT65*p_recur_Stroke*p_Stroke_mort + AU65*AC65*p_MI*p_MI_mort + AU65*p_recur_Stroke*p_Stroke_mort + AV65*(PREV_FEMALE*p_recur_MI_F + (1-PREV_FEMALE)*p_recur_MI_M)*p_MI_mort + AV65*AC65*p_Stroke*p_Stroke_mort + AW65*(PREV_FEMALE*p_recur_MI_F + (1-PREV_FEMALE)*p_recur_MI_M)*p_MI_mort + AW65*AC65*p_Stroke*p_Stroke_mort + AX65*(PREV_FEMALE*p_recur_MI_F + (1-PREV_FEMALE)*p_recur_MI_M)*p_MI_mort + AX65*p_recur_Stroke*p_Stroke_mort + AY65*(PREV_FEMALE*p_recur_MI_F + (1-PREV_FEMALE)*p_recur_MI_M)*p_MI_mort + AY65*p_recur_Stroke*p_Stroke_mort + AZ65*(PREV_FEMALE*p_recur_MI_F + (1-PREV_FEMALE)*p_recur_MI_M)*p_MI_mort + AZ65*p_recur_Stroke*p_Stroke_mort + BA65*AC65*p_Stroke*p_Stroke_mort + BB65*AC65*p_Stroke*p_Stroke_mort + BC65*p_recur_Stroke*p_Stroke_mort + BD65*p_recur_Stroke*p_Stroke_mort + BE65*p_recur_Stroke*p_Stroke_mort
+BF65</f>
        <v>0.9469933955438381</v>
      </c>
      <c r="BG66">
        <f t="shared" si="50"/>
        <v>0.94700000000000017</v>
      </c>
      <c r="BH66">
        <f>(0.9442 - 0.0007*$B66 - dis_BMI*($C66-21.75))*AD66</f>
        <v>1.8646777797521609E-6</v>
      </c>
      <c r="BI66">
        <f>0.959*(0.9442 - 0.0007*$B66 - dis_BMI*($C66-21.75))*AE66</f>
        <v>1.1810005227028118E-7</v>
      </c>
      <c r="BJ66">
        <f>(0.943*(0.9442 - 0.0007*$B66 - dis_BMI*($C66-21.75)) - 0.19*0.5)*AF66</f>
        <v>3.8789813879996255E-8</v>
      </c>
      <c r="BK66">
        <f>(0.943*(0.9442 - 0.0007*$B66 - dis_BMI*($C66-21.75)))*AG66</f>
        <v>-2.5143379140853321E-8</v>
      </c>
      <c r="BL66">
        <f>(0.955*(0.9442 - 0.0007*$B66 - dis_BMI*($C66-21.75)) - 0.15*0.5)*AH66</f>
        <v>2.8212829940562472E-8</v>
      </c>
      <c r="BM66">
        <f>(0.955*(0.9442 - 0.0007*$B66 - dis_BMI*($C66-21.75)))*AI66</f>
        <v>7.0260597439454974E-9</v>
      </c>
      <c r="BN66">
        <f>(0.955*0.943*(0.9442 - 0.0007*$B66 - dis_BMI*($C66-21.75)) - 0.19*0.5)*AJ66</f>
        <v>7.3110404050302755E-10</v>
      </c>
      <c r="BO66">
        <f>(0.955*0.943*(0.9442 - 0.0007*$B66 - dis_BMI*($C66-21.75)) - 0.15*0.5)*AK66</f>
        <v>2.6451974075177298E-10</v>
      </c>
      <c r="BP66">
        <f>(0.955*0.943*(0.9442 - 0.0007*$B66 - dis_BMI*($C66-21.75)))*AL66</f>
        <v>-8.8597955481352201E-10</v>
      </c>
      <c r="BQ66">
        <f>(0.93*(0.9442 - 0.0007*$B66 - dis_BMI*($C66-21.75)))*AM66</f>
        <v>1.8850758006562246E-8</v>
      </c>
      <c r="BR66">
        <f>(0.93*(0.9442 - 0.0007*$B66 - dis_BMI*($C66-21.75)))*AN66</f>
        <v>7.3876624996281067E-9</v>
      </c>
      <c r="BS66">
        <f>(0.93*0.943*(0.9442 - 0.0007*$B66 - dis_BMI*($C66-21.75)))*AO66</f>
        <v>1.6049639152201058E-10</v>
      </c>
      <c r="BT66">
        <f>(0.93*0.943*(0.9442 - 0.0007*$B66 - dis_BMI*($C66-21.75))-0.19*0.5)*AP66</f>
        <v>5.1887568711794424E-10</v>
      </c>
      <c r="BU66">
        <f>(0.93*0.943*(0.9442 - 0.0007*$B66 - dis_BMI*($C66-21.75)))*AQ66</f>
        <v>-6.6850818122325905E-10</v>
      </c>
      <c r="BV66">
        <f>0.962*(0.9442 - 0.0007*$B66 - dis_BMI*($C66-21.75))*AR66</f>
        <v>2.9999971644563199E-6</v>
      </c>
      <c r="BW66">
        <f>0.962*0.959*(0.9442 - 0.0007*$B66 - dis_BMI*($C66-21.75))*AS66</f>
        <v>2.4233768929363077E-7</v>
      </c>
      <c r="BX66">
        <f>0.962*(0.943*(0.9442 - 0.0007*$B66 - dis_BMI*($C66-21.75)) - 0.19*0.5)*AT66</f>
        <v>1.126271991156872E-7</v>
      </c>
      <c r="BY66">
        <f>0.962*(0.943*(0.9442 - 0.0007*$B66 - dis_BMI*($C66-21.75)))*AU66</f>
        <v>-8.8519377417250737E-8</v>
      </c>
      <c r="BZ66">
        <f>0.962*(0.955*(0.9442 - 0.0007*$B66 - dis_BMI*($C66-21.75)) - 0.15*0.5)*AV66</f>
        <v>8.2192967734570397E-8</v>
      </c>
      <c r="CA66">
        <f>0.962*(0.955*(0.9442 - 0.0007*$B66 - dis_BMI*($C66-21.75)))*AW66</f>
        <v>-6.5383407430905072E-9</v>
      </c>
      <c r="CB66">
        <f>0.962*(0.955*0.943*(0.9442 - 0.0007*$B66 - dis_BMI*($C66-21.75)) - 0.19*0.5)*AX66</f>
        <v>3.3997131495756239E-9</v>
      </c>
      <c r="CC66">
        <f>0.962*(0.955*0.943*(0.9442 - 0.0007*$B66 - dis_BMI*($C66-21.75)) - 0.15*0.5)*AY66</f>
        <v>1.2226432210295492E-9</v>
      </c>
      <c r="CD66">
        <f>0.962*(0.955*0.943*(0.9442 - 0.0007*$B66 - dis_BMI*($C66-21.75)))*AZ66</f>
        <v>-1.4382150084690143E-8</v>
      </c>
      <c r="CE66">
        <f>0.962*(0.93*(0.9442 - 0.0007*$B66 - dis_BMI*($C66-21.75)))*BA66</f>
        <v>5.3740224969497231E-8</v>
      </c>
      <c r="CF66">
        <f>0.962*(0.93*(0.9442 - 0.0007*$B66 - dis_BMI*($C66-21.75)))*BB66</f>
        <v>-7.9915370979930113E-10</v>
      </c>
      <c r="CG66">
        <f>0.962*(0.93*0.943*(0.9442 - 0.0007*$B66 - dis_BMI*($C66-21.75)))*BC66</f>
        <v>1.1138778725315066E-9</v>
      </c>
      <c r="CH66">
        <f>0.962*(0.93*0.943*(0.9442 - 0.0007*$B66 - dis_BMI*($C66-21.75))-0.19*0.5)*BD66</f>
        <v>1.0361919024550705E-8</v>
      </c>
      <c r="CI66">
        <f>0.962*(0.93*0.943*(0.9442 - 0.0007*$B66 - dis_BMI*($C66-21.75)))*BE66</f>
        <v>-2.0008717383561595E-7</v>
      </c>
      <c r="CJ66">
        <f t="shared" si="51"/>
        <v>0</v>
      </c>
      <c r="CK66">
        <f t="shared" si="52"/>
        <v>5.2546892881230882E-6</v>
      </c>
      <c r="CL66">
        <f>CK66/(1+r_)^A66</f>
        <v>8.1620994992280957E-7</v>
      </c>
      <c r="CM66">
        <f>AD66*c_BN_2</f>
        <v>4.7597092447904873E-3</v>
      </c>
      <c r="CN66">
        <f>AE66*(c_Other+c_BN_2)</f>
        <v>2.4568512881547365E-3</v>
      </c>
      <c r="CO66">
        <f>AF66*(c_Stroke1+c_Stroke2+c_BN_2)</f>
        <v>1.4803248325899021E-3</v>
      </c>
      <c r="CP66">
        <f>AG66*(c_Stroke2 + c_BN_2)</f>
        <v>-2.7922251431274244E-4</v>
      </c>
      <c r="CQ66">
        <f>AH66*(c_MI1+c_MI2 + c_BN_2)</f>
        <v>1.2436875188530827E-3</v>
      </c>
      <c r="CR66">
        <f>AI66*(c_MI2+c_BN_2)</f>
        <v>4.6720284076012035E-5</v>
      </c>
      <c r="CS66">
        <f>AJ66*(c_Stroke1+c_Stroke2+c_MI2+c_BN_2)</f>
        <v>3.2947380953085464E-5</v>
      </c>
      <c r="CT66">
        <f>AK66*(c_Stroke2+c_MI1+c_MI2+c_BN_2)</f>
        <v>1.5033984821680853E-5</v>
      </c>
      <c r="CU66">
        <f>AL66*(c_Stroke2+c_MI2+c_BN_2)</f>
        <v>-1.4038874781985931E-5</v>
      </c>
      <c r="CV66">
        <f>AM66*(c_HF1+c_BN_2)</f>
        <v>7.1929063300617485E-4</v>
      </c>
      <c r="CW66">
        <f>AN66*(c_HF2+c_BN_2)</f>
        <v>1.7131286000773252E-4</v>
      </c>
      <c r="CX66">
        <f>AO66*(c_Stroke2+c_HF1+c_BN_2)</f>
        <v>7.9436134995959686E-6</v>
      </c>
      <c r="CY66">
        <f>AP66*(c_Stroke1+c_Stroke2+c_HF2+c_BN_2)</f>
        <v>3.4478558182499446E-5</v>
      </c>
      <c r="CZ66">
        <f>AQ66*(c_Stroke2+c_HF2+c_BN_2)</f>
        <v>-2.2476053241647117E-5</v>
      </c>
      <c r="DA66">
        <f>AR66*(c_DM+c_BN_2)</f>
        <v>5.137065045089368E-2</v>
      </c>
      <c r="DB66">
        <f>AS66*(c_Other+c_DM+c_BN_2)</f>
        <v>8.8971120035787592E-3</v>
      </c>
      <c r="DC66">
        <f>AT66*(c_Stroke1+c_Stroke2+c_DM+c_BN_2)</f>
        <v>6.4380026958172623E-3</v>
      </c>
      <c r="DD66">
        <f>AU66*(c_Stroke2+c_DM+c_BN_2)</f>
        <v>-2.3801715514873093E-3</v>
      </c>
      <c r="DE66">
        <f>AV66*(c_MI1+c_MI2+c_DM+c_BN_2)</f>
        <v>5.1435457479312363E-3</v>
      </c>
      <c r="DF66">
        <f>AW66*(c_MI2+c_DM+c_BN_2)</f>
        <v>-1.4426358616787379E-4</v>
      </c>
      <c r="DG66">
        <f>AX66*(c_Stroke1+c_Stroke2+c_MI2+c_DM+c_BN_2)</f>
        <v>2.2194355415324754E-4</v>
      </c>
      <c r="DH66">
        <f>AY66*(c_Stroke2+c_MI1+c_MI2+c_DM+c_BN_2)</f>
        <v>9.4097654102457749E-5</v>
      </c>
      <c r="DI66">
        <f>AZ66*(c_Stroke2+c_MI2+c_DM+c_BN_2)</f>
        <v>-4.6798650272409411E-4</v>
      </c>
      <c r="DJ66">
        <f>BA66*(c_HF1+c_DM+c_BN_2)</f>
        <v>2.9677336366841136E-3</v>
      </c>
      <c r="DK66">
        <f>BB66*(c_HF2+c_DM+c_BN_2)</f>
        <v>-3.1697925056139001E-5</v>
      </c>
      <c r="DL66">
        <f>BC66*(c_Stroke2+c_HF1+c_DM+c_BN_2)</f>
        <v>7.5686790969418808E-5</v>
      </c>
      <c r="DM66">
        <f>BD66*(c_Stroke1+c_Stroke2+c_HF2+c_DM+c_BN_2)</f>
        <v>9.1269891439871775E-4</v>
      </c>
      <c r="DN66">
        <f>BE66*(c_Stroke2+c_HF2+c_DM+c_BN_2)</f>
        <v>-1.0294304508199632E-2</v>
      </c>
      <c r="DO66">
        <f t="shared" si="53"/>
        <v>0</v>
      </c>
      <c r="DP66">
        <f t="shared" si="54"/>
        <v>7.345561013149246E-2</v>
      </c>
      <c r="DQ66">
        <f>DP66/(1+r_)^A66</f>
        <v>1.140984682053202E-2</v>
      </c>
    </row>
    <row r="67" spans="1:152" x14ac:dyDescent="0.3">
      <c r="A67">
        <v>64</v>
      </c>
      <c r="B67">
        <v>109</v>
      </c>
      <c r="C67">
        <f t="shared" si="39"/>
        <v>36.251999999999995</v>
      </c>
      <c r="D67">
        <f t="shared" ref="D67" si="55">SBP_BL</f>
        <v>125</v>
      </c>
      <c r="E67">
        <f t="shared" si="41"/>
        <v>5.7</v>
      </c>
      <c r="F67">
        <v>0.50319000000000003</v>
      </c>
      <c r="G67">
        <v>0.52910000000000001</v>
      </c>
      <c r="H67">
        <f t="shared" si="42"/>
        <v>0.50837200000000005</v>
      </c>
      <c r="I67">
        <f t="shared" si="43"/>
        <v>4.7655426853004217E-2</v>
      </c>
      <c r="J67">
        <f t="shared" si="21"/>
        <v>0.60146341728146413</v>
      </c>
      <c r="K67">
        <f t="shared" si="22"/>
        <v>0.7242857932715312</v>
      </c>
      <c r="L67">
        <f t="shared" si="23"/>
        <v>0.35306283067766742</v>
      </c>
      <c r="M67">
        <f t="shared" si="24"/>
        <v>0.45660704261538676</v>
      </c>
      <c r="N67">
        <f t="shared" si="25"/>
        <v>0.94202253859389951</v>
      </c>
      <c r="O67">
        <f t="shared" si="26"/>
        <v>0.98211458820374631</v>
      </c>
      <c r="P67">
        <f t="shared" si="27"/>
        <v>0.75358935504108837</v>
      </c>
      <c r="Q67">
        <f t="shared" si="28"/>
        <v>0.86182751641401456</v>
      </c>
      <c r="R67">
        <f>IF(C67&lt;25, HT_f_low, IF(C67&lt;30, HT_f_mod, HT_f_high))</f>
        <v>0.42</v>
      </c>
      <c r="S67">
        <f>IF(C67&lt;25, HT_m_low, IF(C67&lt;30, HT_m_mod, HT_m_high))</f>
        <v>0.43099999999999999</v>
      </c>
      <c r="T67">
        <f>PREV_FEMALE*PREV_SMOKE*(1-$R67)*(1-EXP(-J67/10))+PREV_FEMALE*PREV_SMOKE*$R67*(1-EXP(-K67/10))+PREV_FEMALE*(1-PREV_SMOKE)*(1-$R67)*(1-EXP(-L67/10))+PREV_FEMALE*(1-PREV_SMOKE)*$R67*(1-EXP(-M67/10))+(1-PREV_FEMALE)*PREV_SMOKE*(1-$S67)*(1-EXP(-N67/10))+(1-PREV_FEMALE)*PREV_SMOKE*$S67*(1-EXP(-O67/10))+(1-PREV_FEMALE)*(1-PREV_SMOKE)*(1-$S67)*(1-EXP(-P67/10))+(1-PREV_FEMALE)*(1-PREV_SMOKE)*$S67*(1-EXP(-Q67/10))</f>
        <v>4.9269700879215131E-2</v>
      </c>
      <c r="U67">
        <f t="shared" si="29"/>
        <v>0.86494968165941288</v>
      </c>
      <c r="V67">
        <f t="shared" si="30"/>
        <v>0.93942874203940308</v>
      </c>
      <c r="W67">
        <f t="shared" si="31"/>
        <v>0.61240548071474843</v>
      </c>
      <c r="X67">
        <f t="shared" si="32"/>
        <v>0.73482876451329893</v>
      </c>
      <c r="Y67">
        <f t="shared" si="33"/>
        <v>0.99213866005620344</v>
      </c>
      <c r="Z67">
        <f t="shared" si="34"/>
        <v>0.9989374240633021</v>
      </c>
      <c r="AA67">
        <f t="shared" si="35"/>
        <v>0.90778201243243217</v>
      </c>
      <c r="AB67">
        <f t="shared" si="36"/>
        <v>0.96554153177556712</v>
      </c>
      <c r="AC67">
        <f>PREV_FEMALE*PREV_SMOKE*(1-$R67)*(1-EXP(-U67/10))+PREV_FEMALE*PREV_SMOKE*$R67*(1-EXP(-V67/10))+PREV_FEMALE*(1-PREV_SMOKE)*(1-$R67)*(1-EXP(-W67/10))+PREV_FEMALE*(1-PREV_SMOKE)*$R67*(1-EXP(-X67/10))+(1-PREV_FEMALE)*PREV_SMOKE*(1-$S67)*(1-EXP(-Y67/10))+(1-PREV_FEMALE)*PREV_SMOKE*$S67*(1-EXP(-Z67/10))+(1-PREV_FEMALE)*(1-PREV_SMOKE)*(1-$S67)*(1-EXP(-AA67/10))+(1-PREV_FEMALE)*(1-PREV_SMOKE)*$S67*(1-EXP(-AB67/10))</f>
        <v>7.1469805453481416E-2</v>
      </c>
      <c r="AD67">
        <f t="shared" si="44"/>
        <v>9.9477287223147975E-7</v>
      </c>
      <c r="AE67">
        <f t="shared" si="45"/>
        <v>6.4015368358564987E-8</v>
      </c>
      <c r="AF67">
        <f t="shared" si="46"/>
        <v>2.6272982627508127E-8</v>
      </c>
      <c r="AG67">
        <f t="shared" si="47"/>
        <v>-1.5718980477673401E-8</v>
      </c>
      <c r="AH67">
        <f>AD66*T66*p_MI*p_MI_rec_old*(1-I66)+AE66*T66*p_MI*p_MI_rec_old*(1-I66) + AH66*(PREV_FEMALE*p_recur_MI_F + (1-PREV_FEMALE)*p_recur_MI_M)*p_MI_rec_old*(1-I66) + AI66*(PREV_FEMALE*p_recur_MI_F + (1-PREV_FEMALE)*p_recur_MI_M)*p_MI_rec_old*(1-I66)</f>
        <v>1.8297356890214259E-8</v>
      </c>
      <c r="AI67">
        <f>AH66*(1-(PREV_FEMALE*p_recur_MI_F + (1-PREV_FEMALE)*p_recur_MI_M) - T66*p_Stroke - p_toHF_old - H66*rr_MI)*(1-I66) + AI66*(1-(PREV_FEMALE*p_recur_MI_F + (1-PREV_FEMALE)*p_recur_MI_M) - T66*p_Stroke - p_toHF_old - H66*rr_MI)*(1-I66)</f>
        <v>2.6857440999713509E-9</v>
      </c>
      <c r="AJ67">
        <f t="shared" si="48"/>
        <v>5.120227543976378E-10</v>
      </c>
      <c r="AK67">
        <f>AF66*T66*p_MI*p_MI_rec_old*(1-I66) + AG66*T66*p_MI*p_MI_rec_old*(1-I66) + AJ66*(PREV_FEMALE*p_recur_MI_F + (1-PREV_FEMALE)*p_recur_MI_M)*p_MI_rec_old*(1-I66) + AK66*(PREV_FEMALE*p_recur_MI_F + (1-PREV_FEMALE)*p_recur_MI_M)*p_MI_rec_old*(1-I66) + AL66*(PREV_FEMALE*p_recur_MI_F + (1-PREV_FEMALE)*p_recur_MI_M)*p_MI_rec_old*(1-I66)</f>
        <v>1.7874736496071135E-10</v>
      </c>
      <c r="AL67">
        <f>AJ66*(1-p_recur_Stroke-(PREV_FEMALE*p_recur_MI_F + (1-PREV_FEMALE)*p_recur_MI_M) - p_toHF_old - H66*rr_MI*rr_Stroke)*(1-I66) + AK66*(1-p_recur_Stroke-(PREV_FEMALE*p_recur_MI_F + (1-PREV_FEMALE)*p_recur_MI_M) - p_toHF_old - H66*rr_MI*rr_Stroke)*(1-I66) + AL66*(1-p_recur_Stroke-(PREV_FEMALE*p_recur_MI_F + (1-PREV_FEMALE)*p_recur_MI_M) - p_toHF_old - H66*rr_MI*rr_Stroke)*(1-I66)</f>
        <v>-5.4363569241392647E-10</v>
      </c>
      <c r="AM67">
        <f>AD66*T66*p_MI*p_MI_HF_old*(1-I66) + AE66*T66*p_MI*p_MI_HF_old*(1-I66) + AH66*p_toHF_old*(1-I66) + AH66*(PREV_FEMALE*p_recur_MI_F + (1-PREV_FEMALE)*p_recur_MI_M)*p_MI_HF_old*(1-I66) + AI66*p_toHF_old*(1-I66) + AI66*(PREV_FEMALE*p_recur_MI_F + (1-PREV_FEMALE)*p_recur_MI_M)*p_MI_HF_old*(1-I66)</f>
        <v>1.1236444523312522E-8</v>
      </c>
      <c r="AN67">
        <f t="shared" si="49"/>
        <v>3.0745759607277615E-9</v>
      </c>
      <c r="AO67">
        <f>AF66*T66*p_MI*p_MI_HF_old*(1-I66) + AG66*T66*p_MI*p_MI_HF_old*(1-I66) + AJ66*(PREV_FEMALE*p_recur_MI_F + (1-PREV_FEMALE)*p_recur_MI_M)*p_MI_HF_old*(1-I66) + AJ66*p_toHF_old*(1-I66) + AK66*(PREV_FEMALE*p_recur_MI_F + (1-PREV_FEMALE)*p_recur_MI_M)*p_MI_HF_old*(1-I66) + AK66*p_toHF_old*(1-I66) + AL66*(PREV_FEMALE*p_recur_MI_F + (1-PREV_FEMALE)*p_recur_MI_M)*p_MI_HF_old*(1-I66) + AL66*p_toHF_old*(1-I66)</f>
        <v>9.896823060861554E-11</v>
      </c>
      <c r="AP67">
        <f>AM66*T66*p_Stroke*p_Stroke_rec*(1-I66) + AN66*T66*p_Stroke*p_Stroke_rec*(1-I66) + AO66*(p_recur_Stroke*p_Stroke_rec)*(1-I66) + AP66*(p_recur_Stroke*p_Stroke_rec)*(1-I66) + AQ66*(p_recur_Stroke*p_Stroke_rec)*(1-I66)</f>
        <v>3.4922983314164759E-10</v>
      </c>
      <c r="AQ67">
        <f>AO66*(1-p_recur_Stroke-H66*rr_Stroke*rr_HF)*(1-I66) + AP66*(1-p_recur_Stroke-H66*rr_Stroke*rr_HF)*(1-I66) + AQ66*(1-p_recur_Stroke-H66*rr_Stroke*rr_HF)*(1-I66)</f>
        <v>-2.2815419219560942E-10</v>
      </c>
      <c r="AR67">
        <f>AR66*(1-AC66-H66*rr_DM) + AD66*(1-T66-H66)*I66</f>
        <v>1.4320279409375703E-6</v>
      </c>
      <c r="AS67">
        <f>AR66*AC66*p_Other + AD66*T66*p_Other*I66 + AE66*(1-T66*p_Stroke-T66*p_MI-H66*rr_Other)*I66 + AS66*(1-AC66*p_Stroke-AC66*p_MI-H66*rr_Other*rr_DM)</f>
        <v>1.1703250079683963E-7</v>
      </c>
      <c r="AT67">
        <f>AR66*AC66*p_Stroke*p_Stroke_rec + AD66*T66*p_Stroke*p_Stroke_rec*I66 + AE66*T66*p_Stroke*p_Stroke_rec*I66 + AF66*p_recur_Stroke*p_Stroke_rec*I66 + AG66*p_recur_Stroke*p_Stroke_rec*I66 + AS66*AC66*p_Stroke*p_Stroke_rec + AT66*p_recur_Stroke*p_Stroke_rec + AU66*p_recur_Stroke*p_Stroke_rec</f>
        <v>6.8890452572737529E-8</v>
      </c>
      <c r="AU67">
        <f>AF66*(1-p_recur_Stroke-T66*p_MI-H66*rr_Stroke)*I66 + AG66*(1-p_recur_Stroke-T66*p_MI-H66*rr_Stroke)*I66 + AT66*(1-p_recur_Stroke-AC66*p_MI-H66*rr_Stroke*rr_DM) + AU66*(1-p_recur_Stroke-AC66*p_MI-H66*rr_Stroke*rr_DM)</f>
        <v>-4.9270815335012829E-8</v>
      </c>
      <c r="AV67">
        <f>AR66*AC66*p_MI*p_MI_rec_old + AD66*T66*p_MI*p_MI_rec_old*I66 + AE66*T66*p_MI*p_MI_rec_old*I66 +AH66*(PREV_FEMALE*p_recur_MI_F + (1-PREV_FEMALE)*p_recur_MI_M)*p_MI_rec_old*I66 + AI66*(PREV_FEMALE*p_recur_MI_F + (1-PREV_FEMALE)*p_recur_MI_M)*p_MI_rec_old*I66 + AS66*AC66*p_MI*p_MI_rec_old + AV66*(PREV_FEMALE*p_recur_MI_F + (1-PREV_FEMALE)*p_recur_MI_M)*p_MI_rec_old + AW66*(PREV_FEMALE*p_recur_MI_F + (1-PREV_FEMALE)*p_recur_MI_M)*p_MI_rec_old</f>
        <v>4.812158150519117E-8</v>
      </c>
      <c r="AW67">
        <f>AH66*(1-(PREV_FEMALE*p_recur_MI_F + (1-PREV_FEMALE)*p_recur_MI_M) - T66*p_Stroke - p_toHF_old - H66*rr_MI)*I66 + AI66*(1-(PREV_FEMALE*p_recur_MI_F + (1-PREV_FEMALE)*p_recur_MI_M) - T66*p_Stroke - p_toHF_old - H66*rr_MI)*I66 + AV66*(1-(PREV_FEMALE*p_recur_MI_F + (1-PREV_FEMALE)*p_recur_MI_M) - AC66*p_Stroke - p_toHF_old - H66*rr_MI*rr_DM) + AW66*(1-(PREV_FEMALE*p_recur_MI_F + (1-PREV_FEMALE)*p_recur_MI_M) - AC66*p_Stroke - p_toHF_old - H66*rr_MI*rr_DM)</f>
        <v>-7.004810542972542E-9</v>
      </c>
      <c r="AX67">
        <f>AH66*T66*p_Stroke*p_Stroke_rec*I66 + AI66*T66*p_Stroke*p_Stroke_rec*I66 + AJ66*p_recur_Stroke*p_Stroke_rec*I66 + AK66*p_recur_Stroke*p_Stroke_rec*I66 + AL66*p_recur_Stroke*p_Stroke_rec*I66 + AV66*AC66*p_Stroke*p_Stroke_rec + AW66*AC66*p_Stroke*p_Stroke_rec + AX66*p_recur_Stroke*p_Stroke_rec + AY66*p_recur_Stroke*p_Stroke_rec + AZ66*p_recur_Stroke*p_Stroke_rec</f>
        <v>2.840470938294944E-10</v>
      </c>
      <c r="AY67">
        <f>AF66*T66*p_MI*p_MI_rec_old*I66 + AG66*T66*p_MI*p_MI_rec_old*I66 + AJ66*(PREV_FEMALE*p_recur_MI_F+(1-PREV_FEMALE)*p_recur_MI_M)*p_MI_rec_old*I66 + AK66*(PREV_FEMALE*p_recur_MI_F+(1-PREV_FEMALE)*p_recur_MI_M)*p_MI_rec_old*I66 + AL66*(PREV_FEMALE*p_recur_MI_F+(1-PREV_FEMALE)*p_recur_MI_M)*p_MI_rec_old*I66 + AT66*AC66*p_MI*p_MI_rec_old + AU66*AC66*p_MI*p_MI_rec_old + AX66*(PREV_FEMALE*p_recur_MI_F+(1-PREV_FEMALE)*p_recur_MI_M)*p_MI_rec_old + AY66*(PREV_FEMALE*p_recur_MI_F+(1-PREV_FEMALE)*p_recur_MI_M)*p_MI_rec_old + AZ66*(PREV_FEMALE*p_recur_MI_F+(1-PREV_FEMALE)*p_recur_MI_M)*p_MI_rec_old</f>
        <v>-6.7446109038221024E-11</v>
      </c>
      <c r="AZ67">
        <f>AJ66*(1-p_recur_Stroke-(PREV_FEMALE*p_recur_MI_F + (1-PREV_FEMALE)*p_recur_MI_M) - p_toHF_old - H66*rr_MI*rr_Stroke)*I66 + AK66*(1-p_recur_Stroke-(PREV_FEMALE*p_recur_MI_F + (1-PREV_FEMALE)*p_recur_MI_M) - p_toHF_old - H66*rr_MI*rr_Stroke)*I66 + AL66*(1-p_recur_Stroke-(PREV_FEMALE*p_recur_MI_F + (1-PREV_FEMALE)*p_recur_MI_M) - p_toHF_old - H66*rr_MI*rr_Stroke)*I66 + AX66*(1-p_recur_Stroke-(PREV_FEMALE*p_recur_MI_F + (1-PREV_FEMALE)*p_recur_MI_M) - p_toHF_old - H66*rr_MI*rr_Stroke*rr_DM) + AY66*(1-p_recur_Stroke-(PREV_FEMALE*p_recur_MI_F + (1-PREV_FEMALE)*p_recur_MI_M) - p_toHF_old - H66*rr_MI*rr_Stroke*rr_DM) + AZ66*(1-p_recur_Stroke-(PREV_FEMALE*p_recur_MI_F + (1-PREV_FEMALE)*p_recur_MI_M) - p_toHF_old - H66*rr_MI*rr_Stroke*rr_DM)</f>
        <v>2.6531498109914689E-8</v>
      </c>
      <c r="BA67">
        <f>AR66*AC66*p_MI*p_MI_HF_old + AD66*T66*p_MI*p_MI_HF_old*I66 + AE66*T66*p_MI*p_MI_HF_old*I66 + AH66*p_toHF_old*I66 + AH66*(PREV_FEMALE*p_recur_MI_F + (1-PREV_FEMALE)*p_recur_MI_M)*p_MI_HF_old*I66 + AI66*p_toHF_old*I66 + AI66*(PREV_FEMALE*p_recur_MI_F + (1-PREV_FEMALE)*p_recur_MI_M)*p_MI_HF_old*I66 + AS66*AC66*p_MI*p_MI_HF_old + AV66*(PREV_FEMALE*p_recur_MI_F + (1-PREV_FEMALE)*p_recur_MI_M)*p_MI_HF_old + AV66*p_toHF_old + AW66*(PREV_FEMALE*p_recur_MI_F + (1-PREV_FEMALE)*p_recur_MI_M)*p_MI_HF_old + AW66*p_toHF_old</f>
        <v>2.8915426741467249E-8</v>
      </c>
      <c r="BB67">
        <f>AM66*(1-T66*p_Stroke - H66*rr_HF)*I66 + AN66*(1-T66*p_Stroke - H66*rr_HF)*I66 + BA66*(1-AC66*p_Stroke - H66*rr_HF*rr_DM) + BB66*(1-AC66*p_Stroke - H66*rr_HF*rr_DM)</f>
        <v>-3.1217011755914429E-9</v>
      </c>
      <c r="BC67">
        <f>AF66*T66*p_MI*p_MI_HF_old*I66 + AG66*T66*p_MI*p_MI_HF_old*I66 + AJ66*(PREV_FEMALE*p_recur_MI_F + (1-PREV_FEMALE)*p_recur_MI_M)*p_MI_HF_old*I66 + AJ66*p_toHF_old*I66 + AK66*(PREV_FEMALE*p_recur_MI_F + (1-PREV_FEMALE)*p_recur_MI_M)*p_MI_HF_old*I66 + AK66*p_toHF_old*I66 + AL66*(PREV_FEMALE*p_recur_MI_F + (1-PREV_FEMALE)*p_recur_MI_M)*p_MI_HF_old*I66 + AL66*p_toHF_old*I66 + AT66*AC66*p_MI*p_MI_HF_old + AU66*AC66*p_MI*p_MI_HF_old + AX66*(PREV_FEMALE*p_recur_MI_F + (1-PREV_FEMALE)*p_recur_MI_M)*p_MI_HF_old + AX66*p_toHF_old + AY66*(PREV_FEMALE*p_recur_MI_F + (1-PREV_FEMALE)*p_recur_MI_M)*p_MI_HF_old + AY66*p_toHF_old + AZ66*(PREV_FEMALE*p_recur_MI_F + (1-PREV_FEMALE)*p_recur_MI_M)*p_MI_HF_old + AZ66*p_toHF_old</f>
        <v>-1.0525771706735977E-9</v>
      </c>
      <c r="BD67">
        <f>AM66*T66*p_Stroke*p_Stroke_rec*I66 + AN66*T66*p_Stroke*p_Stroke_rec*I66 + AO66*(p_recur_Stroke*p_Stroke_rec)*I66 + AP66*(p_recur_Stroke*p_Stroke_rec)*I66 + AQ66*(p_recur_Stroke*p_Stroke_rec)*I66 + BA66*AC66*p_Stroke*p_Stroke_rec + BB66*AC66*p_Stroke*p_Stroke_rec + BC66*(p_recur_Stroke*p_Stroke_rec) + BD66*(p_recur_Stroke*p_Stroke_rec) + BE66*(p_recur_Stroke*p_Stroke_rec)</f>
        <v>-2.8723952016163755E-8</v>
      </c>
      <c r="BE67">
        <f>AO66*(1-p_recur_Stroke - H66*rr_Stroke*rr_HF)*I66 + AP66*(1-p_recur_Stroke-H66*rr_Stroke*rr_HF)*I66 + AQ66*(1-p_recur_Stroke-H66*rr_Stroke*rr_HF)*I66 + BC66*(1-p_recur_Stroke - H66*rr_Stroke*rr_HF*rr_DM) + BD66*(1-p_recur_Stroke-H66*rr_Stroke*rr_HF*rr_DM) + BE66*(1-p_recur_Stroke-H66*rr_Stroke*rr_HF*rr_DM)</f>
        <v>6.3240079363377852E-7</v>
      </c>
      <c r="BF67">
        <f>AD66*H66 + AE66*H66*rr_Other + AF66*H66*rr_Stroke + AG66*H66*rr_Stroke + AH66*H66*rr_MI + AI66*H66*rr_MI + AJ66*H66*rr_Stroke*rr_MI + AK66*H66*rr_Stroke*rr_MI + AL66*H66*rr_Stroke*rr_MI + AM66*H66*rr_HF + AN66*H66*rr_HF + AO66*H66*rr_Stroke*rr_HF + AP66*H66*rr_Stroke*rr_HF + AR66*H66*rr_DM + AS66*H66*rr_DM*rr_Other + AT66*H66*rr_DM*rr_Stroke + AU66*H66*rr_DM*rr_Stroke + AV66*H66*rr_DM*rr_MI + AW66*H66*rr_DM*rr_MI + AX66*H66*rr_DM*rr_Stroke*rr_MI + AY66*H66*rr_DM*rr_Stroke*rr_MI + AZ66*H66*rr_DM*rr_Stroke*rr_MI + BA66*H66*rr_DM*rr_HF + BB66*H66*rr_DM*rr_HF + BC66*H66*rr_DM*rr_Stroke*rr_HF + BD66*H66*rr_DM*rr_Stroke*rr_HF + AQ66*H66*rr_Stroke*rr_HF + BE66*H66*rr_DM*rr_Stroke*rr_HF
+ AD66*T66*p_MI*p_MI_mort + AD66*T66*p_Stroke*p_Stroke_mort + AE66*T66*p_MI*p_MI_mort + AE66*T66*p_Stroke*p_Stroke_mort + AF66*T66*p_MI*p_MI_mort + AF66*p_recur_Stroke*p_Stroke_mort + AG66*T66*p_MI*p_MI_mort + AG66*p_recur_Stroke*p_Stroke_mort + AH66*(PREV_FEMALE*p_recur_MI_F + (1-PREV_FEMALE)*p_recur_MI_M)*p_MI_mort + AH66*T66*p_Stroke*p_Stroke_mort + AI66*(PREV_FEMALE*p_recur_MI_F + (1-PREV_FEMALE)*p_recur_MI_M)*p_MI_mort + AI66*T66*p_Stroke*p_Stroke_mort + AJ66*(PREV_FEMALE*p_recur_MI_F + (1-PREV_FEMALE)*p_recur_MI_M)*p_MI_mort + AJ66*p_recur_Stroke*p_Stroke_mort + AK66*(PREV_FEMALE*p_recur_MI_F + (1-PREV_FEMALE)*p_recur_MI_M)*p_MI_mort + AK66*p_recur_Stroke*p_Stroke_mort + AL66*(PREV_FEMALE*p_recur_MI_F + (1-PREV_FEMALE)*p_recur_MI_M)*p_MI_mort + AL66*p_recur_Stroke*p_Stroke_mort + AM66*T66*p_Stroke*p_Stroke_mort + AN66*T66*p_Stroke*p_Stroke_mort + AO66*p_recur_Stroke*p_Stroke_mort + AP66*p_recur_Stroke*p_Stroke_mort + AQ66*p_recur_Stroke*p_Stroke_mort
+ AR66*AC66*p_MI*p_MI_mort + AR66*AC66*p_Stroke*p_Stroke_mort + AS66*AC66*p_MI*p_MI_mort + AS66*AC66*p_Stroke*p_Stroke_mort + AT66*AC66*p_MI*p_MI_mort + AT66*p_recur_Stroke*p_Stroke_mort + AU66*AC66*p_MI*p_MI_mort + AU66*p_recur_Stroke*p_Stroke_mort + AV66*(PREV_FEMALE*p_recur_MI_F + (1-PREV_FEMALE)*p_recur_MI_M)*p_MI_mort + AV66*AC66*p_Stroke*p_Stroke_mort + AW66*(PREV_FEMALE*p_recur_MI_F + (1-PREV_FEMALE)*p_recur_MI_M)*p_MI_mort + AW66*AC66*p_Stroke*p_Stroke_mort + AX66*(PREV_FEMALE*p_recur_MI_F + (1-PREV_FEMALE)*p_recur_MI_M)*p_MI_mort + AX66*p_recur_Stroke*p_Stroke_mort + AY66*(PREV_FEMALE*p_recur_MI_F + (1-PREV_FEMALE)*p_recur_MI_M)*p_MI_mort + AY66*p_recur_Stroke*p_Stroke_mort + AZ66*(PREV_FEMALE*p_recur_MI_F + (1-PREV_FEMALE)*p_recur_MI_M)*p_MI_mort + AZ66*p_recur_Stroke*p_Stroke_mort + BA66*AC66*p_Stroke*p_Stroke_mort + BB66*AC66*p_Stroke*p_Stroke_mort + BC66*p_recur_Stroke*p_Stroke_mort + BD66*p_recur_Stroke*p_Stroke_mort + BE66*p_recur_Stroke*p_Stroke_mort
+BF66</f>
        <v>0.94699663003351864</v>
      </c>
      <c r="BG67">
        <f t="shared" si="50"/>
        <v>0.94700000000000017</v>
      </c>
      <c r="BH67">
        <f>(0.9442 - 0.0007*$B67 - dis_BMI*($C67-21.75))*AD67</f>
        <v>8.1575692837246825E-7</v>
      </c>
      <c r="BI67">
        <f>0.959*(0.9442 - 0.0007*$B67 - dis_BMI*($C67-21.75))*AE67</f>
        <v>5.0343069727848637E-8</v>
      </c>
      <c r="BJ67">
        <f>(0.943*(0.9442 - 0.0007*$B67 - dis_BMI*($C67-21.75)) - 0.19*0.5)*AF67</f>
        <v>1.7820988450275271E-8</v>
      </c>
      <c r="BK67">
        <f>(0.943*(0.9442 - 0.0007*$B67 - dis_BMI*($C67-21.75)))*AG67</f>
        <v>-1.2155502162304559E-8</v>
      </c>
      <c r="BL67">
        <f>(0.955*(0.9442 - 0.0007*$B67 - dis_BMI*($C67-21.75)) - 0.15*0.5)*AH67</f>
        <v>1.2957116784511747E-8</v>
      </c>
      <c r="BM67">
        <f>(0.955*(0.9442 - 0.0007*$B67 - dis_BMI*($C67-21.75)))*AI67</f>
        <v>2.1033175207232762E-9</v>
      </c>
      <c r="BN67">
        <f>(0.955*0.943*(0.9442 - 0.0007*$B67 - dis_BMI*($C67-21.75)) - 0.19*0.5)*AJ67</f>
        <v>3.2948786338389021E-10</v>
      </c>
      <c r="BO67">
        <f>(0.955*0.943*(0.9442 - 0.0007*$B67 - dis_BMI*($C67-21.75)) - 0.15*0.5)*AK67</f>
        <v>1.1859930287827743E-10</v>
      </c>
      <c r="BP67">
        <f>(0.955*0.943*(0.9442 - 0.0007*$B67 - dis_BMI*($C67-21.75)))*AL67</f>
        <v>-4.0147625515840954E-10</v>
      </c>
      <c r="BQ67">
        <f>(0.93*(0.9442 - 0.0007*$B67 - dis_BMI*($C67-21.75)))*AM67</f>
        <v>8.5693661188519803E-9</v>
      </c>
      <c r="BR67">
        <f>(0.93*(0.9442 - 0.0007*$B67 - dis_BMI*($C67-21.75)))*AN67</f>
        <v>2.344795723685918E-9</v>
      </c>
      <c r="BS67">
        <f>(0.93*0.943*(0.9442 - 0.0007*$B67 - dis_BMI*($C67-21.75)))*AO67</f>
        <v>7.1174968686436358E-11</v>
      </c>
      <c r="BT67">
        <f>(0.93*0.943*(0.9442 - 0.0007*$B67 - dis_BMI*($C67-21.75))-0.19*0.5)*AP67</f>
        <v>2.1797873653689352E-10</v>
      </c>
      <c r="BU67">
        <f>(0.93*0.943*(0.9442 - 0.0007*$B67 - dis_BMI*($C67-21.75)))*AQ67</f>
        <v>-1.6408161877138814E-10</v>
      </c>
      <c r="BV67">
        <f>0.962*(0.9442 - 0.0007*$B67 - dis_BMI*($C67-21.75))*AR67</f>
        <v>1.1297007092413494E-6</v>
      </c>
      <c r="BW67">
        <f>0.962*0.959*(0.9442 - 0.0007*$B67 - dis_BMI*($C67-21.75))*AS67</f>
        <v>8.8539487159819582E-8</v>
      </c>
      <c r="BX67">
        <f>0.962*(0.943*(0.9442 - 0.0007*$B67 - dis_BMI*($C67-21.75)) - 0.19*0.5)*AT67</f>
        <v>4.4952776390540886E-8</v>
      </c>
      <c r="BY67">
        <f>0.962*(0.943*(0.9442 - 0.0007*$B67 - dis_BMI*($C67-21.75)))*AU67</f>
        <v>-3.6653322782133184E-8</v>
      </c>
      <c r="BZ67">
        <f>0.962*(0.955*(0.9442 - 0.0007*$B67 - dis_BMI*($C67-21.75)) - 0.15*0.5)*AV67</f>
        <v>3.2781964677371967E-8</v>
      </c>
      <c r="CA67">
        <f>0.962*(0.955*(0.9442 - 0.0007*$B67 - dis_BMI*($C67-21.75)))*AW67</f>
        <v>-5.2772986809301657E-9</v>
      </c>
      <c r="CB67">
        <f>0.962*(0.955*0.943*(0.9442 - 0.0007*$B67 - dis_BMI*($C67-21.75)) - 0.19*0.5)*AX67</f>
        <v>1.7583915287210935E-10</v>
      </c>
      <c r="CC67">
        <f>0.962*(0.955*0.943*(0.9442 - 0.0007*$B67 - dis_BMI*($C67-21.75)) - 0.15*0.5)*AY67</f>
        <v>-4.305012931492914E-11</v>
      </c>
      <c r="CD67">
        <f>0.962*(0.955*0.943*(0.9442 - 0.0007*$B67 - dis_BMI*($C67-21.75)))*AZ67</f>
        <v>1.8849018783561117E-8</v>
      </c>
      <c r="CE67">
        <f>0.962*(0.93*(0.9442 - 0.0007*$B67 - dis_BMI*($C67-21.75)))*BA67</f>
        <v>2.1214092799832175E-8</v>
      </c>
      <c r="CF67">
        <f>0.962*(0.93*(0.9442 - 0.0007*$B67 - dis_BMI*($C67-21.75)))*BB67</f>
        <v>-2.2902673726537458E-9</v>
      </c>
      <c r="CG67">
        <f>0.962*(0.93*0.943*(0.9442 - 0.0007*$B67 - dis_BMI*($C67-21.75)))*BC67</f>
        <v>-7.2821647034975459E-10</v>
      </c>
      <c r="CH67">
        <f>0.962*(0.93*0.943*(0.9442 - 0.0007*$B67 - dis_BMI*($C67-21.75))-0.19*0.5)*BD67</f>
        <v>-1.724733739219569E-8</v>
      </c>
      <c r="CI67">
        <f>0.962*(0.93*0.943*(0.9442 - 0.0007*$B67 - dis_BMI*($C67-21.75)))*BE67</f>
        <v>4.3752105462410947E-7</v>
      </c>
      <c r="CJ67">
        <f t="shared" si="51"/>
        <v>0</v>
      </c>
      <c r="CK67">
        <f t="shared" si="52"/>
        <v>2.6094072135354961E-6</v>
      </c>
      <c r="CL67">
        <f>CK67/(1+r_)^A67</f>
        <v>3.9351335638546456E-7</v>
      </c>
      <c r="CM67">
        <f>AD67*c_BN_2</f>
        <v>2.08404916732495E-3</v>
      </c>
      <c r="CN67">
        <f>AE67*(c_Other+c_BN_2)</f>
        <v>1.048187641503143E-3</v>
      </c>
      <c r="CO67">
        <f>AF67*(c_Stroke1+c_Stroke2+c_BN_2)</f>
        <v>6.8075925286136311E-4</v>
      </c>
      <c r="CP67">
        <f>AG67*(c_Stroke2 + c_BN_2)</f>
        <v>-1.3510463720560288E-4</v>
      </c>
      <c r="CQ67">
        <f>AH67*(c_MI1+c_MI2 + c_BN_2)</f>
        <v>5.717192133916347E-4</v>
      </c>
      <c r="CR67">
        <f>AI67*(c_MI2+c_BN_2)</f>
        <v>1.3998098249050682E-5</v>
      </c>
      <c r="CS67">
        <f>AJ67*(c_Stroke1+c_Stroke2+c_MI2+c_BN_2)</f>
        <v>1.4862996514654631E-5</v>
      </c>
      <c r="CT67">
        <f>AK67*(c_Stroke2+c_MI1+c_MI2+c_BN_2)</f>
        <v>6.746998037807011E-6</v>
      </c>
      <c r="CU67">
        <f>AL67*(c_Stroke2+c_MI2+c_BN_2)</f>
        <v>-6.3670612295519066E-6</v>
      </c>
      <c r="CV67">
        <f>AM67*(c_HF1+c_BN_2)</f>
        <v>3.2726144674147722E-4</v>
      </c>
      <c r="CW67">
        <f>AN67*(c_HF2+c_BN_2)</f>
        <v>5.4419994504881375E-5</v>
      </c>
      <c r="CX67">
        <f>AO67*(c_Stroke2+c_HF1+c_BN_2)</f>
        <v>3.5257432154319285E-6</v>
      </c>
      <c r="CY67">
        <f>AP67*(c_Stroke1+c_Stroke2+c_HF2+c_BN_2)</f>
        <v>1.4498625752708641E-5</v>
      </c>
      <c r="CZ67">
        <f>AQ67*(c_Stroke2+c_HF2+c_BN_2)</f>
        <v>-5.521331451133748E-6</v>
      </c>
      <c r="DA67">
        <f>AR67*(c_DM+c_BN_2)</f>
        <v>1.9361017761475949E-2</v>
      </c>
      <c r="DB67">
        <f>AS67*(c_Other+c_DM+c_BN_2)</f>
        <v>3.2533864896513447E-3</v>
      </c>
      <c r="DC67">
        <f>AT67*(c_Stroke1+c_Stroke2+c_DM+c_BN_2)</f>
        <v>2.5720939372557284E-3</v>
      </c>
      <c r="DD67">
        <f>AU67*(c_Stroke2+c_DM+c_BN_2)</f>
        <v>-9.8640172300695685E-4</v>
      </c>
      <c r="DE67">
        <f>AV67*(c_MI1+c_MI2+c_DM+c_BN_2)</f>
        <v>2.0533960044080125E-3</v>
      </c>
      <c r="DF67">
        <f>AW67*(c_MI2+c_DM+c_BN_2)</f>
        <v>-1.1653903300343418E-4</v>
      </c>
      <c r="DG67">
        <f>AX67*(c_Stroke1+c_Stroke2+c_MI2+c_DM+c_BN_2)</f>
        <v>1.1490557086684537E-5</v>
      </c>
      <c r="DH67">
        <f>AY67*(c_Stroke2+c_MI1+c_MI2+c_DM+c_BN_2)</f>
        <v>-3.3163926275183661E-6</v>
      </c>
      <c r="DI67">
        <f>AZ67*(c_Stroke2+c_MI2+c_DM+c_BN_2)</f>
        <v>6.1385927176909618E-4</v>
      </c>
      <c r="DJ67">
        <f>BA67*(c_HF1+c_DM+c_BN_2)</f>
        <v>1.172520554366497E-3</v>
      </c>
      <c r="DK67">
        <f>BB67*(c_HF2+c_DM+c_BN_2)</f>
        <v>-9.0919546739100772E-5</v>
      </c>
      <c r="DL67">
        <f>BC67*(c_Stroke2+c_HF1+c_DM+c_BN_2)</f>
        <v>-4.9523755880192768E-5</v>
      </c>
      <c r="DM67">
        <f>BD67*(c_Stroke1+c_Stroke2+c_HF2+c_DM+c_BN_2)</f>
        <v>-1.5206747436877254E-3</v>
      </c>
      <c r="DN67">
        <f>BE67*(c_Stroke2+c_HF2+c_DM+c_BN_2)</f>
        <v>2.2529278273203359E-2</v>
      </c>
      <c r="DO67">
        <f t="shared" si="53"/>
        <v>0</v>
      </c>
      <c r="DP67">
        <f t="shared" si="54"/>
        <v>5.3472703802482556E-2</v>
      </c>
      <c r="DQ67">
        <f>DP67/(1+r_)^A67</f>
        <v>8.0639859655367904E-3</v>
      </c>
    </row>
    <row r="68" spans="1:152" x14ac:dyDescent="0.3">
      <c r="CF68" s="6" t="s">
        <v>192</v>
      </c>
      <c r="CG68" s="6"/>
      <c r="CH68" s="6"/>
      <c r="CI68" s="6"/>
      <c r="CJ68" s="6"/>
      <c r="CK68">
        <f>SUM(CK3:CK67)</f>
        <v>26.258858947584169</v>
      </c>
      <c r="CL68">
        <f>SUM(CL3:CL67)</f>
        <v>16.454629247078518</v>
      </c>
      <c r="DK68" s="6" t="s">
        <v>192</v>
      </c>
      <c r="DL68" s="6"/>
      <c r="DM68" s="6"/>
      <c r="DN68" s="6"/>
      <c r="DO68" s="6"/>
      <c r="DP68">
        <f>SUM(DP3:DP67)</f>
        <v>334827.58828296309</v>
      </c>
      <c r="DQ68">
        <f>SUM(DQ3:DQ67)</f>
        <v>176396.6317906109</v>
      </c>
      <c r="EP68" s="6" t="s">
        <v>196</v>
      </c>
      <c r="EQ68" s="6"/>
      <c r="ER68" s="6"/>
      <c r="ES68" s="6"/>
      <c r="ET68" s="6"/>
      <c r="EU68" s="11">
        <f>SUM(EU3:EU67)</f>
        <v>0</v>
      </c>
      <c r="EV68" s="11">
        <f>SUM(EV3:EV67)</f>
        <v>0</v>
      </c>
    </row>
    <row r="69" spans="1:152" x14ac:dyDescent="0.3">
      <c r="CF69" s="6" t="s">
        <v>193</v>
      </c>
      <c r="CG69" s="6"/>
      <c r="CH69" s="6"/>
      <c r="CI69" s="6"/>
      <c r="CJ69" s="6"/>
      <c r="CK69">
        <f>disc_SEM*TRT_DISC!CK68</f>
        <v>1.1481115278652145</v>
      </c>
      <c r="CL69">
        <f>disc_SEM*TRT_DISC!CL68</f>
        <v>0.72132338569124266</v>
      </c>
      <c r="DK69" s="6" t="s">
        <v>193</v>
      </c>
      <c r="DL69" s="6"/>
      <c r="DM69" s="6"/>
      <c r="DN69" s="6"/>
      <c r="DO69" s="6"/>
      <c r="DP69">
        <f>disc_SEM*TRT_DISC!DP68</f>
        <v>12848.998553664591</v>
      </c>
      <c r="DQ69">
        <f>disc_SEM*TRT_DISC!DQ68</f>
        <v>6583.4149256766477</v>
      </c>
      <c r="EP69" s="6" t="s">
        <v>195</v>
      </c>
      <c r="EQ69" s="6"/>
      <c r="ER69" s="6"/>
      <c r="ES69" s="6"/>
      <c r="ET69" s="6"/>
      <c r="EU69" s="11">
        <f>disc_SEM*TRT_DISC!EU68</f>
        <v>0</v>
      </c>
      <c r="EV69" s="11">
        <f>disc_SEM*TRT_DISC!EV68</f>
        <v>0</v>
      </c>
    </row>
    <row r="70" spans="1:152" x14ac:dyDescent="0.3">
      <c r="CI70" s="6" t="s">
        <v>194</v>
      </c>
      <c r="CJ70" s="6"/>
      <c r="CK70">
        <f>CK68+CK69</f>
        <v>27.406970475449384</v>
      </c>
      <c r="CL70">
        <f>CL68+CL69</f>
        <v>17.175952632769761</v>
      </c>
      <c r="DN70" s="6" t="s">
        <v>194</v>
      </c>
      <c r="DO70" s="6"/>
      <c r="DP70">
        <f>DP68+DP69</f>
        <v>347676.58683662768</v>
      </c>
      <c r="DQ70">
        <f>DQ68+DQ69</f>
        <v>182980.04671628756</v>
      </c>
      <c r="ES70" s="6" t="s">
        <v>197</v>
      </c>
      <c r="ET70" s="6"/>
      <c r="EU70" s="11">
        <f>EU68+EU69</f>
        <v>0</v>
      </c>
      <c r="EV70" s="11">
        <f>EV68+EV69</f>
        <v>0</v>
      </c>
    </row>
  </sheetData>
  <mergeCells count="14">
    <mergeCell ref="DK69:DO69"/>
    <mergeCell ref="EP69:ET69"/>
    <mergeCell ref="DN70:DO70"/>
    <mergeCell ref="ES70:ET70"/>
    <mergeCell ref="CF68:CJ68"/>
    <mergeCell ref="CF69:CJ69"/>
    <mergeCell ref="CI70:CJ70"/>
    <mergeCell ref="DK68:DO68"/>
    <mergeCell ref="EP68:ET68"/>
    <mergeCell ref="J1:T1"/>
    <mergeCell ref="U1:AC1"/>
    <mergeCell ref="AD1:BF1"/>
    <mergeCell ref="BH1:CL1"/>
    <mergeCell ref="CM1:DQ1"/>
  </mergeCells>
  <conditionalFormatting sqref="BG3:BG67">
    <cfRule type="cellIs" dxfId="1" priority="2" operator="equal">
      <formula>"$AB$3"</formula>
    </cfRule>
  </conditionalFormatting>
  <conditionalFormatting sqref="BG3:BG67">
    <cfRule type="cellIs" dxfId="0" priority="1" operator="equal">
      <formula>$AD$3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43A9-A9D3-474C-8D0B-55D124A50E35}">
  <dimension ref="A1:L45"/>
  <sheetViews>
    <sheetView tabSelected="1" topLeftCell="A22" workbookViewId="0">
      <selection activeCell="L45" sqref="L45"/>
    </sheetView>
  </sheetViews>
  <sheetFormatPr defaultRowHeight="14.4" x14ac:dyDescent="0.3"/>
  <cols>
    <col min="1" max="1" width="22.33203125" bestFit="1" customWidth="1"/>
    <col min="2" max="2" width="24.109375" customWidth="1"/>
    <col min="3" max="3" width="36" customWidth="1"/>
    <col min="4" max="4" width="9.5546875" bestFit="1" customWidth="1"/>
    <col min="5" max="5" width="15.33203125" bestFit="1" customWidth="1"/>
    <col min="7" max="7" width="9.5546875" bestFit="1" customWidth="1"/>
    <col min="8" max="8" width="14.6640625" bestFit="1" customWidth="1"/>
    <col min="10" max="10" width="9.5546875" bestFit="1" customWidth="1"/>
    <col min="11" max="12" width="14.6640625" bestFit="1" customWidth="1"/>
  </cols>
  <sheetData>
    <row r="1" spans="1:3" ht="18" x14ac:dyDescent="0.3">
      <c r="A1" s="18" t="s">
        <v>216</v>
      </c>
      <c r="B1" s="18"/>
      <c r="C1" s="18"/>
    </row>
    <row r="2" spans="1:3" x14ac:dyDescent="0.3">
      <c r="A2" s="1" t="s">
        <v>213</v>
      </c>
      <c r="B2" s="1" t="s">
        <v>214</v>
      </c>
      <c r="C2" s="1" t="s">
        <v>215</v>
      </c>
    </row>
    <row r="3" spans="1:3" x14ac:dyDescent="0.3">
      <c r="A3" t="s">
        <v>142</v>
      </c>
      <c r="B3" s="3">
        <f>SEM!CL70</f>
        <v>17.928691910740998</v>
      </c>
      <c r="C3" s="12">
        <f>SEM!DQ70</f>
        <v>361712.20502878056</v>
      </c>
    </row>
    <row r="4" spans="1:3" x14ac:dyDescent="0.3">
      <c r="A4" t="s">
        <v>221</v>
      </c>
      <c r="B4" s="3">
        <f>PT!CL70</f>
        <v>17.274874514939409</v>
      </c>
      <c r="C4" s="12">
        <f>PT!DQ70</f>
        <v>160140.25183954576</v>
      </c>
    </row>
    <row r="5" spans="1:3" x14ac:dyDescent="0.3">
      <c r="A5" t="s">
        <v>218</v>
      </c>
      <c r="B5" s="3">
        <f>LIR!CL70</f>
        <v>17.241579094434609</v>
      </c>
      <c r="C5" s="12">
        <f>LIR!DQ70</f>
        <v>342772.71669083007</v>
      </c>
    </row>
    <row r="6" spans="1:3" x14ac:dyDescent="0.3">
      <c r="A6" t="s">
        <v>219</v>
      </c>
      <c r="B6" s="3">
        <f>BN!CL70</f>
        <v>17.175952632769761</v>
      </c>
      <c r="C6" s="12">
        <f>BN!DQ70</f>
        <v>182980.04671628756</v>
      </c>
    </row>
    <row r="7" spans="1:3" x14ac:dyDescent="0.3">
      <c r="A7" t="s">
        <v>220</v>
      </c>
      <c r="B7" s="3">
        <f>LSM!CL70</f>
        <v>17.174366325981961</v>
      </c>
      <c r="C7" s="12">
        <f>LSM!DQ70</f>
        <v>156747.97442087246</v>
      </c>
    </row>
    <row r="19" spans="1:4" ht="18" x14ac:dyDescent="0.35">
      <c r="A19" s="5" t="s">
        <v>217</v>
      </c>
      <c r="B19" s="5"/>
      <c r="C19" s="5"/>
    </row>
    <row r="20" spans="1:4" x14ac:dyDescent="0.3">
      <c r="A20" s="1" t="s">
        <v>213</v>
      </c>
      <c r="B20" s="1" t="s">
        <v>214</v>
      </c>
      <c r="C20" s="1" t="s">
        <v>215</v>
      </c>
    </row>
    <row r="21" spans="1:4" x14ac:dyDescent="0.3">
      <c r="A21" t="s">
        <v>142</v>
      </c>
      <c r="B21" s="3">
        <f>B3-B$7</f>
        <v>0.75432558475903733</v>
      </c>
      <c r="C21" s="11">
        <f>C3-C$7</f>
        <v>204964.2306079081</v>
      </c>
    </row>
    <row r="22" spans="1:4" x14ac:dyDescent="0.3">
      <c r="A22" t="s">
        <v>221</v>
      </c>
      <c r="B22" s="3">
        <f t="shared" ref="B22:C24" si="0">B4-B$7</f>
        <v>0.1005081889574484</v>
      </c>
      <c r="C22" s="11">
        <f t="shared" si="0"/>
        <v>3392.2774186733004</v>
      </c>
    </row>
    <row r="23" spans="1:4" x14ac:dyDescent="0.3">
      <c r="A23" t="s">
        <v>218</v>
      </c>
      <c r="B23" s="3">
        <f t="shared" si="0"/>
        <v>6.7212768452648675E-2</v>
      </c>
      <c r="C23" s="11">
        <f t="shared" si="0"/>
        <v>186024.74226995761</v>
      </c>
    </row>
    <row r="24" spans="1:4" x14ac:dyDescent="0.3">
      <c r="A24" t="s">
        <v>219</v>
      </c>
      <c r="B24" s="3">
        <f t="shared" si="0"/>
        <v>1.5863067878001402E-3</v>
      </c>
      <c r="C24" s="11">
        <f t="shared" si="0"/>
        <v>26232.072295415099</v>
      </c>
    </row>
    <row r="25" spans="1:4" x14ac:dyDescent="0.3">
      <c r="A25" t="s">
        <v>220</v>
      </c>
      <c r="B25" s="3"/>
      <c r="C25" s="12"/>
    </row>
    <row r="28" spans="1:4" ht="18" customHeight="1" x14ac:dyDescent="0.35">
      <c r="A28" s="5" t="s">
        <v>222</v>
      </c>
      <c r="B28" s="5"/>
      <c r="C28" s="5"/>
      <c r="D28" s="19"/>
    </row>
    <row r="29" spans="1:4" x14ac:dyDescent="0.3">
      <c r="A29" s="1" t="s">
        <v>213</v>
      </c>
      <c r="B29" s="1" t="s">
        <v>223</v>
      </c>
      <c r="C29" s="1" t="s">
        <v>224</v>
      </c>
    </row>
    <row r="30" spans="1:4" x14ac:dyDescent="0.3">
      <c r="A30" t="s">
        <v>142</v>
      </c>
      <c r="B30" t="s">
        <v>220</v>
      </c>
      <c r="C30" s="11">
        <f>C21/B21</f>
        <v>271718.51883213286</v>
      </c>
    </row>
    <row r="31" spans="1:4" x14ac:dyDescent="0.3">
      <c r="A31" t="s">
        <v>221</v>
      </c>
      <c r="B31" t="s">
        <v>220</v>
      </c>
      <c r="C31" s="11">
        <f t="shared" ref="C31:C33" si="1">C22/B22</f>
        <v>33751.254040697822</v>
      </c>
    </row>
    <row r="32" spans="1:4" x14ac:dyDescent="0.3">
      <c r="A32" t="s">
        <v>218</v>
      </c>
      <c r="B32" t="s">
        <v>220</v>
      </c>
      <c r="C32" s="11">
        <f t="shared" si="1"/>
        <v>2767699.4498599153</v>
      </c>
    </row>
    <row r="33" spans="1:12" x14ac:dyDescent="0.3">
      <c r="A33" t="s">
        <v>219</v>
      </c>
      <c r="B33" t="s">
        <v>220</v>
      </c>
      <c r="C33" s="11">
        <f t="shared" si="1"/>
        <v>16536569.405841876</v>
      </c>
    </row>
    <row r="34" spans="1:12" x14ac:dyDescent="0.3">
      <c r="A34" s="20" t="s">
        <v>142</v>
      </c>
      <c r="B34" t="s">
        <v>221</v>
      </c>
      <c r="C34" s="11">
        <f>(C$3-C4)/(B$3-B4)</f>
        <v>308300.07657123421</v>
      </c>
    </row>
    <row r="35" spans="1:12" x14ac:dyDescent="0.3">
      <c r="A35" s="20"/>
      <c r="B35" t="s">
        <v>218</v>
      </c>
      <c r="C35" s="11">
        <f t="shared" ref="C35:C36" si="2">(C$3-C5)/(B$3-B5)</f>
        <v>27563.869991191132</v>
      </c>
    </row>
    <row r="36" spans="1:12" x14ac:dyDescent="0.3">
      <c r="A36" s="20"/>
      <c r="B36" t="s">
        <v>219</v>
      </c>
      <c r="C36" s="11">
        <f t="shared" si="2"/>
        <v>237442.3170718647</v>
      </c>
    </row>
    <row r="39" spans="1:12" ht="21" x14ac:dyDescent="0.4">
      <c r="A39" s="25" t="s">
        <v>229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28.8" x14ac:dyDescent="0.3">
      <c r="A40" s="22" t="str">
        <f t="shared" ref="A40:C40" si="3">A2</f>
        <v>Treatment</v>
      </c>
      <c r="B40" s="22" t="str">
        <f t="shared" si="3"/>
        <v>Discounted QALYs</v>
      </c>
      <c r="C40" s="22" t="str">
        <f t="shared" si="3"/>
        <v>Discounted Cost (USD)</v>
      </c>
      <c r="D40" s="22" t="s">
        <v>225</v>
      </c>
      <c r="E40" s="22" t="s">
        <v>226</v>
      </c>
      <c r="F40" s="22" t="s">
        <v>227</v>
      </c>
      <c r="G40" s="22" t="s">
        <v>225</v>
      </c>
      <c r="H40" s="22" t="s">
        <v>226</v>
      </c>
      <c r="I40" s="22" t="s">
        <v>227</v>
      </c>
      <c r="J40" s="22" t="s">
        <v>225</v>
      </c>
      <c r="K40" s="22" t="s">
        <v>226</v>
      </c>
      <c r="L40" s="22" t="s">
        <v>228</v>
      </c>
    </row>
    <row r="41" spans="1:12" x14ac:dyDescent="0.3">
      <c r="A41" t="str">
        <f>A7</f>
        <v>Lifestyle Modification</v>
      </c>
      <c r="B41" s="3">
        <f>B7</f>
        <v>17.174366325981961</v>
      </c>
      <c r="C41" s="11">
        <f>C7</f>
        <v>156747.97442087246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3">
      <c r="A42" t="str">
        <f>A6</f>
        <v>Bupropion/Naltrexone</v>
      </c>
      <c r="B42" s="3">
        <f>B6</f>
        <v>17.175952632769761</v>
      </c>
      <c r="C42" s="11">
        <f>C6</f>
        <v>182980.04671628756</v>
      </c>
      <c r="D42" s="3">
        <f>B42-B41</f>
        <v>1.5863067878001402E-3</v>
      </c>
      <c r="E42" s="11">
        <f>C42-C41</f>
        <v>26232.072295415099</v>
      </c>
      <c r="F42" s="3"/>
      <c r="G42" s="23">
        <f>B42-B41</f>
        <v>1.5863067878001402E-3</v>
      </c>
      <c r="H42" s="21">
        <f>C42-C41</f>
        <v>26232.072295415099</v>
      </c>
      <c r="I42" s="3"/>
      <c r="J42" s="3"/>
      <c r="K42" s="3"/>
      <c r="L42" s="3"/>
    </row>
    <row r="43" spans="1:12" x14ac:dyDescent="0.3">
      <c r="A43" t="str">
        <f>A5</f>
        <v xml:space="preserve">Liraglutide </v>
      </c>
      <c r="B43" s="3">
        <f>B5</f>
        <v>17.241579094434609</v>
      </c>
      <c r="C43" s="11">
        <f>C5</f>
        <v>342772.71669083007</v>
      </c>
      <c r="D43" s="23">
        <f t="shared" ref="D43:D45" si="4">B43-B42</f>
        <v>6.5626461664848534E-2</v>
      </c>
      <c r="E43" s="21">
        <f t="shared" ref="E43:E45" si="5">C43-C42</f>
        <v>159792.66997454251</v>
      </c>
      <c r="F43" s="3"/>
      <c r="G43" s="3"/>
      <c r="H43" s="11"/>
      <c r="I43" s="3"/>
      <c r="J43" s="3"/>
      <c r="K43" s="3"/>
      <c r="L43" s="3"/>
    </row>
    <row r="44" spans="1:12" x14ac:dyDescent="0.3">
      <c r="A44" t="str">
        <f>A4</f>
        <v xml:space="preserve">Phentermine/Topiramate </v>
      </c>
      <c r="B44" s="3">
        <f>B4</f>
        <v>17.274874514939409</v>
      </c>
      <c r="C44" s="11">
        <f>C4</f>
        <v>160140.25183954576</v>
      </c>
      <c r="D44" s="3">
        <f t="shared" si="4"/>
        <v>3.3295420504799722E-2</v>
      </c>
      <c r="E44" s="11">
        <f t="shared" si="5"/>
        <v>-182632.46485128431</v>
      </c>
      <c r="F44" s="3"/>
      <c r="G44" s="3">
        <f>B44-B42</f>
        <v>9.8921882169648256E-2</v>
      </c>
      <c r="H44" s="11">
        <f>C44-C42</f>
        <v>-22839.794876741798</v>
      </c>
      <c r="I44" s="3"/>
      <c r="J44" s="3">
        <f>B44-B41</f>
        <v>0.1005081889574484</v>
      </c>
      <c r="K44" s="24">
        <f>C44-C41</f>
        <v>3392.2774186733004</v>
      </c>
      <c r="L44" s="24">
        <f>K44/J44</f>
        <v>33751.254040697822</v>
      </c>
    </row>
    <row r="45" spans="1:12" x14ac:dyDescent="0.3">
      <c r="A45" t="str">
        <f>A3</f>
        <v>Semaglutide</v>
      </c>
      <c r="B45" s="3">
        <f>B3</f>
        <v>17.928691910740998</v>
      </c>
      <c r="C45" s="11">
        <f>C3</f>
        <v>361712.20502878056</v>
      </c>
      <c r="D45" s="3">
        <f t="shared" si="4"/>
        <v>0.65381739580158893</v>
      </c>
      <c r="E45" s="11">
        <f t="shared" si="5"/>
        <v>201571.9531892348</v>
      </c>
      <c r="F45" s="3"/>
      <c r="G45" s="3">
        <f>B45-B44</f>
        <v>0.65381739580158893</v>
      </c>
      <c r="H45" s="11">
        <f>C45-C44</f>
        <v>201571.9531892348</v>
      </c>
      <c r="I45" s="3"/>
      <c r="J45" s="3">
        <f>B45-B44</f>
        <v>0.65381739580158893</v>
      </c>
      <c r="K45" s="24">
        <f>C45-C44</f>
        <v>201571.9531892348</v>
      </c>
      <c r="L45" s="24">
        <f>K45/J45</f>
        <v>308300.07657123421</v>
      </c>
    </row>
  </sheetData>
  <sortState xmlns:xlrd2="http://schemas.microsoft.com/office/spreadsheetml/2017/richdata2" ref="A41:C49">
    <sortCondition ref="B45:B49"/>
  </sortState>
  <mergeCells count="5">
    <mergeCell ref="A1:C1"/>
    <mergeCell ref="A19:C19"/>
    <mergeCell ref="A28:C28"/>
    <mergeCell ref="A34:A36"/>
    <mergeCell ref="A39:L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68</vt:i4>
      </vt:variant>
    </vt:vector>
  </HeadingPairs>
  <TitlesOfParts>
    <vt:vector size="76" baseType="lpstr">
      <vt:lpstr>Input Parameters</vt:lpstr>
      <vt:lpstr>TRT_DISC</vt:lpstr>
      <vt:lpstr>LSM</vt:lpstr>
      <vt:lpstr>SEM</vt:lpstr>
      <vt:lpstr>LIR</vt:lpstr>
      <vt:lpstr>PT</vt:lpstr>
      <vt:lpstr>BN</vt:lpstr>
      <vt:lpstr>Base_Case</vt:lpstr>
      <vt:lpstr>AGE_BL</vt:lpstr>
      <vt:lpstr>BMI_BL</vt:lpstr>
      <vt:lpstr>c_BN_1</vt:lpstr>
      <vt:lpstr>c_BN_2</vt:lpstr>
      <vt:lpstr>c_DM</vt:lpstr>
      <vt:lpstr>c_HF1</vt:lpstr>
      <vt:lpstr>c_HF2</vt:lpstr>
      <vt:lpstr>c_LIR_1</vt:lpstr>
      <vt:lpstr>c_LIR_2</vt:lpstr>
      <vt:lpstr>c_MI1</vt:lpstr>
      <vt:lpstr>c_MI2</vt:lpstr>
      <vt:lpstr>c_Other</vt:lpstr>
      <vt:lpstr>c_PT_1</vt:lpstr>
      <vt:lpstr>c_PT_2</vt:lpstr>
      <vt:lpstr>c_SEM</vt:lpstr>
      <vt:lpstr>c_Stroke1</vt:lpstr>
      <vt:lpstr>c_Stroke2</vt:lpstr>
      <vt:lpstr>dis_BMI</vt:lpstr>
      <vt:lpstr>disc_BN</vt:lpstr>
      <vt:lpstr>disc_LIR</vt:lpstr>
      <vt:lpstr>disc_LSM</vt:lpstr>
      <vt:lpstr>disc_PT</vt:lpstr>
      <vt:lpstr>disc_SEM</vt:lpstr>
      <vt:lpstr>h_red_BN</vt:lpstr>
      <vt:lpstr>h_red_LIR</vt:lpstr>
      <vt:lpstr>h_red_LSM</vt:lpstr>
      <vt:lpstr>h_red_PT</vt:lpstr>
      <vt:lpstr>h_red_SEM</vt:lpstr>
      <vt:lpstr>HbA1C_BL</vt:lpstr>
      <vt:lpstr>HT_f_high</vt:lpstr>
      <vt:lpstr>HT_f_low</vt:lpstr>
      <vt:lpstr>HT_f_mod</vt:lpstr>
      <vt:lpstr>HT_m_high</vt:lpstr>
      <vt:lpstr>HT_m_low</vt:lpstr>
      <vt:lpstr>HT_m_mod</vt:lpstr>
      <vt:lpstr>p_MI</vt:lpstr>
      <vt:lpstr>p_MI_HF_mid</vt:lpstr>
      <vt:lpstr>p_MI_HF_old</vt:lpstr>
      <vt:lpstr>p_MI_HF_young</vt:lpstr>
      <vt:lpstr>p_MI_mort</vt:lpstr>
      <vt:lpstr>p_MI_rec_mid</vt:lpstr>
      <vt:lpstr>p_MI_rec_old</vt:lpstr>
      <vt:lpstr>p_MI_rec_young</vt:lpstr>
      <vt:lpstr>p_Other</vt:lpstr>
      <vt:lpstr>p_recur_MI_F</vt:lpstr>
      <vt:lpstr>p_recur_MI_M</vt:lpstr>
      <vt:lpstr>p_recur_Stroke</vt:lpstr>
      <vt:lpstr>p_Stroke</vt:lpstr>
      <vt:lpstr>p_Stroke_mort</vt:lpstr>
      <vt:lpstr>p_Stroke_rec</vt:lpstr>
      <vt:lpstr>p_toHF_mid</vt:lpstr>
      <vt:lpstr>p_toHF_old</vt:lpstr>
      <vt:lpstr>p_toHF_young</vt:lpstr>
      <vt:lpstr>PREV_FEMALE</vt:lpstr>
      <vt:lpstr>PREV_HT</vt:lpstr>
      <vt:lpstr>PREV_SMOKE</vt:lpstr>
      <vt:lpstr>r_</vt:lpstr>
      <vt:lpstr>rr_DM</vt:lpstr>
      <vt:lpstr>rr_HF</vt:lpstr>
      <vt:lpstr>rr_MI</vt:lpstr>
      <vt:lpstr>rr_Other</vt:lpstr>
      <vt:lpstr>rr_Stroke</vt:lpstr>
      <vt:lpstr>SBP_BL</vt:lpstr>
      <vt:lpstr>w_red_BN</vt:lpstr>
      <vt:lpstr>w_red_LIR</vt:lpstr>
      <vt:lpstr>w_red_LSM</vt:lpstr>
      <vt:lpstr>w_red_PT</vt:lpstr>
      <vt:lpstr>w_red_SEM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Pignatelli</dc:creator>
  <cp:lastModifiedBy>Alessio Pignatelli</cp:lastModifiedBy>
  <dcterms:created xsi:type="dcterms:W3CDTF">2015-06-05T18:17:20Z</dcterms:created>
  <dcterms:modified xsi:type="dcterms:W3CDTF">2024-12-16T15:34:10Z</dcterms:modified>
</cp:coreProperties>
</file>